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2.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3.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omments1.xml" ContentType="application/vnd.openxmlformats-officedocument.spreadsheetml.comments+xml"/>
  <Override PartName="/xl/comments2.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alex_\Desktop\"/>
    </mc:Choice>
  </mc:AlternateContent>
  <xr:revisionPtr revIDLastSave="0" documentId="8_{61382478-CDB6-4BBF-A3B8-DB0EAC5841E5}" xr6:coauthVersionLast="47" xr6:coauthVersionMax="47" xr10:uidLastSave="{00000000-0000-0000-0000-000000000000}"/>
  <bookViews>
    <workbookView xWindow="1560" yWindow="1560" windowWidth="21795" windowHeight="11715" tabRatio="598" firstSheet="6" activeTab="6" xr2:uid="{00000000-000D-0000-FFFF-FFFF00000000}"/>
  </bookViews>
  <sheets>
    <sheet name="Exercise" sheetId="2" state="hidden" r:id="rId1"/>
    <sheet name="Training Program" sheetId="4" state="hidden" r:id="rId2"/>
    <sheet name="Training Program 2.0" sheetId="5" state="hidden" r:id="rId3"/>
    <sheet name="📅 Daily Log" sheetId="16" state="hidden" r:id="rId4"/>
    <sheet name="💪 Training Program 3.0" sheetId="13" state="hidden" r:id="rId5"/>
    <sheet name="Eats" sheetId="8" state="hidden" r:id="rId6"/>
    <sheet name="💪 Training Program 4.0" sheetId="20" r:id="rId7"/>
    <sheet name="🍽️ Nutrition 2.0" sheetId="11" r:id="rId8"/>
    <sheet name="✨ Mood Tracker" sheetId="14" r:id="rId9"/>
    <sheet name="😴 Sleep Tracker" sheetId="17" r:id="rId10"/>
    <sheet name="Claude Log" sheetId="21" state="hidden" r:id="rId11"/>
    <sheet name="📖 Sleep Guide" sheetId="18" state="hidden" r:id="rId12"/>
    <sheet name="📅 Monthly View" sheetId="19" state="hidden" r:id="rId13"/>
  </sheets>
  <definedNames>
    <definedName name="_xlnm._FilterDatabase" localSheetId="5" hidden="1">Eats!$N$3:$Y$94</definedName>
    <definedName name="_xlnm._FilterDatabase" localSheetId="7" hidden="1">'🍽️ Nutrition 2.0'!$E$4:$L$4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S5" i="20" l="1"/>
  <c r="AR5" i="20"/>
  <c r="BJ4" i="20"/>
  <c r="BJ3" i="20"/>
  <c r="W1939" i="11"/>
  <c r="W1940" i="11"/>
  <c r="V1933" i="11"/>
  <c r="W1933" i="11"/>
  <c r="X1933" i="11"/>
  <c r="Y1933" i="11"/>
  <c r="Z1933" i="11"/>
  <c r="AA1933" i="11"/>
  <c r="AB1933" i="11"/>
  <c r="V1934" i="11"/>
  <c r="W1934" i="11"/>
  <c r="X1934" i="11"/>
  <c r="Y1934" i="11"/>
  <c r="Z1934" i="11"/>
  <c r="AA1934" i="11"/>
  <c r="AB1934" i="11"/>
  <c r="V1935" i="11"/>
  <c r="W1935" i="11"/>
  <c r="X1935" i="11"/>
  <c r="Y1935" i="11"/>
  <c r="Z1935" i="11"/>
  <c r="AA1935" i="11"/>
  <c r="AB1935" i="11"/>
  <c r="V1936" i="11"/>
  <c r="W1936" i="11"/>
  <c r="X1936" i="11"/>
  <c r="Y1936" i="11"/>
  <c r="Z1936" i="11"/>
  <c r="AA1936" i="11"/>
  <c r="AB1936" i="11"/>
  <c r="V1937" i="11"/>
  <c r="W1937" i="11"/>
  <c r="X1937" i="11"/>
  <c r="Y1937" i="11"/>
  <c r="Z1937" i="11"/>
  <c r="AA1937" i="11"/>
  <c r="AB1937" i="11"/>
  <c r="V1938" i="11"/>
  <c r="W1938" i="11"/>
  <c r="X1938" i="11"/>
  <c r="Y1938" i="11"/>
  <c r="Z1938" i="11"/>
  <c r="AA1938" i="11"/>
  <c r="AB1938" i="11"/>
  <c r="V1939" i="11"/>
  <c r="X1939" i="11"/>
  <c r="Y1939" i="11"/>
  <c r="Z1939" i="11"/>
  <c r="AA1939" i="11"/>
  <c r="AB1939" i="11"/>
  <c r="V1940" i="11"/>
  <c r="X1940" i="11"/>
  <c r="Y1940" i="11"/>
  <c r="Z1940" i="11"/>
  <c r="AA1940" i="11"/>
  <c r="AB1940" i="11"/>
  <c r="V1941" i="11"/>
  <c r="W1941" i="11"/>
  <c r="X1941" i="11"/>
  <c r="Y1941" i="11"/>
  <c r="Z1941" i="11"/>
  <c r="AA1941" i="11"/>
  <c r="AB1941" i="11"/>
  <c r="V1942" i="11"/>
  <c r="W1942" i="11"/>
  <c r="X1942" i="11"/>
  <c r="Y1942" i="11"/>
  <c r="Z1942" i="11"/>
  <c r="AA1942" i="11"/>
  <c r="AB1942" i="11"/>
  <c r="V1943" i="11"/>
  <c r="W1943" i="11"/>
  <c r="X1943" i="11"/>
  <c r="Y1943" i="11"/>
  <c r="Z1943" i="11"/>
  <c r="AA1943" i="11"/>
  <c r="AB1943" i="11"/>
  <c r="V1944" i="11"/>
  <c r="W1944" i="11"/>
  <c r="X1944" i="11"/>
  <c r="Y1944" i="11"/>
  <c r="Z1944" i="11"/>
  <c r="AA1944" i="11"/>
  <c r="AB1944" i="11"/>
  <c r="V1945" i="11"/>
  <c r="W1945" i="11"/>
  <c r="X1945" i="11"/>
  <c r="Y1945" i="11"/>
  <c r="Z1945" i="11"/>
  <c r="AA1945" i="11"/>
  <c r="AB1945" i="11"/>
  <c r="V1946" i="11"/>
  <c r="W1946" i="11"/>
  <c r="X1946" i="11"/>
  <c r="Y1946" i="11"/>
  <c r="Z1946" i="11"/>
  <c r="AA1946" i="11"/>
  <c r="AB1946" i="11"/>
  <c r="V1947" i="11"/>
  <c r="W1947" i="11"/>
  <c r="X1947" i="11"/>
  <c r="Y1947" i="11"/>
  <c r="Z1947" i="11"/>
  <c r="AA1947" i="11"/>
  <c r="V1948" i="11"/>
  <c r="W1948" i="11"/>
  <c r="X1948" i="11"/>
  <c r="Y1948" i="11"/>
  <c r="Z1948" i="11"/>
  <c r="AA1948" i="11"/>
  <c r="AB1950" i="11"/>
  <c r="AB1931" i="11"/>
  <c r="AB1929" i="11"/>
  <c r="AA1929" i="11"/>
  <c r="Z1929" i="11"/>
  <c r="Y1929" i="11"/>
  <c r="X1929" i="11"/>
  <c r="W1929" i="11"/>
  <c r="V1929" i="11"/>
  <c r="AB1928" i="11"/>
  <c r="AA1928" i="11"/>
  <c r="Z1928" i="11"/>
  <c r="Y1928" i="11"/>
  <c r="X1928" i="11"/>
  <c r="W1928" i="11"/>
  <c r="V1928" i="11"/>
  <c r="AB1927" i="11"/>
  <c r="AA1927" i="11"/>
  <c r="Z1927" i="11"/>
  <c r="Y1927" i="11"/>
  <c r="X1927" i="11"/>
  <c r="W1927" i="11"/>
  <c r="V1927" i="11"/>
  <c r="AB1926" i="11"/>
  <c r="AA1926" i="11"/>
  <c r="Z1926" i="11"/>
  <c r="Y1926" i="11"/>
  <c r="X1926" i="11"/>
  <c r="W1926" i="11"/>
  <c r="V1926" i="11"/>
  <c r="AB1925" i="11"/>
  <c r="AA1925" i="11"/>
  <c r="Z1925" i="11"/>
  <c r="Y1925" i="11"/>
  <c r="X1925" i="11"/>
  <c r="W1925" i="11"/>
  <c r="V1925" i="11"/>
  <c r="AB1924" i="11"/>
  <c r="AA1924" i="11"/>
  <c r="Z1924" i="11"/>
  <c r="Y1924" i="11"/>
  <c r="X1924" i="11"/>
  <c r="W1924" i="11"/>
  <c r="V1924" i="11"/>
  <c r="AB1923" i="11"/>
  <c r="AA1923" i="11"/>
  <c r="Z1923" i="11"/>
  <c r="Y1923" i="11"/>
  <c r="X1923" i="11"/>
  <c r="W1923" i="11"/>
  <c r="V1923" i="11"/>
  <c r="AB1922" i="11"/>
  <c r="AA1922" i="11"/>
  <c r="Z1922" i="11"/>
  <c r="Y1922" i="11"/>
  <c r="X1922" i="11"/>
  <c r="W1922" i="11"/>
  <c r="V1922" i="11"/>
  <c r="AB1921" i="11"/>
  <c r="AA1921" i="11"/>
  <c r="Z1921" i="11"/>
  <c r="Y1921" i="11"/>
  <c r="X1921" i="11"/>
  <c r="W1921" i="11"/>
  <c r="V1921" i="11"/>
  <c r="V1900" i="11"/>
  <c r="W1900" i="11"/>
  <c r="X1900" i="11"/>
  <c r="Y1900" i="11"/>
  <c r="Z1900" i="11"/>
  <c r="AA1900" i="11"/>
  <c r="V1904" i="11"/>
  <c r="W1904" i="11"/>
  <c r="X1904" i="11"/>
  <c r="Y1904" i="11"/>
  <c r="Z1904" i="11"/>
  <c r="AA1904" i="11"/>
  <c r="AB1904" i="11"/>
  <c r="V1905" i="11"/>
  <c r="W1905" i="11"/>
  <c r="X1905" i="11"/>
  <c r="Y1905" i="11"/>
  <c r="Z1905" i="11"/>
  <c r="AA1905" i="11"/>
  <c r="AB1905" i="11"/>
  <c r="V1906" i="11"/>
  <c r="W1906" i="11"/>
  <c r="X1906" i="11"/>
  <c r="Y1906" i="11"/>
  <c r="Z1906" i="11"/>
  <c r="AA1906" i="11"/>
  <c r="AB1906" i="11"/>
  <c r="V1907" i="11"/>
  <c r="W1907" i="11"/>
  <c r="X1907" i="11"/>
  <c r="Y1907" i="11"/>
  <c r="Z1907" i="11"/>
  <c r="AA1907" i="11"/>
  <c r="AB1907" i="11"/>
  <c r="V1908" i="11"/>
  <c r="W1908" i="11"/>
  <c r="X1908" i="11"/>
  <c r="Y1908" i="11"/>
  <c r="Z1908" i="11"/>
  <c r="AA1908" i="11"/>
  <c r="AB1908" i="11"/>
  <c r="V1909" i="11"/>
  <c r="W1909" i="11"/>
  <c r="X1909" i="11"/>
  <c r="Y1909" i="11"/>
  <c r="Z1909" i="11"/>
  <c r="AA1909" i="11"/>
  <c r="AB1909" i="11"/>
  <c r="V1910" i="11"/>
  <c r="W1910" i="11"/>
  <c r="X1910" i="11"/>
  <c r="Y1910" i="11"/>
  <c r="Z1910" i="11"/>
  <c r="AA1910" i="11"/>
  <c r="AB1910" i="11"/>
  <c r="V1911" i="11"/>
  <c r="W1911" i="11"/>
  <c r="X1911" i="11"/>
  <c r="Y1911" i="11"/>
  <c r="Z1911" i="11"/>
  <c r="AA1911" i="11"/>
  <c r="AB1911" i="11"/>
  <c r="V1912" i="11"/>
  <c r="W1912" i="11"/>
  <c r="X1912" i="11"/>
  <c r="Y1912" i="11"/>
  <c r="Z1912" i="11"/>
  <c r="AA1912" i="11"/>
  <c r="AB1912" i="11"/>
  <c r="V1913" i="11"/>
  <c r="W1913" i="11"/>
  <c r="X1913" i="11"/>
  <c r="Y1913" i="11"/>
  <c r="Z1913" i="11"/>
  <c r="AA1913" i="11"/>
  <c r="AB1913" i="11"/>
  <c r="V1914" i="11"/>
  <c r="W1914" i="11"/>
  <c r="X1914" i="11"/>
  <c r="Y1914" i="11"/>
  <c r="Z1914" i="11"/>
  <c r="AA1914" i="11"/>
  <c r="AB1914" i="11"/>
  <c r="V1915" i="11"/>
  <c r="W1915" i="11"/>
  <c r="X1915" i="11"/>
  <c r="Y1915" i="11"/>
  <c r="Z1915" i="11"/>
  <c r="AA1915" i="11"/>
  <c r="AB1915" i="11"/>
  <c r="V1916" i="11"/>
  <c r="W1916" i="11"/>
  <c r="X1916" i="11"/>
  <c r="Y1916" i="11"/>
  <c r="Z1916" i="11"/>
  <c r="AA1916" i="11"/>
  <c r="AB1916" i="11"/>
  <c r="V1917" i="11"/>
  <c r="W1917" i="11"/>
  <c r="X1917" i="11"/>
  <c r="Y1917" i="11"/>
  <c r="Z1917" i="11"/>
  <c r="AA1917" i="11"/>
  <c r="AB1917" i="11"/>
  <c r="AB1919" i="11"/>
  <c r="V1889" i="11"/>
  <c r="V1890" i="11"/>
  <c r="V1891" i="11"/>
  <c r="V1885" i="11"/>
  <c r="W1885" i="11"/>
  <c r="X1885" i="11"/>
  <c r="Y1885" i="11"/>
  <c r="Z1885" i="11"/>
  <c r="AA1885" i="11"/>
  <c r="AB1885" i="11"/>
  <c r="V1886" i="11"/>
  <c r="W1886" i="11"/>
  <c r="X1886" i="11"/>
  <c r="Y1886" i="11"/>
  <c r="Z1886" i="11"/>
  <c r="AA1886" i="11"/>
  <c r="AB1886" i="11"/>
  <c r="V1887" i="11"/>
  <c r="W1887" i="11"/>
  <c r="X1887" i="11"/>
  <c r="Y1887" i="11"/>
  <c r="Z1887" i="11"/>
  <c r="AA1887" i="11"/>
  <c r="AB1887" i="11"/>
  <c r="V1888" i="11"/>
  <c r="W1888" i="11"/>
  <c r="X1888" i="11"/>
  <c r="Y1888" i="11"/>
  <c r="Z1888" i="11"/>
  <c r="AA1888" i="11"/>
  <c r="AB1888" i="11"/>
  <c r="W1889" i="11"/>
  <c r="X1889" i="11"/>
  <c r="Y1889" i="11"/>
  <c r="Z1889" i="11"/>
  <c r="AA1889" i="11"/>
  <c r="AB1889" i="11"/>
  <c r="W1890" i="11"/>
  <c r="X1890" i="11"/>
  <c r="Y1890" i="11"/>
  <c r="Z1890" i="11"/>
  <c r="AA1890" i="11"/>
  <c r="AB1890" i="11"/>
  <c r="W1891" i="11"/>
  <c r="X1891" i="11"/>
  <c r="Y1891" i="11"/>
  <c r="Z1891" i="11"/>
  <c r="AA1891" i="11"/>
  <c r="AB1891" i="11"/>
  <c r="V1892" i="11"/>
  <c r="W1892" i="11"/>
  <c r="X1892" i="11"/>
  <c r="Y1892" i="11"/>
  <c r="Z1892" i="11"/>
  <c r="AA1892" i="11"/>
  <c r="AB1892" i="11"/>
  <c r="V1893" i="11"/>
  <c r="W1893" i="11"/>
  <c r="X1893" i="11"/>
  <c r="Y1893" i="11"/>
  <c r="Z1893" i="11"/>
  <c r="AA1893" i="11"/>
  <c r="AB1893" i="11"/>
  <c r="V1894" i="11"/>
  <c r="W1894" i="11"/>
  <c r="X1894" i="11"/>
  <c r="Y1894" i="11"/>
  <c r="Z1894" i="11"/>
  <c r="AA1894" i="11"/>
  <c r="AB1894" i="11"/>
  <c r="V1895" i="11"/>
  <c r="W1895" i="11"/>
  <c r="X1895" i="11"/>
  <c r="Y1895" i="11"/>
  <c r="Z1895" i="11"/>
  <c r="AA1895" i="11"/>
  <c r="AB1895" i="11"/>
  <c r="V1896" i="11"/>
  <c r="W1896" i="11"/>
  <c r="X1896" i="11"/>
  <c r="Y1896" i="11"/>
  <c r="Z1896" i="11"/>
  <c r="AA1896" i="11"/>
  <c r="AB1896" i="11"/>
  <c r="V1897" i="11"/>
  <c r="W1897" i="11"/>
  <c r="X1897" i="11"/>
  <c r="Y1897" i="11"/>
  <c r="Z1897" i="11"/>
  <c r="AA1897" i="11"/>
  <c r="AB1897" i="11"/>
  <c r="V1898" i="11"/>
  <c r="W1898" i="11"/>
  <c r="X1898" i="11"/>
  <c r="Y1898" i="11"/>
  <c r="Z1898" i="11"/>
  <c r="AA1898" i="11"/>
  <c r="AB1898" i="11"/>
  <c r="V1899" i="11"/>
  <c r="W1899" i="11"/>
  <c r="X1899" i="11"/>
  <c r="Y1899" i="11"/>
  <c r="Z1899" i="11"/>
  <c r="AA1899" i="11"/>
  <c r="AB1902" i="11"/>
  <c r="V1868" i="11"/>
  <c r="W1868" i="11"/>
  <c r="X1868" i="11"/>
  <c r="Y1868" i="11"/>
  <c r="Z1868" i="11"/>
  <c r="AA1868" i="11"/>
  <c r="AB1868" i="11"/>
  <c r="V1869" i="11"/>
  <c r="W1869" i="11"/>
  <c r="X1869" i="11"/>
  <c r="Y1869" i="11"/>
  <c r="Z1869" i="11"/>
  <c r="AA1869" i="11"/>
  <c r="AB1869" i="11"/>
  <c r="V1870" i="11"/>
  <c r="W1870" i="11"/>
  <c r="X1870" i="11"/>
  <c r="Y1870" i="11"/>
  <c r="Z1870" i="11"/>
  <c r="AA1870" i="11"/>
  <c r="AB1870" i="11"/>
  <c r="V1871" i="11"/>
  <c r="W1871" i="11"/>
  <c r="X1871" i="11"/>
  <c r="Y1871" i="11"/>
  <c r="Z1871" i="11"/>
  <c r="AA1871" i="11"/>
  <c r="AB1871" i="11"/>
  <c r="V1872" i="11"/>
  <c r="W1872" i="11"/>
  <c r="X1872" i="11"/>
  <c r="Y1872" i="11"/>
  <c r="Z1872" i="11"/>
  <c r="AA1872" i="11"/>
  <c r="AB1872" i="11"/>
  <c r="V1873" i="11"/>
  <c r="W1873" i="11"/>
  <c r="X1873" i="11"/>
  <c r="Y1873" i="11"/>
  <c r="Z1873" i="11"/>
  <c r="AA1873" i="11"/>
  <c r="AB1873" i="11"/>
  <c r="V1874" i="11"/>
  <c r="W1874" i="11"/>
  <c r="X1874" i="11"/>
  <c r="Y1874" i="11"/>
  <c r="Z1874" i="11"/>
  <c r="AA1874" i="11"/>
  <c r="AB1874" i="11"/>
  <c r="V1875" i="11"/>
  <c r="W1875" i="11"/>
  <c r="X1875" i="11"/>
  <c r="Y1875" i="11"/>
  <c r="Z1875" i="11"/>
  <c r="AA1875" i="11"/>
  <c r="AB1875" i="11"/>
  <c r="V1876" i="11"/>
  <c r="W1876" i="11"/>
  <c r="X1876" i="11"/>
  <c r="Y1876" i="11"/>
  <c r="Z1876" i="11"/>
  <c r="AA1876" i="11"/>
  <c r="AB1876" i="11"/>
  <c r="V1877" i="11"/>
  <c r="W1877" i="11"/>
  <c r="X1877" i="11"/>
  <c r="Y1877" i="11"/>
  <c r="Z1877" i="11"/>
  <c r="AA1877" i="11"/>
  <c r="AB1877" i="11"/>
  <c r="V1878" i="11"/>
  <c r="W1878" i="11"/>
  <c r="X1878" i="11"/>
  <c r="Y1878" i="11"/>
  <c r="Z1878" i="11"/>
  <c r="AA1878" i="11"/>
  <c r="AB1878" i="11"/>
  <c r="V1879" i="11"/>
  <c r="W1879" i="11"/>
  <c r="X1879" i="11"/>
  <c r="Y1879" i="11"/>
  <c r="Z1879" i="11"/>
  <c r="AA1879" i="11"/>
  <c r="AB1879" i="11"/>
  <c r="V1880" i="11"/>
  <c r="W1880" i="11"/>
  <c r="X1880" i="11"/>
  <c r="Y1880" i="11"/>
  <c r="Z1880" i="11"/>
  <c r="AA1880" i="11"/>
  <c r="AB1880" i="11"/>
  <c r="V1881" i="11"/>
  <c r="W1881" i="11"/>
  <c r="X1881" i="11"/>
  <c r="Y1881" i="11"/>
  <c r="Z1881" i="11"/>
  <c r="AA1881" i="11"/>
  <c r="AB1883" i="11"/>
  <c r="AB1861" i="11"/>
  <c r="V1851" i="11"/>
  <c r="W1851" i="11"/>
  <c r="X1851" i="11"/>
  <c r="Y1851" i="11"/>
  <c r="Z1851" i="11"/>
  <c r="AA1851" i="11"/>
  <c r="AB1851" i="11"/>
  <c r="V1852" i="11"/>
  <c r="W1852" i="11"/>
  <c r="X1852" i="11"/>
  <c r="Y1852" i="11"/>
  <c r="Z1852" i="11"/>
  <c r="AA1852" i="11"/>
  <c r="AB1852" i="11"/>
  <c r="V1853" i="11"/>
  <c r="W1853" i="11"/>
  <c r="X1853" i="11"/>
  <c r="Y1853" i="11"/>
  <c r="Z1853" i="11"/>
  <c r="AA1853" i="11"/>
  <c r="AB1853" i="11"/>
  <c r="V1854" i="11"/>
  <c r="W1854" i="11"/>
  <c r="X1854" i="11"/>
  <c r="Y1854" i="11"/>
  <c r="Z1854" i="11"/>
  <c r="AA1854" i="11"/>
  <c r="AB1854" i="11"/>
  <c r="V1855" i="11"/>
  <c r="W1855" i="11"/>
  <c r="X1855" i="11"/>
  <c r="Y1855" i="11"/>
  <c r="Z1855" i="11"/>
  <c r="AA1855" i="11"/>
  <c r="AB1855" i="11"/>
  <c r="V1856" i="11"/>
  <c r="W1856" i="11"/>
  <c r="X1856" i="11"/>
  <c r="Y1856" i="11"/>
  <c r="Z1856" i="11"/>
  <c r="AA1856" i="11"/>
  <c r="AB1856" i="11"/>
  <c r="V1857" i="11"/>
  <c r="W1857" i="11"/>
  <c r="X1857" i="11"/>
  <c r="Y1857" i="11"/>
  <c r="Z1857" i="11"/>
  <c r="AA1857" i="11"/>
  <c r="AB1857" i="11"/>
  <c r="V1858" i="11"/>
  <c r="W1858" i="11"/>
  <c r="X1858" i="11"/>
  <c r="Y1858" i="11"/>
  <c r="Z1858" i="11"/>
  <c r="AA1858" i="11"/>
  <c r="AB1858" i="11"/>
  <c r="V1859" i="11"/>
  <c r="W1859" i="11"/>
  <c r="X1859" i="11"/>
  <c r="Y1859" i="11"/>
  <c r="Z1859" i="11"/>
  <c r="AA1859" i="11"/>
  <c r="AB1859" i="11"/>
  <c r="V1860" i="11"/>
  <c r="W1860" i="11"/>
  <c r="X1860" i="11"/>
  <c r="Y1860" i="11"/>
  <c r="Z1860" i="11"/>
  <c r="AA1860" i="11"/>
  <c r="AB1860" i="11"/>
  <c r="V1861" i="11"/>
  <c r="W1861" i="11"/>
  <c r="X1861" i="11"/>
  <c r="Y1861" i="11"/>
  <c r="Z1861" i="11"/>
  <c r="AA1861" i="11"/>
  <c r="V1862" i="11"/>
  <c r="W1862" i="11"/>
  <c r="X1862" i="11"/>
  <c r="Y1862" i="11"/>
  <c r="Z1862" i="11"/>
  <c r="AA1862" i="11"/>
  <c r="AB1862" i="11"/>
  <c r="V1863" i="11"/>
  <c r="W1863" i="11"/>
  <c r="X1863" i="11"/>
  <c r="Y1863" i="11"/>
  <c r="Z1863" i="11"/>
  <c r="AA1863" i="11"/>
  <c r="AB1863" i="11"/>
  <c r="V1864" i="11"/>
  <c r="W1864" i="11"/>
  <c r="X1864" i="11"/>
  <c r="Y1864" i="11"/>
  <c r="Z1864" i="11"/>
  <c r="AA1864" i="11"/>
  <c r="AB1866" i="11"/>
  <c r="V1841" i="11"/>
  <c r="W1841" i="11"/>
  <c r="X1841" i="11"/>
  <c r="Y1841" i="11"/>
  <c r="Z1841" i="11"/>
  <c r="AA1841" i="11"/>
  <c r="AB1841" i="11"/>
  <c r="V1842" i="11"/>
  <c r="W1842" i="11"/>
  <c r="X1842" i="11"/>
  <c r="Y1842" i="11"/>
  <c r="Z1842" i="11"/>
  <c r="AA1842" i="11"/>
  <c r="AB1842" i="11"/>
  <c r="V1843" i="11"/>
  <c r="W1843" i="11"/>
  <c r="X1843" i="11"/>
  <c r="Y1843" i="11"/>
  <c r="Z1843" i="11"/>
  <c r="AA1843" i="11"/>
  <c r="AB1843" i="11"/>
  <c r="V1844" i="11"/>
  <c r="W1844" i="11"/>
  <c r="X1844" i="11"/>
  <c r="Y1844" i="11"/>
  <c r="Z1844" i="11"/>
  <c r="AA1844" i="11"/>
  <c r="AB1844" i="11"/>
  <c r="V1845" i="11"/>
  <c r="W1845" i="11"/>
  <c r="X1845" i="11"/>
  <c r="Y1845" i="11"/>
  <c r="Z1845" i="11"/>
  <c r="AA1845" i="11"/>
  <c r="AB1845" i="11"/>
  <c r="V1846" i="11"/>
  <c r="W1846" i="11"/>
  <c r="X1846" i="11"/>
  <c r="Y1846" i="11"/>
  <c r="Z1846" i="11"/>
  <c r="AA1846" i="11"/>
  <c r="V1847" i="11"/>
  <c r="W1847" i="11"/>
  <c r="X1847" i="11"/>
  <c r="Y1847" i="11"/>
  <c r="Z1847" i="11"/>
  <c r="AA1847" i="11"/>
  <c r="AB1847" i="11"/>
  <c r="AB1849" i="11"/>
  <c r="AB1837" i="11"/>
  <c r="AB1789" i="11"/>
  <c r="AA1787" i="11"/>
  <c r="Z1787" i="11"/>
  <c r="Y1787" i="11"/>
  <c r="X1787" i="11"/>
  <c r="W1787" i="11"/>
  <c r="V1787" i="11"/>
  <c r="AA1786" i="11"/>
  <c r="Z1786" i="11"/>
  <c r="Y1786" i="11"/>
  <c r="X1786" i="11"/>
  <c r="W1786" i="11"/>
  <c r="V1786" i="11"/>
  <c r="AB1785" i="11"/>
  <c r="AA1785" i="11"/>
  <c r="Z1785" i="11"/>
  <c r="Y1785" i="11"/>
  <c r="X1785" i="11"/>
  <c r="W1785" i="11"/>
  <c r="V1785" i="11"/>
  <c r="AB1784" i="11"/>
  <c r="AA1784" i="11"/>
  <c r="Z1784" i="11"/>
  <c r="Y1784" i="11"/>
  <c r="X1784" i="11"/>
  <c r="W1784" i="11"/>
  <c r="V1784" i="11"/>
  <c r="AA1783" i="11"/>
  <c r="Z1783" i="11"/>
  <c r="Y1783" i="11"/>
  <c r="X1783" i="11"/>
  <c r="W1783" i="11"/>
  <c r="V1783" i="11"/>
  <c r="AB1782" i="11"/>
  <c r="AA1782" i="11"/>
  <c r="Z1782" i="11"/>
  <c r="Y1782" i="11"/>
  <c r="X1782" i="11"/>
  <c r="W1782" i="11"/>
  <c r="V1782" i="11"/>
  <c r="AB1781" i="11"/>
  <c r="AA1781" i="11"/>
  <c r="Z1781" i="11"/>
  <c r="Y1781" i="11"/>
  <c r="X1781" i="11"/>
  <c r="W1781" i="11"/>
  <c r="V1781" i="11"/>
  <c r="AB1780" i="11"/>
  <c r="AA1780" i="11"/>
  <c r="Z1780" i="11"/>
  <c r="Y1780" i="11"/>
  <c r="X1780" i="11"/>
  <c r="W1780" i="11"/>
  <c r="V1780" i="11"/>
  <c r="AB1779" i="11"/>
  <c r="AA1779" i="11"/>
  <c r="Z1779" i="11"/>
  <c r="Y1779" i="11"/>
  <c r="X1779" i="11"/>
  <c r="W1779" i="11"/>
  <c r="V1779" i="11"/>
  <c r="AB1778" i="11"/>
  <c r="AA1778" i="11"/>
  <c r="Z1778" i="11"/>
  <c r="Y1778" i="11"/>
  <c r="X1778" i="11"/>
  <c r="W1778" i="11"/>
  <c r="V1778" i="11"/>
  <c r="AB1777" i="11"/>
  <c r="AA1777" i="11"/>
  <c r="Z1777" i="11"/>
  <c r="Y1777" i="11"/>
  <c r="X1777" i="11"/>
  <c r="W1777" i="11"/>
  <c r="V1777" i="11"/>
  <c r="AB1776" i="11"/>
  <c r="AA1776" i="11"/>
  <c r="Z1776" i="11"/>
  <c r="Y1776" i="11"/>
  <c r="X1776" i="11"/>
  <c r="W1776" i="11"/>
  <c r="V1776" i="11"/>
  <c r="AB1775" i="11"/>
  <c r="AA1775" i="11"/>
  <c r="Z1775" i="11"/>
  <c r="Y1775" i="11"/>
  <c r="X1775" i="11"/>
  <c r="W1775" i="11"/>
  <c r="V1775" i="11"/>
  <c r="AB1774" i="11"/>
  <c r="AA1774" i="11"/>
  <c r="Z1774" i="11"/>
  <c r="Y1774" i="11"/>
  <c r="X1774" i="11"/>
  <c r="W1774" i="11"/>
  <c r="V1774" i="11"/>
  <c r="AB1773" i="11"/>
  <c r="AA1773" i="11"/>
  <c r="Z1773" i="11"/>
  <c r="Y1773" i="11"/>
  <c r="X1773" i="11"/>
  <c r="W1773" i="11"/>
  <c r="V1773" i="11"/>
  <c r="V1791" i="11"/>
  <c r="W1791" i="11"/>
  <c r="X1791" i="11"/>
  <c r="Y1791" i="11"/>
  <c r="Z1791" i="11"/>
  <c r="AA1791" i="11"/>
  <c r="AB1791" i="11"/>
  <c r="V1792" i="11"/>
  <c r="W1792" i="11"/>
  <c r="X1792" i="11"/>
  <c r="Y1792" i="11"/>
  <c r="Z1792" i="11"/>
  <c r="AA1792" i="11"/>
  <c r="AB1792" i="11"/>
  <c r="V1793" i="11"/>
  <c r="W1793" i="11"/>
  <c r="X1793" i="11"/>
  <c r="Y1793" i="11"/>
  <c r="Z1793" i="11"/>
  <c r="AA1793" i="11"/>
  <c r="AB1793" i="11"/>
  <c r="V1829" i="11"/>
  <c r="V1830" i="11"/>
  <c r="V1831" i="11"/>
  <c r="V1832" i="11"/>
  <c r="AB1671" i="11"/>
  <c r="AB816" i="11"/>
  <c r="AB719" i="11"/>
  <c r="W644" i="11"/>
  <c r="X644" i="11"/>
  <c r="Y644" i="11"/>
  <c r="Z644" i="11"/>
  <c r="AA644" i="11"/>
  <c r="AB644" i="11"/>
  <c r="W1830" i="11"/>
  <c r="W1831" i="11"/>
  <c r="AB1839" i="11"/>
  <c r="AA1837" i="11"/>
  <c r="Z1837" i="11"/>
  <c r="Y1837" i="11"/>
  <c r="X1837" i="11"/>
  <c r="W1837" i="11"/>
  <c r="V1837" i="11"/>
  <c r="AB1836" i="11"/>
  <c r="AA1836" i="11"/>
  <c r="Z1836" i="11"/>
  <c r="Y1836" i="11"/>
  <c r="X1836" i="11"/>
  <c r="W1836" i="11"/>
  <c r="V1836" i="11"/>
  <c r="AB1835" i="11"/>
  <c r="AA1835" i="11"/>
  <c r="Z1835" i="11"/>
  <c r="Y1835" i="11"/>
  <c r="X1835" i="11"/>
  <c r="W1835" i="11"/>
  <c r="V1835" i="11"/>
  <c r="AB1834" i="11"/>
  <c r="AA1834" i="11"/>
  <c r="Z1834" i="11"/>
  <c r="Y1834" i="11"/>
  <c r="X1834" i="11"/>
  <c r="W1834" i="11"/>
  <c r="V1834" i="11"/>
  <c r="AB1833" i="11"/>
  <c r="AA1833" i="11"/>
  <c r="Z1833" i="11"/>
  <c r="Y1833" i="11"/>
  <c r="X1833" i="11"/>
  <c r="W1833" i="11"/>
  <c r="V1833" i="11"/>
  <c r="AB1832" i="11"/>
  <c r="AA1832" i="11"/>
  <c r="Z1832" i="11"/>
  <c r="Y1832" i="11"/>
  <c r="X1832" i="11"/>
  <c r="W1832" i="11"/>
  <c r="AB1831" i="11"/>
  <c r="AA1831" i="11"/>
  <c r="Z1831" i="11"/>
  <c r="Y1831" i="11"/>
  <c r="X1831" i="11"/>
  <c r="AB1830" i="11"/>
  <c r="AA1830" i="11"/>
  <c r="Z1830" i="11"/>
  <c r="Y1830" i="11"/>
  <c r="X1830" i="11"/>
  <c r="AB1829" i="11"/>
  <c r="AA1829" i="11"/>
  <c r="Z1829" i="11"/>
  <c r="Y1829" i="11"/>
  <c r="X1829" i="11"/>
  <c r="W1829" i="11"/>
  <c r="AB1828" i="11"/>
  <c r="AA1828" i="11"/>
  <c r="Z1828" i="11"/>
  <c r="Y1828" i="11"/>
  <c r="X1828" i="11"/>
  <c r="W1828" i="11"/>
  <c r="V1828" i="11"/>
  <c r="AB1827" i="11"/>
  <c r="AA1827" i="11"/>
  <c r="Z1827" i="11"/>
  <c r="Y1827" i="11"/>
  <c r="X1827" i="11"/>
  <c r="W1827" i="11"/>
  <c r="V1827" i="11"/>
  <c r="AB1826" i="11"/>
  <c r="AA1826" i="11"/>
  <c r="Z1826" i="11"/>
  <c r="Y1826" i="11"/>
  <c r="X1826" i="11"/>
  <c r="W1826" i="11"/>
  <c r="V1826" i="11"/>
  <c r="AB1825" i="11"/>
  <c r="AA1825" i="11"/>
  <c r="Z1825" i="11"/>
  <c r="Y1825" i="11"/>
  <c r="X1825" i="11"/>
  <c r="W1825" i="11"/>
  <c r="V1825" i="11"/>
  <c r="AB1821" i="11"/>
  <c r="AB1804" i="11"/>
  <c r="AB1823" i="11"/>
  <c r="AA1821" i="11"/>
  <c r="Z1821" i="11"/>
  <c r="Y1821" i="11"/>
  <c r="X1821" i="11"/>
  <c r="W1821" i="11"/>
  <c r="V1821" i="11"/>
  <c r="AB1820" i="11"/>
  <c r="AA1820" i="11"/>
  <c r="Z1820" i="11"/>
  <c r="Y1820" i="11"/>
  <c r="X1820" i="11"/>
  <c r="W1820" i="11"/>
  <c r="V1820" i="11"/>
  <c r="AA1819" i="11"/>
  <c r="Z1819" i="11"/>
  <c r="Y1819" i="11"/>
  <c r="X1819" i="11"/>
  <c r="W1819" i="11"/>
  <c r="V1819" i="11"/>
  <c r="AB1818" i="11"/>
  <c r="AA1818" i="11"/>
  <c r="Z1818" i="11"/>
  <c r="Y1818" i="11"/>
  <c r="X1818" i="11"/>
  <c r="W1818" i="11"/>
  <c r="V1818" i="11"/>
  <c r="AB1817" i="11"/>
  <c r="AA1817" i="11"/>
  <c r="Z1817" i="11"/>
  <c r="Y1817" i="11"/>
  <c r="X1817" i="11"/>
  <c r="W1817" i="11"/>
  <c r="V1817" i="11"/>
  <c r="AB1816" i="11"/>
  <c r="AA1816" i="11"/>
  <c r="Z1816" i="11"/>
  <c r="Y1816" i="11"/>
  <c r="X1816" i="11"/>
  <c r="W1816" i="11"/>
  <c r="V1816" i="11"/>
  <c r="AB1815" i="11"/>
  <c r="AA1815" i="11"/>
  <c r="Z1815" i="11"/>
  <c r="Y1815" i="11"/>
  <c r="X1815" i="11"/>
  <c r="W1815" i="11"/>
  <c r="V1815" i="11"/>
  <c r="AB1814" i="11"/>
  <c r="AA1814" i="11"/>
  <c r="Z1814" i="11"/>
  <c r="Y1814" i="11"/>
  <c r="X1814" i="11"/>
  <c r="W1814" i="11"/>
  <c r="V1814" i="11"/>
  <c r="AB1813" i="11"/>
  <c r="AA1813" i="11"/>
  <c r="Z1813" i="11"/>
  <c r="Y1813" i="11"/>
  <c r="X1813" i="11"/>
  <c r="W1813" i="11"/>
  <c r="V1813" i="11"/>
  <c r="AB1812" i="11"/>
  <c r="AA1812" i="11"/>
  <c r="Z1812" i="11"/>
  <c r="Y1812" i="11"/>
  <c r="X1812" i="11"/>
  <c r="W1812" i="11"/>
  <c r="V1812" i="11"/>
  <c r="AB1811" i="11"/>
  <c r="AA1811" i="11"/>
  <c r="Z1811" i="11"/>
  <c r="Y1811" i="11"/>
  <c r="X1811" i="11"/>
  <c r="W1811" i="11"/>
  <c r="V1811" i="11"/>
  <c r="AB1810" i="11"/>
  <c r="AA1810" i="11"/>
  <c r="Z1810" i="11"/>
  <c r="Y1810" i="11"/>
  <c r="X1810" i="11"/>
  <c r="W1810" i="11"/>
  <c r="V1810" i="11"/>
  <c r="AB1809" i="11"/>
  <c r="AA1809" i="11"/>
  <c r="Z1809" i="11"/>
  <c r="Y1809" i="11"/>
  <c r="X1809" i="11"/>
  <c r="W1809" i="11"/>
  <c r="V1809" i="11"/>
  <c r="AB1808" i="11"/>
  <c r="AA1808" i="11"/>
  <c r="Z1808" i="11"/>
  <c r="Y1808" i="11"/>
  <c r="X1808" i="11"/>
  <c r="W1808" i="11"/>
  <c r="V1808" i="11"/>
  <c r="Y1949" i="11" l="1"/>
  <c r="AB1949" i="11"/>
  <c r="AB1951" i="11" s="1"/>
  <c r="W1949" i="11"/>
  <c r="X1949" i="11"/>
  <c r="AA1949" i="11"/>
  <c r="Z1949" i="11"/>
  <c r="Y1930" i="11"/>
  <c r="Z1930" i="11"/>
  <c r="W1930" i="11"/>
  <c r="AA1930" i="11"/>
  <c r="X1930" i="11"/>
  <c r="AB1930" i="11"/>
  <c r="AB1932" i="11" s="1"/>
  <c r="Z1918" i="11"/>
  <c r="Z1865" i="11"/>
  <c r="AB1848" i="11"/>
  <c r="AB1850" i="11" s="1"/>
  <c r="W1918" i="11"/>
  <c r="AA1918" i="11"/>
  <c r="X1848" i="11"/>
  <c r="W1901" i="11"/>
  <c r="Y1918" i="11"/>
  <c r="AB1918" i="11"/>
  <c r="AB1920" i="11" s="1"/>
  <c r="X1918" i="11"/>
  <c r="AA1865" i="11"/>
  <c r="Y1882" i="11"/>
  <c r="AB1882" i="11"/>
  <c r="AB1884" i="11" s="1"/>
  <c r="X1882" i="11"/>
  <c r="AA1882" i="11"/>
  <c r="W1882" i="11"/>
  <c r="Z1882" i="11"/>
  <c r="W1865" i="11"/>
  <c r="Z1848" i="11"/>
  <c r="AA1848" i="11"/>
  <c r="W1848" i="11"/>
  <c r="AB1865" i="11"/>
  <c r="AB1867" i="11" s="1"/>
  <c r="X1865" i="11"/>
  <c r="Y1865" i="11"/>
  <c r="Y1848" i="11"/>
  <c r="X1901" i="11"/>
  <c r="AB1901" i="11"/>
  <c r="AB1903" i="11" s="1"/>
  <c r="Y1901" i="11"/>
  <c r="Z1901" i="11"/>
  <c r="AA1901" i="11"/>
  <c r="Z1788" i="11"/>
  <c r="W1788" i="11"/>
  <c r="AA1788" i="11"/>
  <c r="X1788" i="11"/>
  <c r="AB1788" i="11"/>
  <c r="AB1790" i="11" s="1"/>
  <c r="Y1788" i="11"/>
  <c r="AB1838" i="11"/>
  <c r="AB1840" i="11" s="1"/>
  <c r="AA1838" i="11"/>
  <c r="W1838" i="11"/>
  <c r="X1838" i="11"/>
  <c r="Y1838" i="11"/>
  <c r="Z1838" i="11"/>
  <c r="Z1822" i="11"/>
  <c r="AB1822" i="11"/>
  <c r="AB1824" i="11" s="1"/>
  <c r="Y1822" i="11"/>
  <c r="AA1822" i="11"/>
  <c r="W1822" i="11"/>
  <c r="X1822" i="11"/>
  <c r="AB1767" i="11"/>
  <c r="AB1806" i="11"/>
  <c r="AA1804" i="11"/>
  <c r="Z1804" i="11"/>
  <c r="Y1804" i="11"/>
  <c r="X1804" i="11"/>
  <c r="W1804" i="11"/>
  <c r="V1804" i="11"/>
  <c r="AB1803" i="11"/>
  <c r="AA1803" i="11"/>
  <c r="Z1803" i="11"/>
  <c r="Y1803" i="11"/>
  <c r="X1803" i="11"/>
  <c r="W1803" i="11"/>
  <c r="V1803" i="11"/>
  <c r="AA1802" i="11"/>
  <c r="Z1802" i="11"/>
  <c r="Y1802" i="11"/>
  <c r="X1802" i="11"/>
  <c r="W1802" i="11"/>
  <c r="V1802" i="11"/>
  <c r="AB1801" i="11"/>
  <c r="AA1801" i="11"/>
  <c r="Z1801" i="11"/>
  <c r="Y1801" i="11"/>
  <c r="X1801" i="11"/>
  <c r="W1801" i="11"/>
  <c r="V1801" i="11"/>
  <c r="AB1800" i="11"/>
  <c r="AA1800" i="11"/>
  <c r="Z1800" i="11"/>
  <c r="Y1800" i="11"/>
  <c r="X1800" i="11"/>
  <c r="W1800" i="11"/>
  <c r="V1800" i="11"/>
  <c r="AB1799" i="11"/>
  <c r="AA1799" i="11"/>
  <c r="Z1799" i="11"/>
  <c r="Y1799" i="11"/>
  <c r="X1799" i="11"/>
  <c r="W1799" i="11"/>
  <c r="V1799" i="11"/>
  <c r="AB1798" i="11"/>
  <c r="AA1798" i="11"/>
  <c r="Z1798" i="11"/>
  <c r="Y1798" i="11"/>
  <c r="X1798" i="11"/>
  <c r="W1798" i="11"/>
  <c r="V1798" i="11"/>
  <c r="AB1797" i="11"/>
  <c r="AA1797" i="11"/>
  <c r="Z1797" i="11"/>
  <c r="Y1797" i="11"/>
  <c r="X1797" i="11"/>
  <c r="W1797" i="11"/>
  <c r="V1797" i="11"/>
  <c r="AB1796" i="11"/>
  <c r="AA1796" i="11"/>
  <c r="Z1796" i="11"/>
  <c r="Y1796" i="11"/>
  <c r="X1796" i="11"/>
  <c r="W1796" i="11"/>
  <c r="V1796" i="11"/>
  <c r="AB1795" i="11"/>
  <c r="AA1795" i="11"/>
  <c r="Z1795" i="11"/>
  <c r="Y1795" i="11"/>
  <c r="X1795" i="11"/>
  <c r="W1795" i="11"/>
  <c r="V1795" i="11"/>
  <c r="AB1794" i="11"/>
  <c r="AA1794" i="11"/>
  <c r="Z1794" i="11"/>
  <c r="Y1794" i="11"/>
  <c r="X1794" i="11"/>
  <c r="W1794" i="11"/>
  <c r="V1794" i="11"/>
  <c r="AB1805" i="11" l="1"/>
  <c r="AB1807" i="11" s="1"/>
  <c r="AB1771" i="11" l="1"/>
  <c r="AA1769" i="11"/>
  <c r="Z1769" i="11"/>
  <c r="Y1769" i="11"/>
  <c r="X1769" i="11"/>
  <c r="W1769" i="11"/>
  <c r="V1769" i="11"/>
  <c r="AA1768" i="11"/>
  <c r="Z1768" i="11"/>
  <c r="Y1768" i="11"/>
  <c r="X1768" i="11"/>
  <c r="W1768" i="11"/>
  <c r="V1768" i="11"/>
  <c r="AA1767" i="11"/>
  <c r="Z1767" i="11"/>
  <c r="Y1767" i="11"/>
  <c r="X1767" i="11"/>
  <c r="W1767" i="11"/>
  <c r="V1767" i="11"/>
  <c r="AB1766" i="11"/>
  <c r="AA1766" i="11"/>
  <c r="Z1766" i="11"/>
  <c r="Y1766" i="11"/>
  <c r="X1766" i="11"/>
  <c r="W1766" i="11"/>
  <c r="V1766" i="11"/>
  <c r="AA1765" i="11"/>
  <c r="Z1765" i="11"/>
  <c r="Y1765" i="11"/>
  <c r="X1765" i="11"/>
  <c r="W1765" i="11"/>
  <c r="V1765" i="11"/>
  <c r="AB1764" i="11"/>
  <c r="AA1764" i="11"/>
  <c r="Z1764" i="11"/>
  <c r="Y1764" i="11"/>
  <c r="X1764" i="11"/>
  <c r="W1764" i="11"/>
  <c r="V1764" i="11"/>
  <c r="AB1763" i="11"/>
  <c r="AA1763" i="11"/>
  <c r="Z1763" i="11"/>
  <c r="Y1763" i="11"/>
  <c r="X1763" i="11"/>
  <c r="W1763" i="11"/>
  <c r="V1763" i="11"/>
  <c r="AB1762" i="11"/>
  <c r="AA1762" i="11"/>
  <c r="Z1762" i="11"/>
  <c r="Y1762" i="11"/>
  <c r="X1762" i="11"/>
  <c r="W1762" i="11"/>
  <c r="V1762" i="11"/>
  <c r="AB1761" i="11"/>
  <c r="AA1761" i="11"/>
  <c r="Z1761" i="11"/>
  <c r="Y1761" i="11"/>
  <c r="X1761" i="11"/>
  <c r="W1761" i="11"/>
  <c r="V1761" i="11"/>
  <c r="AB1760" i="11"/>
  <c r="AA1760" i="11"/>
  <c r="Z1760" i="11"/>
  <c r="Y1760" i="11"/>
  <c r="X1760" i="11"/>
  <c r="W1760" i="11"/>
  <c r="V1760" i="11"/>
  <c r="AB1759" i="11"/>
  <c r="AA1759" i="11"/>
  <c r="Z1759" i="11"/>
  <c r="Y1759" i="11"/>
  <c r="X1759" i="11"/>
  <c r="W1759" i="11"/>
  <c r="V1759" i="11"/>
  <c r="AB1758" i="11"/>
  <c r="AA1758" i="11"/>
  <c r="Z1758" i="11"/>
  <c r="Y1758" i="11"/>
  <c r="X1758" i="11"/>
  <c r="W1758" i="11"/>
  <c r="V1758" i="11"/>
  <c r="AB1757" i="11"/>
  <c r="AA1757" i="11"/>
  <c r="Z1757" i="11"/>
  <c r="Y1757" i="11"/>
  <c r="X1757" i="11"/>
  <c r="W1757" i="11"/>
  <c r="V1757" i="11"/>
  <c r="AB1756" i="11"/>
  <c r="AA1756" i="11"/>
  <c r="Z1756" i="11"/>
  <c r="Y1756" i="11"/>
  <c r="X1756" i="11"/>
  <c r="W1756" i="11"/>
  <c r="V1756" i="11"/>
  <c r="AB1755" i="11"/>
  <c r="AA1755" i="11"/>
  <c r="Z1755" i="11"/>
  <c r="Y1755" i="11"/>
  <c r="X1755" i="11"/>
  <c r="W1755" i="11"/>
  <c r="V1755" i="11"/>
  <c r="V1725" i="11"/>
  <c r="AB1753" i="11"/>
  <c r="AB1751" i="11"/>
  <c r="AA1751" i="11"/>
  <c r="Z1751" i="11"/>
  <c r="Y1751" i="11"/>
  <c r="X1751" i="11"/>
  <c r="W1751" i="11"/>
  <c r="V1751" i="11"/>
  <c r="AB1750" i="11"/>
  <c r="AA1750" i="11"/>
  <c r="Z1750" i="11"/>
  <c r="Y1750" i="11"/>
  <c r="X1750" i="11"/>
  <c r="W1750" i="11"/>
  <c r="V1750" i="11"/>
  <c r="AB1749" i="11"/>
  <c r="AA1749" i="11"/>
  <c r="Z1749" i="11"/>
  <c r="Y1749" i="11"/>
  <c r="X1749" i="11"/>
  <c r="W1749" i="11"/>
  <c r="V1749" i="11"/>
  <c r="AB1748" i="11"/>
  <c r="AA1748" i="11"/>
  <c r="Z1748" i="11"/>
  <c r="Y1748" i="11"/>
  <c r="X1748" i="11"/>
  <c r="W1748" i="11"/>
  <c r="V1748" i="11"/>
  <c r="AB1747" i="11"/>
  <c r="AA1747" i="11"/>
  <c r="Z1747" i="11"/>
  <c r="Y1747" i="11"/>
  <c r="X1747" i="11"/>
  <c r="W1747" i="11"/>
  <c r="V1747" i="11"/>
  <c r="AB1746" i="11"/>
  <c r="AA1746" i="11"/>
  <c r="Z1746" i="11"/>
  <c r="Y1746" i="11"/>
  <c r="X1746" i="11"/>
  <c r="W1746" i="11"/>
  <c r="V1746" i="11"/>
  <c r="AB1745" i="11"/>
  <c r="AA1745" i="11"/>
  <c r="Z1745" i="11"/>
  <c r="Y1745" i="11"/>
  <c r="X1745" i="11"/>
  <c r="W1745" i="11"/>
  <c r="V1745" i="11"/>
  <c r="AB1744" i="11"/>
  <c r="AA1744" i="11"/>
  <c r="Z1744" i="11"/>
  <c r="Y1744" i="11"/>
  <c r="X1744" i="11"/>
  <c r="W1744" i="11"/>
  <c r="V1744" i="11"/>
  <c r="AB1743" i="11"/>
  <c r="AA1743" i="11"/>
  <c r="Z1743" i="11"/>
  <c r="Y1743" i="11"/>
  <c r="X1743" i="11"/>
  <c r="W1743" i="11"/>
  <c r="V1743" i="11"/>
  <c r="AB1742" i="11"/>
  <c r="AA1742" i="11"/>
  <c r="Z1742" i="11"/>
  <c r="Y1742" i="11"/>
  <c r="X1742" i="11"/>
  <c r="W1742" i="11"/>
  <c r="AB1741" i="11"/>
  <c r="AA1741" i="11"/>
  <c r="Z1741" i="11"/>
  <c r="Y1741" i="11"/>
  <c r="X1741" i="11"/>
  <c r="W1741" i="11"/>
  <c r="V1741" i="11"/>
  <c r="AB1740" i="11"/>
  <c r="AA1740" i="11"/>
  <c r="Z1740" i="11"/>
  <c r="Y1740" i="11"/>
  <c r="X1740" i="11"/>
  <c r="W1740" i="11"/>
  <c r="V1740" i="11"/>
  <c r="AB1739" i="11"/>
  <c r="AA1739" i="11"/>
  <c r="Z1739" i="11"/>
  <c r="Y1739" i="11"/>
  <c r="X1739" i="11"/>
  <c r="W1739" i="11"/>
  <c r="V1739" i="11"/>
  <c r="AB1738" i="11"/>
  <c r="AA1738" i="11"/>
  <c r="Z1738" i="11"/>
  <c r="Y1738" i="11"/>
  <c r="X1738" i="11"/>
  <c r="W1738" i="11"/>
  <c r="V1738" i="11"/>
  <c r="Z1770" i="11" l="1"/>
  <c r="X1770" i="11"/>
  <c r="Y1770" i="11"/>
  <c r="AA1770" i="11"/>
  <c r="AB1770" i="11"/>
  <c r="AB1772" i="11" s="1"/>
  <c r="W1770" i="11"/>
  <c r="X1752" i="11"/>
  <c r="Z1752" i="11"/>
  <c r="W1752" i="11"/>
  <c r="Y1752" i="11"/>
  <c r="AA1752" i="11"/>
  <c r="AB1752" i="11"/>
  <c r="AB1754" i="11" s="1"/>
  <c r="AB1736" i="11" l="1"/>
  <c r="AB1734" i="11"/>
  <c r="AA1734" i="11"/>
  <c r="Z1734" i="11"/>
  <c r="Y1734" i="11"/>
  <c r="X1734" i="11"/>
  <c r="W1734" i="11"/>
  <c r="V1734" i="11"/>
  <c r="AA1733" i="11"/>
  <c r="Z1733" i="11"/>
  <c r="Y1733" i="11"/>
  <c r="X1733" i="11"/>
  <c r="W1733" i="11"/>
  <c r="V1733" i="11"/>
  <c r="AB1732" i="11"/>
  <c r="AA1732" i="11"/>
  <c r="Z1732" i="11"/>
  <c r="Y1732" i="11"/>
  <c r="X1732" i="11"/>
  <c r="W1732" i="11"/>
  <c r="V1732" i="11"/>
  <c r="AB1731" i="11"/>
  <c r="AA1731" i="11"/>
  <c r="Z1731" i="11"/>
  <c r="Y1731" i="11"/>
  <c r="X1731" i="11"/>
  <c r="W1731" i="11"/>
  <c r="V1731" i="11"/>
  <c r="AB1730" i="11"/>
  <c r="AA1730" i="11"/>
  <c r="Z1730" i="11"/>
  <c r="Y1730" i="11"/>
  <c r="X1730" i="11"/>
  <c r="W1730" i="11"/>
  <c r="V1730" i="11"/>
  <c r="AB1729" i="11"/>
  <c r="AA1729" i="11"/>
  <c r="Z1729" i="11"/>
  <c r="Y1729" i="11"/>
  <c r="X1729" i="11"/>
  <c r="W1729" i="11"/>
  <c r="V1729" i="11"/>
  <c r="AB1728" i="11"/>
  <c r="AA1728" i="11"/>
  <c r="Z1728" i="11"/>
  <c r="Y1728" i="11"/>
  <c r="X1728" i="11"/>
  <c r="W1728" i="11"/>
  <c r="V1728" i="11"/>
  <c r="AB1727" i="11"/>
  <c r="AA1727" i="11"/>
  <c r="Z1727" i="11"/>
  <c r="Y1727" i="11"/>
  <c r="X1727" i="11"/>
  <c r="W1727" i="11"/>
  <c r="V1727" i="11"/>
  <c r="AB1726" i="11"/>
  <c r="AA1726" i="11"/>
  <c r="Z1726" i="11"/>
  <c r="Y1726" i="11"/>
  <c r="X1726" i="11"/>
  <c r="W1726" i="11"/>
  <c r="V1726" i="11"/>
  <c r="AB1725" i="11"/>
  <c r="AA1725" i="11"/>
  <c r="Z1725" i="11"/>
  <c r="Y1725" i="11"/>
  <c r="X1725" i="11"/>
  <c r="W1725" i="11"/>
  <c r="AB1724" i="11"/>
  <c r="AA1724" i="11"/>
  <c r="Z1724" i="11"/>
  <c r="Y1724" i="11"/>
  <c r="X1724" i="11"/>
  <c r="W1724" i="11"/>
  <c r="V1724" i="11"/>
  <c r="AB1723" i="11"/>
  <c r="AA1723" i="11"/>
  <c r="Z1723" i="11"/>
  <c r="Y1723" i="11"/>
  <c r="X1723" i="11"/>
  <c r="W1723" i="11"/>
  <c r="V1723" i="11"/>
  <c r="AB1722" i="11"/>
  <c r="AA1722" i="11"/>
  <c r="Z1722" i="11"/>
  <c r="Y1722" i="11"/>
  <c r="X1722" i="11"/>
  <c r="W1722" i="11"/>
  <c r="V1722" i="11"/>
  <c r="AB1721" i="11"/>
  <c r="AA1721" i="11"/>
  <c r="Z1721" i="11"/>
  <c r="Y1721" i="11"/>
  <c r="X1721" i="11"/>
  <c r="W1721" i="11"/>
  <c r="V1721" i="11"/>
  <c r="U1703" i="11"/>
  <c r="Z1703" i="11" s="1"/>
  <c r="AB1719" i="11"/>
  <c r="AB1717" i="11"/>
  <c r="AA1717" i="11"/>
  <c r="Z1717" i="11"/>
  <c r="Y1717" i="11"/>
  <c r="X1717" i="11"/>
  <c r="W1717" i="11"/>
  <c r="V1717" i="11"/>
  <c r="AB1716" i="11"/>
  <c r="AA1716" i="11"/>
  <c r="Z1716" i="11"/>
  <c r="Y1716" i="11"/>
  <c r="X1716" i="11"/>
  <c r="W1716" i="11"/>
  <c r="V1716" i="11"/>
  <c r="AB1715" i="11"/>
  <c r="AA1715" i="11"/>
  <c r="Z1715" i="11"/>
  <c r="Y1715" i="11"/>
  <c r="X1715" i="11"/>
  <c r="W1715" i="11"/>
  <c r="V1715" i="11"/>
  <c r="AB1714" i="11"/>
  <c r="AA1714" i="11"/>
  <c r="Z1714" i="11"/>
  <c r="Y1714" i="11"/>
  <c r="X1714" i="11"/>
  <c r="W1714" i="11"/>
  <c r="V1714" i="11"/>
  <c r="AB1713" i="11"/>
  <c r="AA1713" i="11"/>
  <c r="Z1713" i="11"/>
  <c r="Y1713" i="11"/>
  <c r="X1713" i="11"/>
  <c r="W1713" i="11"/>
  <c r="V1713" i="11"/>
  <c r="AB1712" i="11"/>
  <c r="AA1712" i="11"/>
  <c r="Z1712" i="11"/>
  <c r="Y1712" i="11"/>
  <c r="X1712" i="11"/>
  <c r="W1712" i="11"/>
  <c r="V1712" i="11"/>
  <c r="AB1711" i="11"/>
  <c r="AA1711" i="11"/>
  <c r="Z1711" i="11"/>
  <c r="Y1711" i="11"/>
  <c r="X1711" i="11"/>
  <c r="W1711" i="11"/>
  <c r="V1711" i="11"/>
  <c r="AB1710" i="11"/>
  <c r="AA1710" i="11"/>
  <c r="Z1710" i="11"/>
  <c r="Y1710" i="11"/>
  <c r="X1710" i="11"/>
  <c r="W1710" i="11"/>
  <c r="V1710" i="11"/>
  <c r="AB1709" i="11"/>
  <c r="AA1709" i="11"/>
  <c r="Z1709" i="11"/>
  <c r="Y1709" i="11"/>
  <c r="X1709" i="11"/>
  <c r="W1709" i="11"/>
  <c r="V1709" i="11"/>
  <c r="AB1707" i="11"/>
  <c r="AA1705" i="11"/>
  <c r="Z1705" i="11"/>
  <c r="Y1705" i="11"/>
  <c r="X1705" i="11"/>
  <c r="W1705" i="11"/>
  <c r="V1705" i="11"/>
  <c r="AB1704" i="11"/>
  <c r="AA1704" i="11"/>
  <c r="Z1704" i="11"/>
  <c r="Y1704" i="11"/>
  <c r="X1704" i="11"/>
  <c r="W1704" i="11"/>
  <c r="V1704" i="11"/>
  <c r="V1703" i="11"/>
  <c r="AB1702" i="11"/>
  <c r="AA1702" i="11"/>
  <c r="Z1702" i="11"/>
  <c r="Y1702" i="11"/>
  <c r="X1702" i="11"/>
  <c r="W1702" i="11"/>
  <c r="V1702" i="11"/>
  <c r="AB1701" i="11"/>
  <c r="AA1701" i="11"/>
  <c r="Z1701" i="11"/>
  <c r="Y1701" i="11"/>
  <c r="X1701" i="11"/>
  <c r="W1701" i="11"/>
  <c r="V1701" i="11"/>
  <c r="AB1700" i="11"/>
  <c r="AA1700" i="11"/>
  <c r="Z1700" i="11"/>
  <c r="Y1700" i="11"/>
  <c r="X1700" i="11"/>
  <c r="W1700" i="11"/>
  <c r="V1700" i="11"/>
  <c r="AB1699" i="11"/>
  <c r="AA1699" i="11"/>
  <c r="Z1699" i="11"/>
  <c r="Y1699" i="11"/>
  <c r="X1699" i="11"/>
  <c r="W1699" i="11"/>
  <c r="V1699" i="11"/>
  <c r="AB1698" i="11"/>
  <c r="AA1698" i="11"/>
  <c r="Z1698" i="11"/>
  <c r="Y1698" i="11"/>
  <c r="X1698" i="11"/>
  <c r="W1698" i="11"/>
  <c r="V1698" i="11"/>
  <c r="AB1697" i="11"/>
  <c r="AA1697" i="11"/>
  <c r="Z1697" i="11"/>
  <c r="Y1697" i="11"/>
  <c r="X1697" i="11"/>
  <c r="W1697" i="11"/>
  <c r="V1697" i="11"/>
  <c r="AB1696" i="11"/>
  <c r="AA1696" i="11"/>
  <c r="Z1696" i="11"/>
  <c r="Y1696" i="11"/>
  <c r="X1696" i="11"/>
  <c r="W1696" i="11"/>
  <c r="V1696" i="11"/>
  <c r="AB1695" i="11"/>
  <c r="AA1695" i="11"/>
  <c r="Z1695" i="11"/>
  <c r="Y1695" i="11"/>
  <c r="X1695" i="11"/>
  <c r="W1695" i="11"/>
  <c r="V1695" i="11"/>
  <c r="AB1694" i="11"/>
  <c r="AA1694" i="11"/>
  <c r="Z1694" i="11"/>
  <c r="Y1694" i="11"/>
  <c r="X1694" i="11"/>
  <c r="W1694" i="11"/>
  <c r="AB1693" i="11"/>
  <c r="AA1693" i="11"/>
  <c r="Z1693" i="11"/>
  <c r="Y1693" i="11"/>
  <c r="X1693" i="11"/>
  <c r="W1693" i="11"/>
  <c r="V1693" i="11"/>
  <c r="AB1692" i="11"/>
  <c r="AA1692" i="11"/>
  <c r="Z1692" i="11"/>
  <c r="Y1692" i="11"/>
  <c r="X1692" i="11"/>
  <c r="W1692" i="11"/>
  <c r="V1692" i="11"/>
  <c r="AB1691" i="11"/>
  <c r="AA1691" i="11"/>
  <c r="Z1691" i="11"/>
  <c r="Y1691" i="11"/>
  <c r="X1691" i="11"/>
  <c r="W1691" i="11"/>
  <c r="V1691" i="11"/>
  <c r="AB1690" i="11"/>
  <c r="AA1690" i="11"/>
  <c r="Z1690" i="11"/>
  <c r="Y1690" i="11"/>
  <c r="X1690" i="11"/>
  <c r="W1690" i="11"/>
  <c r="V1690" i="11"/>
  <c r="U1684" i="11"/>
  <c r="X1684" i="11" s="1"/>
  <c r="AB1688" i="11"/>
  <c r="AA1686" i="11"/>
  <c r="Z1686" i="11"/>
  <c r="Y1686" i="11"/>
  <c r="X1686" i="11"/>
  <c r="W1686" i="11"/>
  <c r="V1686" i="11"/>
  <c r="AA1685" i="11"/>
  <c r="Z1685" i="11"/>
  <c r="Y1685" i="11"/>
  <c r="X1685" i="11"/>
  <c r="W1685" i="11"/>
  <c r="V1685" i="11"/>
  <c r="V1684" i="11"/>
  <c r="AB1683" i="11"/>
  <c r="AA1683" i="11"/>
  <c r="Z1683" i="11"/>
  <c r="Y1683" i="11"/>
  <c r="X1683" i="11"/>
  <c r="W1683" i="11"/>
  <c r="V1683" i="11"/>
  <c r="AB1682" i="11"/>
  <c r="AA1682" i="11"/>
  <c r="Z1682" i="11"/>
  <c r="Y1682" i="11"/>
  <c r="X1682" i="11"/>
  <c r="W1682" i="11"/>
  <c r="V1682" i="11"/>
  <c r="AB1681" i="11"/>
  <c r="AA1681" i="11"/>
  <c r="Z1681" i="11"/>
  <c r="Y1681" i="11"/>
  <c r="X1681" i="11"/>
  <c r="W1681" i="11"/>
  <c r="V1681" i="11"/>
  <c r="AB1680" i="11"/>
  <c r="AA1680" i="11"/>
  <c r="Z1680" i="11"/>
  <c r="Y1680" i="11"/>
  <c r="X1680" i="11"/>
  <c r="W1680" i="11"/>
  <c r="V1680" i="11"/>
  <c r="AB1679" i="11"/>
  <c r="AA1679" i="11"/>
  <c r="Z1679" i="11"/>
  <c r="Y1679" i="11"/>
  <c r="X1679" i="11"/>
  <c r="W1679" i="11"/>
  <c r="V1679" i="11"/>
  <c r="AB1678" i="11"/>
  <c r="AA1678" i="11"/>
  <c r="Z1678" i="11"/>
  <c r="Y1678" i="11"/>
  <c r="X1678" i="11"/>
  <c r="W1678" i="11"/>
  <c r="V1678" i="11"/>
  <c r="AB1677" i="11"/>
  <c r="AA1677" i="11"/>
  <c r="Z1677" i="11"/>
  <c r="Y1677" i="11"/>
  <c r="X1677" i="11"/>
  <c r="W1677" i="11"/>
  <c r="V1677" i="11"/>
  <c r="AB1676" i="11"/>
  <c r="AA1676" i="11"/>
  <c r="Z1676" i="11"/>
  <c r="Y1676" i="11"/>
  <c r="X1676" i="11"/>
  <c r="W1676" i="11"/>
  <c r="V1676" i="11"/>
  <c r="AB1675" i="11"/>
  <c r="AA1675" i="11"/>
  <c r="Z1675" i="11"/>
  <c r="Y1675" i="11"/>
  <c r="X1675" i="11"/>
  <c r="W1675" i="11"/>
  <c r="V1675" i="11"/>
  <c r="AB1674" i="11"/>
  <c r="AA1674" i="11"/>
  <c r="Z1674" i="11"/>
  <c r="Y1674" i="11"/>
  <c r="X1674" i="11"/>
  <c r="W1674" i="11"/>
  <c r="V1674" i="11"/>
  <c r="AB1673" i="11"/>
  <c r="AA1673" i="11"/>
  <c r="Z1673" i="11"/>
  <c r="Y1673" i="11"/>
  <c r="X1673" i="11"/>
  <c r="W1673" i="11"/>
  <c r="V1673" i="11"/>
  <c r="AA1669" i="11"/>
  <c r="Z1669" i="11"/>
  <c r="Y1669" i="11"/>
  <c r="X1669" i="11"/>
  <c r="W1669" i="11"/>
  <c r="V1669" i="11"/>
  <c r="AB1668" i="11"/>
  <c r="AA1668" i="11"/>
  <c r="Z1668" i="11"/>
  <c r="Y1668" i="11"/>
  <c r="X1668" i="11"/>
  <c r="W1668" i="11"/>
  <c r="V1668" i="11"/>
  <c r="AB1667" i="11"/>
  <c r="AA1667" i="11"/>
  <c r="Z1667" i="11"/>
  <c r="Y1667" i="11"/>
  <c r="X1667" i="11"/>
  <c r="W1667" i="11"/>
  <c r="V1667" i="11"/>
  <c r="AB1666" i="11"/>
  <c r="AA1666" i="11"/>
  <c r="Z1666" i="11"/>
  <c r="Y1666" i="11"/>
  <c r="X1666" i="11"/>
  <c r="W1666" i="11"/>
  <c r="V1666" i="11"/>
  <c r="AB1665" i="11"/>
  <c r="AA1665" i="11"/>
  <c r="Z1665" i="11"/>
  <c r="Y1665" i="11"/>
  <c r="X1665" i="11"/>
  <c r="W1665" i="11"/>
  <c r="V1665" i="11"/>
  <c r="AB1664" i="11"/>
  <c r="AA1664" i="11"/>
  <c r="Z1664" i="11"/>
  <c r="Y1664" i="11"/>
  <c r="X1664" i="11"/>
  <c r="W1664" i="11"/>
  <c r="V1664" i="11"/>
  <c r="AB1663" i="11"/>
  <c r="AA1663" i="11"/>
  <c r="Z1663" i="11"/>
  <c r="Y1663" i="11"/>
  <c r="X1663" i="11"/>
  <c r="W1663" i="11"/>
  <c r="V1663" i="11"/>
  <c r="AB1662" i="11"/>
  <c r="AA1662" i="11"/>
  <c r="Z1662" i="11"/>
  <c r="Y1662" i="11"/>
  <c r="X1662" i="11"/>
  <c r="W1662" i="11"/>
  <c r="V1662" i="11"/>
  <c r="AB1661" i="11"/>
  <c r="AA1661" i="11"/>
  <c r="Z1661" i="11"/>
  <c r="Y1661" i="11"/>
  <c r="X1661" i="11"/>
  <c r="W1661" i="11"/>
  <c r="V1661" i="11"/>
  <c r="AB1660" i="11"/>
  <c r="AA1660" i="11"/>
  <c r="Z1660" i="11"/>
  <c r="Y1660" i="11"/>
  <c r="X1660" i="11"/>
  <c r="W1660" i="11"/>
  <c r="V1660" i="11"/>
  <c r="AB1659" i="11"/>
  <c r="AA1659" i="11"/>
  <c r="Z1659" i="11"/>
  <c r="Y1659" i="11"/>
  <c r="X1659" i="11"/>
  <c r="W1659" i="11"/>
  <c r="V1659" i="11"/>
  <c r="AB1658" i="11"/>
  <c r="AA1658" i="11"/>
  <c r="Z1658" i="11"/>
  <c r="Y1658" i="11"/>
  <c r="X1658" i="11"/>
  <c r="W1658" i="11"/>
  <c r="V1658" i="11"/>
  <c r="AB1657" i="11"/>
  <c r="AA1657" i="11"/>
  <c r="Z1657" i="11"/>
  <c r="Y1657" i="11"/>
  <c r="X1657" i="11"/>
  <c r="W1657" i="11"/>
  <c r="V1657" i="11"/>
  <c r="AB1656" i="11"/>
  <c r="AA1656" i="11"/>
  <c r="Z1656" i="11"/>
  <c r="Y1656" i="11"/>
  <c r="X1656" i="11"/>
  <c r="W1656" i="11"/>
  <c r="V1656" i="11"/>
  <c r="AB1655" i="11"/>
  <c r="AA1655" i="11"/>
  <c r="Z1655" i="11"/>
  <c r="Y1655" i="11"/>
  <c r="X1655" i="11"/>
  <c r="W1655" i="11"/>
  <c r="V1655" i="11"/>
  <c r="AB1654" i="11"/>
  <c r="AA1654" i="11"/>
  <c r="Z1654" i="11"/>
  <c r="Y1654" i="11"/>
  <c r="X1654" i="11"/>
  <c r="W1654" i="11"/>
  <c r="V1654" i="11"/>
  <c r="AB1647" i="11"/>
  <c r="CZ53" i="20"/>
  <c r="DA53" i="20"/>
  <c r="CT53" i="20"/>
  <c r="CN53" i="20"/>
  <c r="DE52" i="20"/>
  <c r="CX53" i="20"/>
  <c r="CW53" i="20"/>
  <c r="CU53" i="20"/>
  <c r="CR53" i="20"/>
  <c r="CQ53" i="20"/>
  <c r="CO53" i="20"/>
  <c r="AB1652" i="11"/>
  <c r="AA1650" i="11"/>
  <c r="Z1650" i="11"/>
  <c r="Y1650" i="11"/>
  <c r="X1650" i="11"/>
  <c r="W1650" i="11"/>
  <c r="V1650" i="11"/>
  <c r="AB1649" i="11"/>
  <c r="AA1649" i="11"/>
  <c r="Z1649" i="11"/>
  <c r="Y1649" i="11"/>
  <c r="X1649" i="11"/>
  <c r="W1649" i="11"/>
  <c r="V1649" i="11"/>
  <c r="AA1648" i="11"/>
  <c r="Z1648" i="11"/>
  <c r="Y1648" i="11"/>
  <c r="X1648" i="11"/>
  <c r="W1648" i="11"/>
  <c r="V1648" i="11"/>
  <c r="AA1647" i="11"/>
  <c r="Z1647" i="11"/>
  <c r="Y1647" i="11"/>
  <c r="X1647" i="11"/>
  <c r="W1647" i="11"/>
  <c r="V1647" i="11"/>
  <c r="AB1646" i="11"/>
  <c r="AA1646" i="11"/>
  <c r="Z1646" i="11"/>
  <c r="Y1646" i="11"/>
  <c r="X1646" i="11"/>
  <c r="W1646" i="11"/>
  <c r="V1646" i="11"/>
  <c r="AB1645" i="11"/>
  <c r="AA1645" i="11"/>
  <c r="Z1645" i="11"/>
  <c r="Y1645" i="11"/>
  <c r="X1645" i="11"/>
  <c r="W1645" i="11"/>
  <c r="V1645" i="11"/>
  <c r="AB1644" i="11"/>
  <c r="AA1644" i="11"/>
  <c r="Z1644" i="11"/>
  <c r="Y1644" i="11"/>
  <c r="X1644" i="11"/>
  <c r="W1644" i="11"/>
  <c r="V1644" i="11"/>
  <c r="AB1643" i="11"/>
  <c r="AA1643" i="11"/>
  <c r="Z1643" i="11"/>
  <c r="Y1643" i="11"/>
  <c r="X1643" i="11"/>
  <c r="W1643" i="11"/>
  <c r="V1643" i="11"/>
  <c r="AB1642" i="11"/>
  <c r="AA1642" i="11"/>
  <c r="Z1642" i="11"/>
  <c r="Y1642" i="11"/>
  <c r="X1642" i="11"/>
  <c r="W1642" i="11"/>
  <c r="V1642" i="11"/>
  <c r="AB1641" i="11"/>
  <c r="AA1641" i="11"/>
  <c r="Z1641" i="11"/>
  <c r="Y1641" i="11"/>
  <c r="X1641" i="11"/>
  <c r="W1641" i="11"/>
  <c r="V1641" i="11"/>
  <c r="AB1640" i="11"/>
  <c r="AA1640" i="11"/>
  <c r="Z1640" i="11"/>
  <c r="Y1640" i="11"/>
  <c r="X1640" i="11"/>
  <c r="W1640" i="11"/>
  <c r="V1640" i="11"/>
  <c r="AB1639" i="11"/>
  <c r="AA1639" i="11"/>
  <c r="Z1639" i="11"/>
  <c r="Y1639" i="11"/>
  <c r="X1639" i="11"/>
  <c r="W1639" i="11"/>
  <c r="V1639" i="11"/>
  <c r="AB1638" i="11"/>
  <c r="AA1638" i="11"/>
  <c r="Z1638" i="11"/>
  <c r="Y1638" i="11"/>
  <c r="X1638" i="11"/>
  <c r="W1638" i="11"/>
  <c r="V1638" i="11"/>
  <c r="AB1637" i="11"/>
  <c r="AA1637" i="11"/>
  <c r="Z1637" i="11"/>
  <c r="Y1637" i="11"/>
  <c r="X1637" i="11"/>
  <c r="W1637" i="11"/>
  <c r="V1637" i="11"/>
  <c r="AB1636" i="11"/>
  <c r="AA1636" i="11"/>
  <c r="Z1636" i="11"/>
  <c r="Y1636" i="11"/>
  <c r="X1636" i="11"/>
  <c r="W1636" i="11"/>
  <c r="V1636" i="11"/>
  <c r="AB1635" i="11"/>
  <c r="AA1635" i="11"/>
  <c r="Z1635" i="11"/>
  <c r="Y1635" i="11"/>
  <c r="X1635" i="11"/>
  <c r="W1635" i="11"/>
  <c r="V1635" i="11"/>
  <c r="AB1634" i="11"/>
  <c r="AA1634" i="11"/>
  <c r="Z1634" i="11"/>
  <c r="Y1634" i="11"/>
  <c r="X1634" i="11"/>
  <c r="W1634" i="11"/>
  <c r="V1634" i="11"/>
  <c r="AB1633" i="11"/>
  <c r="AA1633" i="11"/>
  <c r="Z1633" i="11"/>
  <c r="Y1633" i="11"/>
  <c r="X1633" i="11"/>
  <c r="W1633" i="11"/>
  <c r="V1633" i="11"/>
  <c r="AB1632" i="11"/>
  <c r="AA1632" i="11"/>
  <c r="Z1632" i="11"/>
  <c r="Y1632" i="11"/>
  <c r="X1632" i="11"/>
  <c r="W1632" i="11"/>
  <c r="V1632" i="11"/>
  <c r="AB1622" i="11"/>
  <c r="AB1630" i="11"/>
  <c r="AB1628" i="11"/>
  <c r="AA1628" i="11"/>
  <c r="Z1628" i="11"/>
  <c r="Y1628" i="11"/>
  <c r="X1628" i="11"/>
  <c r="W1628" i="11"/>
  <c r="V1628" i="11"/>
  <c r="AB1627" i="11"/>
  <c r="AA1627" i="11"/>
  <c r="Z1627" i="11"/>
  <c r="Y1627" i="11"/>
  <c r="X1627" i="11"/>
  <c r="W1627" i="11"/>
  <c r="V1627" i="11"/>
  <c r="AB1626" i="11"/>
  <c r="AA1626" i="11"/>
  <c r="Z1626" i="11"/>
  <c r="Y1626" i="11"/>
  <c r="X1626" i="11"/>
  <c r="W1626" i="11"/>
  <c r="V1626" i="11"/>
  <c r="AB1625" i="11"/>
  <c r="AA1625" i="11"/>
  <c r="Z1625" i="11"/>
  <c r="Y1625" i="11"/>
  <c r="X1625" i="11"/>
  <c r="W1625" i="11"/>
  <c r="V1625" i="11"/>
  <c r="AB1624" i="11"/>
  <c r="AA1624" i="11"/>
  <c r="Z1624" i="11"/>
  <c r="Y1624" i="11"/>
  <c r="X1624" i="11"/>
  <c r="W1624" i="11"/>
  <c r="V1624" i="11"/>
  <c r="AB1623" i="11"/>
  <c r="AA1623" i="11"/>
  <c r="Z1623" i="11"/>
  <c r="Y1623" i="11"/>
  <c r="X1623" i="11"/>
  <c r="W1623" i="11"/>
  <c r="V1623" i="11"/>
  <c r="AA1622" i="11"/>
  <c r="Z1622" i="11"/>
  <c r="Y1622" i="11"/>
  <c r="X1622" i="11"/>
  <c r="W1622" i="11"/>
  <c r="V1622" i="11"/>
  <c r="AB1621" i="11"/>
  <c r="AA1621" i="11"/>
  <c r="Z1621" i="11"/>
  <c r="Y1621" i="11"/>
  <c r="X1621" i="11"/>
  <c r="W1621" i="11"/>
  <c r="V1621" i="11"/>
  <c r="AB1620" i="11"/>
  <c r="AA1620" i="11"/>
  <c r="Z1620" i="11"/>
  <c r="Y1620" i="11"/>
  <c r="X1620" i="11"/>
  <c r="W1620" i="11"/>
  <c r="V1620" i="11"/>
  <c r="AB1619" i="11"/>
  <c r="AA1619" i="11"/>
  <c r="Z1619" i="11"/>
  <c r="Y1619" i="11"/>
  <c r="X1619" i="11"/>
  <c r="W1619" i="11"/>
  <c r="V1619" i="11"/>
  <c r="AB1618" i="11"/>
  <c r="AA1618" i="11"/>
  <c r="Z1618" i="11"/>
  <c r="Y1618" i="11"/>
  <c r="X1618" i="11"/>
  <c r="W1618" i="11"/>
  <c r="V1618" i="11"/>
  <c r="AB1617" i="11"/>
  <c r="AA1617" i="11"/>
  <c r="Z1617" i="11"/>
  <c r="Y1617" i="11"/>
  <c r="X1617" i="11"/>
  <c r="W1617" i="11"/>
  <c r="V1617" i="11"/>
  <c r="AB1616" i="11"/>
  <c r="AA1616" i="11"/>
  <c r="Z1616" i="11"/>
  <c r="Y1616" i="11"/>
  <c r="X1616" i="11"/>
  <c r="W1616" i="11"/>
  <c r="V1616" i="11"/>
  <c r="AB1593" i="11"/>
  <c r="AB1614" i="11"/>
  <c r="AB1612" i="11"/>
  <c r="AA1612" i="11"/>
  <c r="Z1612" i="11"/>
  <c r="Y1612" i="11"/>
  <c r="X1612" i="11"/>
  <c r="W1612" i="11"/>
  <c r="V1612" i="11"/>
  <c r="AB1611" i="11"/>
  <c r="AA1611" i="11"/>
  <c r="Z1611" i="11"/>
  <c r="Y1611" i="11"/>
  <c r="X1611" i="11"/>
  <c r="W1611" i="11"/>
  <c r="V1611" i="11"/>
  <c r="AB1610" i="11"/>
  <c r="AA1610" i="11"/>
  <c r="Z1610" i="11"/>
  <c r="Y1610" i="11"/>
  <c r="X1610" i="11"/>
  <c r="V1610" i="11"/>
  <c r="AB1609" i="11"/>
  <c r="AA1609" i="11"/>
  <c r="Z1609" i="11"/>
  <c r="Y1609" i="11"/>
  <c r="X1609" i="11"/>
  <c r="W1609" i="11"/>
  <c r="V1609" i="11"/>
  <c r="AB1608" i="11"/>
  <c r="AA1608" i="11"/>
  <c r="Z1608" i="11"/>
  <c r="Y1608" i="11"/>
  <c r="X1608" i="11"/>
  <c r="W1608" i="11"/>
  <c r="V1608" i="11"/>
  <c r="AB1607" i="11"/>
  <c r="AA1607" i="11"/>
  <c r="Z1607" i="11"/>
  <c r="Y1607" i="11"/>
  <c r="X1607" i="11"/>
  <c r="W1607" i="11"/>
  <c r="V1607" i="11"/>
  <c r="AB1606" i="11"/>
  <c r="AA1606" i="11"/>
  <c r="Z1606" i="11"/>
  <c r="Y1606" i="11"/>
  <c r="X1606" i="11"/>
  <c r="W1606" i="11"/>
  <c r="V1606" i="11"/>
  <c r="AB1605" i="11"/>
  <c r="AA1605" i="11"/>
  <c r="Y1605" i="11"/>
  <c r="X1605" i="11"/>
  <c r="W1605" i="11"/>
  <c r="V1605" i="11"/>
  <c r="AA1604" i="11"/>
  <c r="Z1604" i="11"/>
  <c r="Y1604" i="11"/>
  <c r="X1604" i="11"/>
  <c r="W1604" i="11"/>
  <c r="V1604" i="11"/>
  <c r="AB1603" i="11"/>
  <c r="AA1603" i="11"/>
  <c r="Z1603" i="11"/>
  <c r="Y1603" i="11"/>
  <c r="X1603" i="11"/>
  <c r="W1603" i="11"/>
  <c r="V1603" i="11"/>
  <c r="AB1602" i="11"/>
  <c r="AA1602" i="11"/>
  <c r="Z1602" i="11"/>
  <c r="Y1602" i="11"/>
  <c r="X1602" i="11"/>
  <c r="W1602" i="11"/>
  <c r="V1602" i="11"/>
  <c r="AB1601" i="11"/>
  <c r="AA1601" i="11"/>
  <c r="Z1601" i="11"/>
  <c r="Y1601" i="11"/>
  <c r="X1601" i="11"/>
  <c r="W1601" i="11"/>
  <c r="V1601" i="11"/>
  <c r="AB1600" i="11"/>
  <c r="AA1600" i="11"/>
  <c r="Z1600" i="11"/>
  <c r="Y1600" i="11"/>
  <c r="X1600" i="11"/>
  <c r="W1600" i="11"/>
  <c r="V1600" i="11"/>
  <c r="AB1599" i="11"/>
  <c r="AA1599" i="11"/>
  <c r="Z1599" i="11"/>
  <c r="Y1599" i="11"/>
  <c r="X1599" i="11"/>
  <c r="W1599" i="11"/>
  <c r="V1599" i="11"/>
  <c r="V1598" i="11"/>
  <c r="AB1591" i="11"/>
  <c r="AB1592" i="11"/>
  <c r="AB1588" i="11"/>
  <c r="AB1587" i="11"/>
  <c r="AB1596" i="11"/>
  <c r="AB1576" i="11"/>
  <c r="AB1558" i="11"/>
  <c r="AB1545" i="11"/>
  <c r="AB1527" i="11"/>
  <c r="AB1510" i="11"/>
  <c r="AB1500" i="11"/>
  <c r="AB1482" i="11"/>
  <c r="AB1455" i="11"/>
  <c r="AB1440" i="11"/>
  <c r="AB1423" i="11"/>
  <c r="AB1404" i="11"/>
  <c r="AB1388" i="11"/>
  <c r="AB1364" i="11"/>
  <c r="AB1339" i="11"/>
  <c r="AB1317" i="11"/>
  <c r="AB1296" i="11"/>
  <c r="AB1275" i="11"/>
  <c r="AB1255" i="11"/>
  <c r="AB1236" i="11"/>
  <c r="AB1214" i="11"/>
  <c r="AB1199" i="11"/>
  <c r="AB1186" i="11"/>
  <c r="AB1170" i="11"/>
  <c r="AB1150" i="11"/>
  <c r="AB1133" i="11"/>
  <c r="AB1119" i="11"/>
  <c r="AB1105" i="11"/>
  <c r="AB1097" i="11"/>
  <c r="AB1075" i="11"/>
  <c r="AB1056" i="11"/>
  <c r="AB1038" i="11"/>
  <c r="AB1019" i="11"/>
  <c r="AB1006" i="11"/>
  <c r="AB994" i="11"/>
  <c r="AB978" i="11"/>
  <c r="AB958" i="11"/>
  <c r="AB940" i="11"/>
  <c r="AB921" i="11"/>
  <c r="AB902" i="11"/>
  <c r="AB886" i="11"/>
  <c r="AB870" i="11"/>
  <c r="AB851" i="11"/>
  <c r="AB836" i="11"/>
  <c r="AB799" i="11"/>
  <c r="AB784" i="11"/>
  <c r="AB766" i="11"/>
  <c r="AB753" i="11"/>
  <c r="AB736" i="11"/>
  <c r="AB696" i="11"/>
  <c r="AB675" i="11"/>
  <c r="AB658" i="11"/>
  <c r="AB642" i="11"/>
  <c r="AB627" i="11"/>
  <c r="AB616" i="11"/>
  <c r="AB602" i="11"/>
  <c r="AB581" i="11"/>
  <c r="AB562" i="11"/>
  <c r="AB546" i="11"/>
  <c r="AB532" i="11"/>
  <c r="AB519" i="11"/>
  <c r="AB507" i="11"/>
  <c r="AB487" i="11"/>
  <c r="AB473" i="11"/>
  <c r="AB454" i="11"/>
  <c r="AB438" i="11"/>
  <c r="AB424" i="11"/>
  <c r="AB411" i="11"/>
  <c r="AB395" i="11"/>
  <c r="AB375" i="11"/>
  <c r="AB356" i="11"/>
  <c r="AB339" i="11"/>
  <c r="AB321" i="11"/>
  <c r="AB305" i="11"/>
  <c r="AB290" i="11"/>
  <c r="AB270" i="11"/>
  <c r="AB253" i="11"/>
  <c r="AB233" i="11"/>
  <c r="AB219" i="11"/>
  <c r="AB202" i="11"/>
  <c r="AB186" i="11"/>
  <c r="AB178" i="11"/>
  <c r="AB160" i="11"/>
  <c r="AB139" i="11"/>
  <c r="AB118" i="11"/>
  <c r="AB100" i="11"/>
  <c r="AB81" i="11"/>
  <c r="AB60" i="11"/>
  <c r="AB41" i="11"/>
  <c r="AB21" i="11"/>
  <c r="AB1503" i="11"/>
  <c r="AB1504" i="11"/>
  <c r="AB1512" i="11"/>
  <c r="AB1513" i="11"/>
  <c r="AB1514" i="11"/>
  <c r="AB1515" i="11"/>
  <c r="AB1516" i="11"/>
  <c r="AB1517" i="11"/>
  <c r="AB1518" i="11"/>
  <c r="AB1519" i="11"/>
  <c r="AB1520" i="11"/>
  <c r="AB1521" i="11"/>
  <c r="AB1522" i="11"/>
  <c r="AB1523" i="11"/>
  <c r="AB1524" i="11"/>
  <c r="AB1525" i="11"/>
  <c r="AB1530" i="11"/>
  <c r="AB1531" i="11"/>
  <c r="AB1532" i="11"/>
  <c r="AB1533" i="11"/>
  <c r="AB1534" i="11"/>
  <c r="AB1535" i="11"/>
  <c r="AB1536" i="11"/>
  <c r="AB1537" i="11"/>
  <c r="AB1538" i="11"/>
  <c r="AB1539" i="11"/>
  <c r="AB1541" i="11"/>
  <c r="AB1542" i="11"/>
  <c r="AB1543" i="11"/>
  <c r="AB1548" i="11"/>
  <c r="AB1549" i="11"/>
  <c r="AB1554" i="11"/>
  <c r="AB1555" i="11"/>
  <c r="AB1556" i="11"/>
  <c r="AB1561" i="11"/>
  <c r="AB1562" i="11"/>
  <c r="AB1563" i="11"/>
  <c r="AB1564" i="11"/>
  <c r="AB1565" i="11"/>
  <c r="AB1566" i="11"/>
  <c r="AB1567" i="11"/>
  <c r="AB1568" i="11"/>
  <c r="AB1569" i="11"/>
  <c r="AB1570" i="11"/>
  <c r="AB1571" i="11"/>
  <c r="AB1572" i="11"/>
  <c r="AB1573" i="11"/>
  <c r="AB1574" i="11"/>
  <c r="AB1579" i="11"/>
  <c r="AB1580" i="11"/>
  <c r="AB1581" i="11"/>
  <c r="AB1582" i="11"/>
  <c r="AB1583" i="11"/>
  <c r="AB1584" i="11"/>
  <c r="AB1585" i="11"/>
  <c r="AB1586" i="11"/>
  <c r="AB1589" i="11"/>
  <c r="AB1590" i="11"/>
  <c r="AB1594" i="11"/>
  <c r="AB1008" i="11"/>
  <c r="AB1009" i="11"/>
  <c r="AB1010" i="11"/>
  <c r="AB1011" i="11"/>
  <c r="AB1012" i="11"/>
  <c r="AB1013" i="11"/>
  <c r="AB1014" i="11"/>
  <c r="AB1015" i="11"/>
  <c r="AB1016" i="11"/>
  <c r="AB1017" i="11"/>
  <c r="AB1021" i="11"/>
  <c r="AB1022" i="11"/>
  <c r="AB1023" i="11"/>
  <c r="AB1024" i="11"/>
  <c r="AB1025" i="11"/>
  <c r="AB1026" i="11"/>
  <c r="AB1027" i="11"/>
  <c r="AB1028" i="11"/>
  <c r="AB1029" i="11"/>
  <c r="AB1030" i="11"/>
  <c r="AB1031" i="11"/>
  <c r="AB1032" i="11"/>
  <c r="AB1033" i="11"/>
  <c r="AB1034" i="11"/>
  <c r="AB1035" i="11"/>
  <c r="AB1036" i="11"/>
  <c r="AB1040" i="11"/>
  <c r="AB1041" i="11"/>
  <c r="AB1042" i="11"/>
  <c r="AB1043" i="11"/>
  <c r="AB1044" i="11"/>
  <c r="AB1045" i="11"/>
  <c r="AB1046" i="11"/>
  <c r="AB1047" i="11"/>
  <c r="AB1048" i="11"/>
  <c r="AB1049" i="11"/>
  <c r="AB1050" i="11"/>
  <c r="AB1051" i="11"/>
  <c r="AB1052" i="11"/>
  <c r="AB1053" i="11"/>
  <c r="AB1054" i="11"/>
  <c r="AB1058" i="11"/>
  <c r="AB1059" i="11"/>
  <c r="AB1060" i="11"/>
  <c r="AB1061" i="11"/>
  <c r="AB1062" i="11"/>
  <c r="AB1063" i="11"/>
  <c r="AB1064" i="11"/>
  <c r="AB1065" i="11"/>
  <c r="AB1066" i="11"/>
  <c r="AB1067" i="11"/>
  <c r="AB1068" i="11"/>
  <c r="AB1069" i="11"/>
  <c r="AB1070" i="11"/>
  <c r="AB1071" i="11"/>
  <c r="AB1072" i="11"/>
  <c r="AB1073" i="11"/>
  <c r="AB1077" i="11"/>
  <c r="AB1078" i="11"/>
  <c r="AB1079" i="11"/>
  <c r="AB1080" i="11"/>
  <c r="AB1081" i="11"/>
  <c r="AB1082" i="11"/>
  <c r="AB1083" i="11"/>
  <c r="AB1084" i="11"/>
  <c r="AB1085" i="11"/>
  <c r="AB1086" i="11"/>
  <c r="AB1087" i="11"/>
  <c r="AB1088" i="11"/>
  <c r="AB1089" i="11"/>
  <c r="AB1090" i="11"/>
  <c r="AB1091" i="11"/>
  <c r="AB1092" i="11"/>
  <c r="AB1093" i="11"/>
  <c r="AB1094" i="11"/>
  <c r="AB1095" i="11"/>
  <c r="AB1099" i="11"/>
  <c r="AB1100" i="11"/>
  <c r="AB1101" i="11"/>
  <c r="AB1102" i="11"/>
  <c r="AB1103" i="11"/>
  <c r="AB1107" i="11"/>
  <c r="AB1108" i="11"/>
  <c r="AB1109" i="11"/>
  <c r="AB1110" i="11"/>
  <c r="AB1111" i="11"/>
  <c r="AB1112" i="11"/>
  <c r="AB1113" i="11"/>
  <c r="AB1114" i="11"/>
  <c r="AB1115" i="11"/>
  <c r="AB1116" i="11"/>
  <c r="AB1117" i="11"/>
  <c r="AB1121" i="11"/>
  <c r="AB1122" i="11"/>
  <c r="AB1123" i="11"/>
  <c r="AB1124" i="11"/>
  <c r="AB1125" i="11"/>
  <c r="AB1126" i="11"/>
  <c r="AB1127" i="11"/>
  <c r="AB1128" i="11"/>
  <c r="AB1129" i="11"/>
  <c r="AB1130" i="11"/>
  <c r="AB1131" i="11"/>
  <c r="AB1135" i="11"/>
  <c r="AB1136" i="11"/>
  <c r="AB1137" i="11"/>
  <c r="AB1138" i="11"/>
  <c r="AB1139" i="11"/>
  <c r="AB1140" i="11"/>
  <c r="AB1141" i="11"/>
  <c r="AB1142" i="11"/>
  <c r="AB1143" i="11"/>
  <c r="AB1144" i="11"/>
  <c r="AB1145" i="11"/>
  <c r="AB1146" i="11"/>
  <c r="AB1147" i="11"/>
  <c r="AB1148" i="11"/>
  <c r="AB1152" i="11"/>
  <c r="AB1153" i="11"/>
  <c r="AB1154" i="11"/>
  <c r="AB1155" i="11"/>
  <c r="AB1156" i="11"/>
  <c r="AB1157" i="11"/>
  <c r="AB1158" i="11"/>
  <c r="AB1159" i="11"/>
  <c r="AB1160" i="11"/>
  <c r="AB1161" i="11"/>
  <c r="AB1162" i="11"/>
  <c r="AB1163" i="11"/>
  <c r="AB1164" i="11"/>
  <c r="AB1165" i="11"/>
  <c r="AB1166" i="11"/>
  <c r="AB1167" i="11"/>
  <c r="AB1168" i="11"/>
  <c r="AB1172" i="11"/>
  <c r="AB1173" i="11"/>
  <c r="AB1174" i="11"/>
  <c r="AB1175" i="11"/>
  <c r="AB1176" i="11"/>
  <c r="AB1177" i="11"/>
  <c r="AB1178" i="11"/>
  <c r="AB1179" i="11"/>
  <c r="AB1180" i="11"/>
  <c r="AB1181" i="11"/>
  <c r="AB1182" i="11"/>
  <c r="AB1183" i="11"/>
  <c r="AB1184" i="11"/>
  <c r="AB1188" i="11"/>
  <c r="AB1189" i="11"/>
  <c r="AB1190" i="11"/>
  <c r="AB1191" i="11"/>
  <c r="AB1192" i="11"/>
  <c r="AB1193" i="11"/>
  <c r="AB1194" i="11"/>
  <c r="AB1195" i="11"/>
  <c r="AB1196" i="11"/>
  <c r="AB1197" i="11"/>
  <c r="AB1201" i="11"/>
  <c r="AB1202" i="11"/>
  <c r="AB1203" i="11"/>
  <c r="AB1204" i="11"/>
  <c r="AB1205" i="11"/>
  <c r="AB1206" i="11"/>
  <c r="AB1207" i="11"/>
  <c r="AB1208" i="11"/>
  <c r="AB1209" i="11"/>
  <c r="AB1210" i="11"/>
  <c r="AB1211" i="11"/>
  <c r="AB1212" i="11"/>
  <c r="AB1216" i="11"/>
  <c r="AB1217" i="11"/>
  <c r="AB1218" i="11"/>
  <c r="AB1219" i="11"/>
  <c r="AB1220" i="11"/>
  <c r="AB1221" i="11"/>
  <c r="AB1222" i="11"/>
  <c r="AB1223" i="11"/>
  <c r="AB1224" i="11"/>
  <c r="AB1225" i="11"/>
  <c r="AB1226" i="11"/>
  <c r="AB1227" i="11"/>
  <c r="AB1228" i="11"/>
  <c r="AB1229" i="11"/>
  <c r="AB1230" i="11"/>
  <c r="AB1231" i="11"/>
  <c r="AB1232" i="11"/>
  <c r="AB1233" i="11"/>
  <c r="AB1234" i="11"/>
  <c r="AB1238" i="11"/>
  <c r="AB1239" i="11"/>
  <c r="AB1240" i="11"/>
  <c r="AB1241" i="11"/>
  <c r="AB1242" i="11"/>
  <c r="AB1243" i="11"/>
  <c r="AB1244" i="11"/>
  <c r="AB1245" i="11"/>
  <c r="AB1246" i="11"/>
  <c r="AB1247" i="11"/>
  <c r="AB1248" i="11"/>
  <c r="AB1249" i="11"/>
  <c r="AB1250" i="11"/>
  <c r="AB1251" i="11"/>
  <c r="AB1252" i="11"/>
  <c r="AB1253" i="11"/>
  <c r="AB1257" i="11"/>
  <c r="AB1258" i="11"/>
  <c r="AB1259" i="11"/>
  <c r="AB1260" i="11"/>
  <c r="AB1261" i="11"/>
  <c r="AB1262" i="11"/>
  <c r="AB1263" i="11"/>
  <c r="AB1264" i="11"/>
  <c r="AB1265" i="11"/>
  <c r="AB1266" i="11"/>
  <c r="AB1267" i="11"/>
  <c r="AB1268" i="11"/>
  <c r="AB1269" i="11"/>
  <c r="AB1270" i="11"/>
  <c r="AB1271" i="11"/>
  <c r="AB1272" i="11"/>
  <c r="AB1273" i="11"/>
  <c r="AB1277" i="11"/>
  <c r="AB1278" i="11"/>
  <c r="AB1279" i="11"/>
  <c r="AB1280" i="11"/>
  <c r="AB1281" i="11"/>
  <c r="AB1282" i="11"/>
  <c r="AB1283" i="11"/>
  <c r="AB1284" i="11"/>
  <c r="AB1285" i="11"/>
  <c r="AB1286" i="11"/>
  <c r="AB1287" i="11"/>
  <c r="AB1288" i="11"/>
  <c r="AB1289" i="11"/>
  <c r="AB1290" i="11"/>
  <c r="AB1291" i="11"/>
  <c r="AB1292" i="11"/>
  <c r="AB1293" i="11"/>
  <c r="AB1294" i="11"/>
  <c r="AB1299" i="11"/>
  <c r="AB1300" i="11"/>
  <c r="AB1301" i="11"/>
  <c r="AB1302" i="11"/>
  <c r="AB1303" i="11"/>
  <c r="AB1304" i="11"/>
  <c r="AB1305" i="11"/>
  <c r="AB1306" i="11"/>
  <c r="AB1307" i="11"/>
  <c r="AB1308" i="11"/>
  <c r="AB1309" i="11"/>
  <c r="AB1310" i="11"/>
  <c r="AB1311" i="11"/>
  <c r="AB1312" i="11"/>
  <c r="AB1313" i="11"/>
  <c r="AB1314" i="11"/>
  <c r="AB1315" i="11"/>
  <c r="AB1320" i="11"/>
  <c r="AB1321" i="11"/>
  <c r="AB1322" i="11"/>
  <c r="AB1323" i="11"/>
  <c r="AB1324" i="11"/>
  <c r="AB1325" i="11"/>
  <c r="AB1326" i="11"/>
  <c r="AB1327" i="11"/>
  <c r="AB1328" i="11"/>
  <c r="AB1329" i="11"/>
  <c r="AB1330" i="11"/>
  <c r="AB1331" i="11"/>
  <c r="AB1332" i="11"/>
  <c r="AB1333" i="11"/>
  <c r="AB1334" i="11"/>
  <c r="AB1335" i="11"/>
  <c r="AB1336" i="11"/>
  <c r="AB1337" i="11"/>
  <c r="AB1342" i="11"/>
  <c r="AB1343" i="11"/>
  <c r="AB1344" i="11"/>
  <c r="AB1345" i="11"/>
  <c r="AB1346" i="11"/>
  <c r="AB1347" i="11"/>
  <c r="AB1348" i="11"/>
  <c r="AB1349" i="11"/>
  <c r="AB1350" i="11"/>
  <c r="AB1352" i="11"/>
  <c r="AB1353" i="11"/>
  <c r="AB1354" i="11"/>
  <c r="AB1355" i="11"/>
  <c r="AB1356" i="11"/>
  <c r="AB1357" i="11"/>
  <c r="AB1358" i="11"/>
  <c r="AB1360" i="11"/>
  <c r="AB1361" i="11"/>
  <c r="AB1362" i="11"/>
  <c r="AB1366" i="11"/>
  <c r="AB1367" i="11"/>
  <c r="AB1369" i="11"/>
  <c r="AB1371" i="11"/>
  <c r="AB1372" i="11"/>
  <c r="AB1373" i="11"/>
  <c r="AB1374" i="11"/>
  <c r="AB1375" i="11"/>
  <c r="AB1376" i="11"/>
  <c r="AB1377" i="11"/>
  <c r="AB1378" i="11"/>
  <c r="AB1379" i="11"/>
  <c r="AB1380" i="11"/>
  <c r="AB1381" i="11"/>
  <c r="AB1382" i="11"/>
  <c r="AB1383" i="11"/>
  <c r="AB1384" i="11"/>
  <c r="AB1385" i="11"/>
  <c r="AB1390" i="11"/>
  <c r="AB1391" i="11"/>
  <c r="AB1392" i="11"/>
  <c r="AB1394" i="11"/>
  <c r="AB1395" i="11"/>
  <c r="AB1396" i="11"/>
  <c r="AB1397" i="11"/>
  <c r="AB1398" i="11"/>
  <c r="AB1399" i="11"/>
  <c r="AB1400" i="11"/>
  <c r="AB1401" i="11"/>
  <c r="AB1402" i="11"/>
  <c r="AB1406" i="11"/>
  <c r="AB1407" i="11"/>
  <c r="AB1408" i="11"/>
  <c r="AB1410" i="11"/>
  <c r="AB1411" i="11"/>
  <c r="AB1412" i="11"/>
  <c r="AB1413" i="11"/>
  <c r="AB1414" i="11"/>
  <c r="AB1415" i="11"/>
  <c r="AB1416" i="11"/>
  <c r="AB1417" i="11"/>
  <c r="AB1418" i="11"/>
  <c r="AB1419" i="11"/>
  <c r="AB1420" i="11"/>
  <c r="AB1421" i="11"/>
  <c r="AB1425" i="11"/>
  <c r="AB1426" i="11"/>
  <c r="AB1427" i="11"/>
  <c r="AB1428" i="11"/>
  <c r="AB1430" i="11"/>
  <c r="AB1431" i="11"/>
  <c r="AB1432" i="11"/>
  <c r="AB1433" i="11"/>
  <c r="AB1434" i="11"/>
  <c r="AB1435" i="11"/>
  <c r="AB1436" i="11"/>
  <c r="AB1437" i="11"/>
  <c r="AB1438" i="11"/>
  <c r="AB1442" i="11"/>
  <c r="AB1443" i="11"/>
  <c r="AB1444" i="11"/>
  <c r="AB1445" i="11"/>
  <c r="AB1446" i="11"/>
  <c r="AB1447" i="11"/>
  <c r="AB1448" i="11"/>
  <c r="AB1449" i="11"/>
  <c r="AB1450" i="11"/>
  <c r="AB1451" i="11"/>
  <c r="AB1452" i="11"/>
  <c r="AB1453" i="11"/>
  <c r="AB1457" i="11"/>
  <c r="AB1458" i="11"/>
  <c r="AB1459" i="11"/>
  <c r="AB1460" i="11"/>
  <c r="AB1462" i="11"/>
  <c r="AB1463" i="11"/>
  <c r="AB1464" i="11"/>
  <c r="AB1465" i="11"/>
  <c r="AB1466" i="11"/>
  <c r="AB1467" i="11"/>
  <c r="AB1468" i="11"/>
  <c r="AB1469" i="11"/>
  <c r="AB1470" i="11"/>
  <c r="AB1471" i="11"/>
  <c r="AB1472" i="11"/>
  <c r="AB1473" i="11"/>
  <c r="AB1474" i="11"/>
  <c r="AB1475" i="11"/>
  <c r="AB1476" i="11"/>
  <c r="AB1477" i="11"/>
  <c r="AB1478" i="11"/>
  <c r="AB1479" i="11"/>
  <c r="AB1480" i="11"/>
  <c r="AB1485" i="11"/>
  <c r="AB1486" i="11"/>
  <c r="AB1487" i="11"/>
  <c r="AB1488" i="11"/>
  <c r="AB1489" i="11"/>
  <c r="AB1490" i="11"/>
  <c r="AB1491" i="11"/>
  <c r="AB1492" i="11"/>
  <c r="AB1493" i="11"/>
  <c r="AB1494" i="11"/>
  <c r="AB1495" i="11"/>
  <c r="AB1496" i="11"/>
  <c r="AB1497" i="11"/>
  <c r="AB1498" i="11"/>
  <c r="AB505" i="11"/>
  <c r="AB509" i="11"/>
  <c r="AB510" i="11"/>
  <c r="AB511" i="11"/>
  <c r="AB512" i="11"/>
  <c r="AB513" i="11"/>
  <c r="AB514" i="11"/>
  <c r="AB515" i="11"/>
  <c r="AB516" i="11"/>
  <c r="AB517" i="11"/>
  <c r="AB521" i="11"/>
  <c r="AB522" i="11"/>
  <c r="AB523" i="11"/>
  <c r="AB524" i="11"/>
  <c r="AB525" i="11"/>
  <c r="AB526" i="11"/>
  <c r="AB527" i="11"/>
  <c r="AB528" i="11"/>
  <c r="AB529" i="11"/>
  <c r="AB530" i="11"/>
  <c r="AB534" i="11"/>
  <c r="AB535" i="11"/>
  <c r="AB536" i="11"/>
  <c r="AB537" i="11"/>
  <c r="AB538" i="11"/>
  <c r="AB539" i="11"/>
  <c r="AB540" i="11"/>
  <c r="AB541" i="11"/>
  <c r="AB542" i="11"/>
  <c r="AB543" i="11"/>
  <c r="AB544" i="11"/>
  <c r="AB548" i="11"/>
  <c r="AB549" i="11"/>
  <c r="AB550" i="11"/>
  <c r="AB551" i="11"/>
  <c r="AB552" i="11"/>
  <c r="AB553" i="11"/>
  <c r="AB554" i="11"/>
  <c r="AB555" i="11"/>
  <c r="AB556" i="11"/>
  <c r="AB557" i="11"/>
  <c r="AB558" i="11"/>
  <c r="AB559" i="11"/>
  <c r="AB560" i="11"/>
  <c r="AB564" i="11"/>
  <c r="AB565" i="11"/>
  <c r="AB566" i="11"/>
  <c r="AB567" i="11"/>
  <c r="AB568" i="11"/>
  <c r="AB569" i="11"/>
  <c r="AB570" i="11"/>
  <c r="AB571" i="11"/>
  <c r="AB572" i="11"/>
  <c r="AB573" i="11"/>
  <c r="AB574" i="11"/>
  <c r="AB575" i="11"/>
  <c r="AB576" i="11"/>
  <c r="AB577" i="11"/>
  <c r="AB578" i="11"/>
  <c r="AB579" i="11"/>
  <c r="AB583" i="11"/>
  <c r="AB584" i="11"/>
  <c r="AB585" i="11"/>
  <c r="AB586" i="11"/>
  <c r="AB588" i="11"/>
  <c r="AB589" i="11"/>
  <c r="AB590" i="11"/>
  <c r="AB591" i="11"/>
  <c r="AB592" i="11"/>
  <c r="AB593" i="11"/>
  <c r="AB594" i="11"/>
  <c r="AB595" i="11"/>
  <c r="AB596" i="11"/>
  <c r="AB597" i="11"/>
  <c r="AB598" i="11"/>
  <c r="AB599" i="11"/>
  <c r="AB600" i="11"/>
  <c r="AB604" i="11"/>
  <c r="AB605" i="11"/>
  <c r="AB606" i="11"/>
  <c r="AB607" i="11"/>
  <c r="AB608" i="11"/>
  <c r="AB609" i="11"/>
  <c r="AB610" i="11"/>
  <c r="AB611" i="11"/>
  <c r="AB612" i="11"/>
  <c r="AB613" i="11"/>
  <c r="AB614" i="11"/>
  <c r="AB618" i="11"/>
  <c r="AB619" i="11"/>
  <c r="AB620" i="11"/>
  <c r="AB621" i="11"/>
  <c r="AB622" i="11"/>
  <c r="AB623" i="11"/>
  <c r="AB624" i="11"/>
  <c r="AB625" i="11"/>
  <c r="AB629" i="11"/>
  <c r="AB630" i="11"/>
  <c r="AB631" i="11"/>
  <c r="AB632" i="11"/>
  <c r="AB633" i="11"/>
  <c r="AB634" i="11"/>
  <c r="AB635" i="11"/>
  <c r="AB636" i="11"/>
  <c r="AB637" i="11"/>
  <c r="AB638" i="11"/>
  <c r="AB639" i="11"/>
  <c r="AB640" i="11"/>
  <c r="AB645" i="11"/>
  <c r="AB646" i="11"/>
  <c r="AB647" i="11"/>
  <c r="AB648" i="11"/>
  <c r="AB649" i="11"/>
  <c r="AB650" i="11"/>
  <c r="AB651" i="11"/>
  <c r="AB652" i="11"/>
  <c r="AB653" i="11"/>
  <c r="AB654" i="11"/>
  <c r="AB655" i="11"/>
  <c r="AB656" i="11"/>
  <c r="AB660" i="11"/>
  <c r="AB661" i="11"/>
  <c r="AB662" i="11"/>
  <c r="AB663" i="11"/>
  <c r="AB664" i="11"/>
  <c r="AB665" i="11"/>
  <c r="AB666" i="11"/>
  <c r="AB667" i="11"/>
  <c r="AB668" i="11"/>
  <c r="AB669" i="11"/>
  <c r="AB670" i="11"/>
  <c r="AB671" i="11"/>
  <c r="AB672" i="11"/>
  <c r="AB673" i="11"/>
  <c r="AB677" i="11"/>
  <c r="AB678" i="11"/>
  <c r="AB679" i="11"/>
  <c r="AB680" i="11"/>
  <c r="AB681" i="11"/>
  <c r="AB682" i="11"/>
  <c r="AB683" i="11"/>
  <c r="AB684" i="11"/>
  <c r="AB685" i="11"/>
  <c r="AB686" i="11"/>
  <c r="AB687" i="11"/>
  <c r="AB688" i="11"/>
  <c r="AB689" i="11"/>
  <c r="AB690" i="11"/>
  <c r="AB691" i="11"/>
  <c r="AB692" i="11"/>
  <c r="AB693" i="11"/>
  <c r="AB694" i="11"/>
  <c r="AB698" i="11"/>
  <c r="AB699" i="11"/>
  <c r="AB700" i="11"/>
  <c r="AB701" i="11"/>
  <c r="AB702" i="11"/>
  <c r="AB703" i="11"/>
  <c r="AB704" i="11"/>
  <c r="AB705" i="11"/>
  <c r="AB706" i="11"/>
  <c r="AB707" i="11"/>
  <c r="AB708" i="11"/>
  <c r="AB709" i="11"/>
  <c r="AB710" i="11"/>
  <c r="AB711" i="11"/>
  <c r="AB712" i="11"/>
  <c r="AB713" i="11"/>
  <c r="AB714" i="11"/>
  <c r="AB715" i="11"/>
  <c r="AB716" i="11"/>
  <c r="AB717" i="11"/>
  <c r="AB722" i="11"/>
  <c r="AB723" i="11"/>
  <c r="AB724" i="11"/>
  <c r="AB725" i="11"/>
  <c r="AB726" i="11"/>
  <c r="AB727" i="11"/>
  <c r="AB728" i="11"/>
  <c r="AB729" i="11"/>
  <c r="AB730" i="11"/>
  <c r="AB731" i="11"/>
  <c r="AB732" i="11"/>
  <c r="AB733" i="11"/>
  <c r="AB734" i="11"/>
  <c r="AB738" i="11"/>
  <c r="AB739" i="11"/>
  <c r="AB740" i="11"/>
  <c r="AB741" i="11"/>
  <c r="AB742" i="11"/>
  <c r="AB743" i="11"/>
  <c r="AB744" i="11"/>
  <c r="AB745" i="11"/>
  <c r="AB746" i="11"/>
  <c r="AB747" i="11"/>
  <c r="AB749" i="11"/>
  <c r="AB750" i="11"/>
  <c r="AB751" i="11"/>
  <c r="AB755" i="11"/>
  <c r="AB756" i="11"/>
  <c r="AB757" i="11"/>
  <c r="AB758" i="11"/>
  <c r="AB759" i="11"/>
  <c r="AB760" i="11"/>
  <c r="AB761" i="11"/>
  <c r="AB762" i="11"/>
  <c r="AB763" i="11"/>
  <c r="AB764" i="11"/>
  <c r="AB768" i="11"/>
  <c r="AB769" i="11"/>
  <c r="AB770" i="11"/>
  <c r="AB771" i="11"/>
  <c r="AB772" i="11"/>
  <c r="AB773" i="11"/>
  <c r="AB774" i="11"/>
  <c r="AB775" i="11"/>
  <c r="AB776" i="11"/>
  <c r="AB777" i="11"/>
  <c r="AB778" i="11"/>
  <c r="AB779" i="11"/>
  <c r="AB780" i="11"/>
  <c r="AB781" i="11"/>
  <c r="AB782" i="11"/>
  <c r="AB786" i="11"/>
  <c r="AB787" i="11"/>
  <c r="AB788" i="11"/>
  <c r="AB789" i="11"/>
  <c r="AB790" i="11"/>
  <c r="AB791" i="11"/>
  <c r="AB792" i="11"/>
  <c r="AB793" i="11"/>
  <c r="AB794" i="11"/>
  <c r="AB795" i="11"/>
  <c r="AB796" i="11"/>
  <c r="AB797" i="11"/>
  <c r="AB801" i="11"/>
  <c r="AB802" i="11"/>
  <c r="AB803" i="11"/>
  <c r="AB804" i="11"/>
  <c r="AB805" i="11"/>
  <c r="AB806" i="11"/>
  <c r="AB807" i="11"/>
  <c r="AB808" i="11"/>
  <c r="AB809" i="11"/>
  <c r="AB810" i="11"/>
  <c r="AB811" i="11"/>
  <c r="AB812" i="11"/>
  <c r="AB813" i="11"/>
  <c r="AB814" i="11"/>
  <c r="AB818" i="11"/>
  <c r="AB819" i="11"/>
  <c r="AB820" i="11"/>
  <c r="AB821" i="11"/>
  <c r="AB822" i="11"/>
  <c r="AB823" i="11"/>
  <c r="AB824" i="11"/>
  <c r="AB825" i="11"/>
  <c r="AB826" i="11"/>
  <c r="AB827" i="11"/>
  <c r="AB828" i="11"/>
  <c r="AB829" i="11"/>
  <c r="AB830" i="11"/>
  <c r="AB831" i="11"/>
  <c r="AB832" i="11"/>
  <c r="AB833" i="11"/>
  <c r="AB834" i="11"/>
  <c r="AB838" i="11"/>
  <c r="AB839" i="11"/>
  <c r="AB840" i="11"/>
  <c r="AB841" i="11"/>
  <c r="AB842" i="11"/>
  <c r="AB843" i="11"/>
  <c r="AB844" i="11"/>
  <c r="AB845" i="11"/>
  <c r="AB846" i="11"/>
  <c r="AB847" i="11"/>
  <c r="AB848" i="11"/>
  <c r="AB849" i="11"/>
  <c r="AB853" i="11"/>
  <c r="AB854" i="11"/>
  <c r="AB855" i="11"/>
  <c r="AB856" i="11"/>
  <c r="AB857" i="11"/>
  <c r="AB858" i="11"/>
  <c r="AB859" i="11"/>
  <c r="AB860" i="11"/>
  <c r="AB862" i="11"/>
  <c r="AB863" i="11"/>
  <c r="AB864" i="11"/>
  <c r="AB865" i="11"/>
  <c r="AB866" i="11"/>
  <c r="AB867" i="11"/>
  <c r="AB868" i="11"/>
  <c r="AB872" i="11"/>
  <c r="AB873" i="11"/>
  <c r="AB874" i="11"/>
  <c r="AB875" i="11"/>
  <c r="AB876" i="11"/>
  <c r="AB877" i="11"/>
  <c r="AB878" i="11"/>
  <c r="AB879" i="11"/>
  <c r="AB880" i="11"/>
  <c r="AB881" i="11"/>
  <c r="AB882" i="11"/>
  <c r="AB883" i="11"/>
  <c r="AB884" i="11"/>
  <c r="AB888" i="11"/>
  <c r="AB889" i="11"/>
  <c r="AB890" i="11"/>
  <c r="AB891" i="11"/>
  <c r="AB893" i="11"/>
  <c r="AB895" i="11"/>
  <c r="AB896" i="11"/>
  <c r="AB897" i="11"/>
  <c r="AB898" i="11"/>
  <c r="AB899" i="11"/>
  <c r="AB900" i="11"/>
  <c r="AB904" i="11"/>
  <c r="AB905" i="11"/>
  <c r="AB906" i="11"/>
  <c r="AB907" i="11"/>
  <c r="AB908" i="11"/>
  <c r="AB909" i="11"/>
  <c r="AB911" i="11"/>
  <c r="AB912" i="11"/>
  <c r="AB913" i="11"/>
  <c r="AB914" i="11"/>
  <c r="AB915" i="11"/>
  <c r="AB916" i="11"/>
  <c r="AB917" i="11"/>
  <c r="AB918" i="11"/>
  <c r="AB919" i="11"/>
  <c r="AB923" i="11"/>
  <c r="AB924" i="11"/>
  <c r="AB925" i="11"/>
  <c r="AB926" i="11"/>
  <c r="AB927" i="11"/>
  <c r="AB929" i="11"/>
  <c r="AB930" i="11"/>
  <c r="AB931" i="11"/>
  <c r="AB932" i="11"/>
  <c r="AB933" i="11"/>
  <c r="AB934" i="11"/>
  <c r="AB935" i="11"/>
  <c r="AB936" i="11"/>
  <c r="AB937" i="11"/>
  <c r="AB938" i="11"/>
  <c r="AB942" i="11"/>
  <c r="AB943" i="11"/>
  <c r="AB944" i="11"/>
  <c r="AB945" i="11"/>
  <c r="AB946" i="11"/>
  <c r="AB947" i="11"/>
  <c r="AB948" i="11"/>
  <c r="AB949" i="11"/>
  <c r="AB951" i="11"/>
  <c r="AB952" i="11"/>
  <c r="AB953" i="11"/>
  <c r="AB954" i="11"/>
  <c r="AB955" i="11"/>
  <c r="AB956" i="11"/>
  <c r="AB960" i="11"/>
  <c r="AB961" i="11"/>
  <c r="AB962" i="11"/>
  <c r="AB963" i="11"/>
  <c r="AB964" i="11"/>
  <c r="AB965" i="11"/>
  <c r="AB966" i="11"/>
  <c r="AB967" i="11"/>
  <c r="AB968" i="11"/>
  <c r="AB970" i="11"/>
  <c r="AB971" i="11"/>
  <c r="AB973" i="11"/>
  <c r="AB974" i="11"/>
  <c r="AB975" i="11"/>
  <c r="AB976" i="11"/>
  <c r="AB980" i="11"/>
  <c r="AB981" i="11"/>
  <c r="AB982" i="11"/>
  <c r="AB983" i="11"/>
  <c r="AB984" i="11"/>
  <c r="AB985" i="11"/>
  <c r="AB986" i="11"/>
  <c r="AB987" i="11"/>
  <c r="AB988" i="11"/>
  <c r="AB989" i="11"/>
  <c r="AB990" i="11"/>
  <c r="AB991" i="11"/>
  <c r="AB992" i="11"/>
  <c r="AB996" i="11"/>
  <c r="AB997" i="11"/>
  <c r="AB998" i="11"/>
  <c r="AB999" i="11"/>
  <c r="AB1000" i="11"/>
  <c r="AB1001" i="11"/>
  <c r="AB1002" i="11"/>
  <c r="AB1003" i="11"/>
  <c r="AB1004" i="11"/>
  <c r="AB5" i="11"/>
  <c r="AB6" i="11"/>
  <c r="AB7" i="11"/>
  <c r="AB8" i="11"/>
  <c r="AB9" i="11"/>
  <c r="AB10" i="11"/>
  <c r="AB11" i="11"/>
  <c r="AB12" i="11"/>
  <c r="AB13" i="11"/>
  <c r="AB14" i="11"/>
  <c r="AB15" i="11"/>
  <c r="AB16" i="11"/>
  <c r="AB17" i="11"/>
  <c r="AB18" i="11"/>
  <c r="AB19" i="11"/>
  <c r="AB23" i="11"/>
  <c r="AB24" i="11"/>
  <c r="AB25" i="11"/>
  <c r="AB26" i="11"/>
  <c r="AB27" i="11"/>
  <c r="AB28" i="11"/>
  <c r="AB29" i="11"/>
  <c r="AB30" i="11"/>
  <c r="AB31" i="11"/>
  <c r="AB32" i="11"/>
  <c r="AB33" i="11"/>
  <c r="AB34" i="11"/>
  <c r="AB35" i="11"/>
  <c r="AB36" i="11"/>
  <c r="AB37" i="11"/>
  <c r="AB38" i="11"/>
  <c r="AB39" i="11"/>
  <c r="AB43" i="11"/>
  <c r="AB44" i="11"/>
  <c r="AB45" i="11"/>
  <c r="AB46" i="11"/>
  <c r="AB47" i="11"/>
  <c r="AB48" i="11"/>
  <c r="AB49" i="11"/>
  <c r="AB50" i="11"/>
  <c r="AB51" i="11"/>
  <c r="AB52" i="11"/>
  <c r="AB53" i="11"/>
  <c r="AB54" i="11"/>
  <c r="AB55" i="11"/>
  <c r="AB56" i="11"/>
  <c r="AB57" i="11"/>
  <c r="AB58" i="11"/>
  <c r="AB62" i="11"/>
  <c r="AB63" i="11"/>
  <c r="AB64" i="11"/>
  <c r="AB65" i="11"/>
  <c r="AB66" i="11"/>
  <c r="AB67" i="11"/>
  <c r="AB68" i="11"/>
  <c r="AB69" i="11"/>
  <c r="AB70" i="11"/>
  <c r="AB71" i="11"/>
  <c r="AB72" i="11"/>
  <c r="AB73" i="11"/>
  <c r="AB74" i="11"/>
  <c r="AB75" i="11"/>
  <c r="AB76" i="11"/>
  <c r="AB77" i="11"/>
  <c r="AB78" i="11"/>
  <c r="AB79" i="11"/>
  <c r="AB83" i="11"/>
  <c r="AB84" i="11"/>
  <c r="AB85" i="11"/>
  <c r="AB86" i="11"/>
  <c r="AB87" i="11"/>
  <c r="AB88" i="11"/>
  <c r="AB89" i="11"/>
  <c r="AB90" i="11"/>
  <c r="AB91" i="11"/>
  <c r="AB92" i="11"/>
  <c r="AB93" i="11"/>
  <c r="AB94" i="11"/>
  <c r="AB95" i="11"/>
  <c r="AB96" i="11"/>
  <c r="AB97" i="11"/>
  <c r="AB98" i="11"/>
  <c r="AB102" i="11"/>
  <c r="AB103" i="11"/>
  <c r="AB104" i="11"/>
  <c r="AB105" i="11"/>
  <c r="AB106" i="11"/>
  <c r="AB107" i="11"/>
  <c r="AB109" i="11"/>
  <c r="AB110" i="11"/>
  <c r="AB111" i="11"/>
  <c r="AB112" i="11"/>
  <c r="AB113" i="11"/>
  <c r="AB114" i="11"/>
  <c r="AB115" i="11"/>
  <c r="AB116" i="11"/>
  <c r="AB120" i="11"/>
  <c r="AB121" i="11"/>
  <c r="AB122" i="11"/>
  <c r="AB123" i="11"/>
  <c r="AB124" i="11"/>
  <c r="AB125" i="11"/>
  <c r="AB126" i="11"/>
  <c r="AB127" i="11"/>
  <c r="AB129" i="11"/>
  <c r="AB130" i="11"/>
  <c r="AB131" i="11"/>
  <c r="AB132" i="11"/>
  <c r="AB133" i="11"/>
  <c r="AB134" i="11"/>
  <c r="AB135" i="11"/>
  <c r="AB136" i="11"/>
  <c r="AB137" i="11"/>
  <c r="AB141" i="11"/>
  <c r="AB142" i="11"/>
  <c r="AB143" i="11"/>
  <c r="AB144" i="11"/>
  <c r="AB145" i="11"/>
  <c r="AB146" i="11"/>
  <c r="AB148" i="11"/>
  <c r="AB149" i="11"/>
  <c r="AB150" i="11"/>
  <c r="AB151" i="11"/>
  <c r="AB152" i="11"/>
  <c r="AB153" i="11"/>
  <c r="AB154" i="11"/>
  <c r="AB155" i="11"/>
  <c r="AB156" i="11"/>
  <c r="AB157" i="11"/>
  <c r="AB158" i="11"/>
  <c r="AB162" i="11"/>
  <c r="AB163" i="11"/>
  <c r="AB164" i="11"/>
  <c r="AB165" i="11"/>
  <c r="AB166" i="11"/>
  <c r="AB167" i="11"/>
  <c r="AB168" i="11"/>
  <c r="AB169" i="11"/>
  <c r="AB170" i="11"/>
  <c r="AB171" i="11"/>
  <c r="AB172" i="11"/>
  <c r="AB173" i="11"/>
  <c r="AB174" i="11"/>
  <c r="AB175" i="11"/>
  <c r="AB176" i="11"/>
  <c r="AB180" i="11"/>
  <c r="AB181" i="11"/>
  <c r="AB182" i="11"/>
  <c r="AB183" i="11"/>
  <c r="AB184" i="11"/>
  <c r="AB188" i="11"/>
  <c r="AB189" i="11"/>
  <c r="AB190" i="11"/>
  <c r="AB191" i="11"/>
  <c r="AB192" i="11"/>
  <c r="AB193" i="11"/>
  <c r="AB194" i="11"/>
  <c r="AB195" i="11"/>
  <c r="AB196" i="11"/>
  <c r="AB197" i="11"/>
  <c r="AB198" i="11"/>
  <c r="AB199" i="11"/>
  <c r="AB200" i="11"/>
  <c r="AB204" i="11"/>
  <c r="AB205" i="11"/>
  <c r="AB206" i="11"/>
  <c r="AB207" i="11"/>
  <c r="AB208" i="11"/>
  <c r="AB209" i="11"/>
  <c r="AB210" i="11"/>
  <c r="AB211" i="11"/>
  <c r="AB212" i="11"/>
  <c r="AB213" i="11"/>
  <c r="AB214" i="11"/>
  <c r="AB215" i="11"/>
  <c r="AB216" i="11"/>
  <c r="AB217" i="11"/>
  <c r="AB221" i="11"/>
  <c r="AB222" i="11"/>
  <c r="AB223" i="11"/>
  <c r="AB224" i="11"/>
  <c r="AB225" i="11"/>
  <c r="AB226" i="11"/>
  <c r="AB227" i="11"/>
  <c r="AB228" i="11"/>
  <c r="AB229" i="11"/>
  <c r="AB230" i="11"/>
  <c r="AB231" i="11"/>
  <c r="AB235" i="11"/>
  <c r="AB236" i="11"/>
  <c r="AB237" i="11"/>
  <c r="AB238" i="11"/>
  <c r="AB239" i="11"/>
  <c r="AB240" i="11"/>
  <c r="AB241" i="11"/>
  <c r="AB242" i="11"/>
  <c r="AB243" i="11"/>
  <c r="AB244" i="11"/>
  <c r="AB245" i="11"/>
  <c r="AB246" i="11"/>
  <c r="AB247" i="11"/>
  <c r="AB248" i="11"/>
  <c r="AB249" i="11"/>
  <c r="AB250" i="11"/>
  <c r="AB251" i="11"/>
  <c r="AB255" i="11"/>
  <c r="AB256" i="11"/>
  <c r="AB257" i="11"/>
  <c r="AB258" i="11"/>
  <c r="AB259" i="11"/>
  <c r="AB260" i="11"/>
  <c r="AB261" i="11"/>
  <c r="AB262" i="11"/>
  <c r="AB263" i="11"/>
  <c r="AB264" i="11"/>
  <c r="AB265" i="11"/>
  <c r="AB266" i="11"/>
  <c r="AB267" i="11"/>
  <c r="AB268" i="11"/>
  <c r="AB272" i="11"/>
  <c r="AB273" i="11"/>
  <c r="AB274" i="11"/>
  <c r="AB275" i="11"/>
  <c r="AB276" i="11"/>
  <c r="AB277" i="11"/>
  <c r="AB278" i="11"/>
  <c r="AB279" i="11"/>
  <c r="AB280" i="11"/>
  <c r="AB281" i="11"/>
  <c r="AB282" i="11"/>
  <c r="AB283" i="11"/>
  <c r="AB284" i="11"/>
  <c r="AB285" i="11"/>
  <c r="AB286" i="11"/>
  <c r="AB287" i="11"/>
  <c r="AB288" i="11"/>
  <c r="AB292" i="11"/>
  <c r="AB293" i="11"/>
  <c r="AB294" i="11"/>
  <c r="AB295" i="11"/>
  <c r="AB296" i="11"/>
  <c r="AB297" i="11"/>
  <c r="AB298" i="11"/>
  <c r="AB299" i="11"/>
  <c r="AB300" i="11"/>
  <c r="AB301" i="11"/>
  <c r="AB302" i="11"/>
  <c r="AB303" i="11"/>
  <c r="AB307" i="11"/>
  <c r="AB308" i="11"/>
  <c r="AB309" i="11"/>
  <c r="AB310" i="11"/>
  <c r="AB311" i="11"/>
  <c r="AB312" i="11"/>
  <c r="AB313" i="11"/>
  <c r="AB314" i="11"/>
  <c r="AB315" i="11"/>
  <c r="AB316" i="11"/>
  <c r="AB317" i="11"/>
  <c r="AB318" i="11"/>
  <c r="AB319" i="11"/>
  <c r="AB323" i="11"/>
  <c r="AB324" i="11"/>
  <c r="AB325" i="11"/>
  <c r="AB326" i="11"/>
  <c r="AB327" i="11"/>
  <c r="AB328" i="11"/>
  <c r="AB329" i="11"/>
  <c r="AB330" i="11"/>
  <c r="AB331" i="11"/>
  <c r="AB332" i="11"/>
  <c r="AB333" i="11"/>
  <c r="AB334" i="11"/>
  <c r="AB335" i="11"/>
  <c r="AB336" i="11"/>
  <c r="AB337" i="11"/>
  <c r="AB341" i="11"/>
  <c r="AB342" i="11"/>
  <c r="AB343" i="11"/>
  <c r="AB344" i="11"/>
  <c r="AB345" i="11"/>
  <c r="AB346" i="11"/>
  <c r="AB347" i="11"/>
  <c r="AB348" i="11"/>
  <c r="AB349" i="11"/>
  <c r="AB350" i="11"/>
  <c r="AB351" i="11"/>
  <c r="AB352" i="11"/>
  <c r="AB353" i="11"/>
  <c r="AB354" i="11"/>
  <c r="AB358" i="11"/>
  <c r="AB359" i="11"/>
  <c r="AB360" i="11"/>
  <c r="AB361" i="11"/>
  <c r="AB362" i="11"/>
  <c r="AB363" i="11"/>
  <c r="AB364" i="11"/>
  <c r="AB365" i="11"/>
  <c r="AB366" i="11"/>
  <c r="AB367" i="11"/>
  <c r="AB368" i="11"/>
  <c r="AB369" i="11"/>
  <c r="AB370" i="11"/>
  <c r="AB371" i="11"/>
  <c r="AB372" i="11"/>
  <c r="AB373" i="11"/>
  <c r="AB377" i="11"/>
  <c r="AB378" i="11"/>
  <c r="AB379" i="11"/>
  <c r="AB380" i="11"/>
  <c r="AB381" i="11"/>
  <c r="AB382" i="11"/>
  <c r="AB383" i="11"/>
  <c r="AB384" i="11"/>
  <c r="AB385" i="11"/>
  <c r="AB386" i="11"/>
  <c r="AB387" i="11"/>
  <c r="AB388" i="11"/>
  <c r="AB389" i="11"/>
  <c r="AB390" i="11"/>
  <c r="AB391" i="11"/>
  <c r="AB392" i="11"/>
  <c r="AB393" i="11"/>
  <c r="AB397" i="11"/>
  <c r="AB398" i="11"/>
  <c r="AB399" i="11"/>
  <c r="AB400" i="11"/>
  <c r="AB401" i="11"/>
  <c r="AB402" i="11"/>
  <c r="AB403" i="11"/>
  <c r="AB404" i="11"/>
  <c r="AB405" i="11"/>
  <c r="AB406" i="11"/>
  <c r="AB408" i="11"/>
  <c r="AB409" i="11"/>
  <c r="AB413" i="11"/>
  <c r="AB414" i="11"/>
  <c r="AB415" i="11"/>
  <c r="AB416" i="11"/>
  <c r="AB417" i="11"/>
  <c r="AB418" i="11"/>
  <c r="AB419" i="11"/>
  <c r="AB420" i="11"/>
  <c r="AB421" i="11"/>
  <c r="AB422" i="11"/>
  <c r="AB426" i="11"/>
  <c r="AB427" i="11"/>
  <c r="AB428" i="11"/>
  <c r="AB429" i="11"/>
  <c r="AB430" i="11"/>
  <c r="AB431" i="11"/>
  <c r="AB432" i="11"/>
  <c r="AB433" i="11"/>
  <c r="AB434" i="11"/>
  <c r="AB435" i="11"/>
  <c r="AB436" i="11"/>
  <c r="AB440" i="11"/>
  <c r="AB441" i="11"/>
  <c r="AB442" i="11"/>
  <c r="AB443" i="11"/>
  <c r="AB444" i="11"/>
  <c r="AB445" i="11"/>
  <c r="AB446" i="11"/>
  <c r="AB447" i="11"/>
  <c r="AB448" i="11"/>
  <c r="AB449" i="11"/>
  <c r="AB450" i="11"/>
  <c r="AB451" i="11"/>
  <c r="AB452" i="11"/>
  <c r="AB456" i="11"/>
  <c r="AB458" i="11"/>
  <c r="AB459" i="11"/>
  <c r="AB460" i="11"/>
  <c r="AB461" i="11"/>
  <c r="AB462" i="11"/>
  <c r="AB463" i="11"/>
  <c r="AB464" i="11"/>
  <c r="AB465" i="11"/>
  <c r="AB466" i="11"/>
  <c r="AB467" i="11"/>
  <c r="AB468" i="11"/>
  <c r="AB469" i="11"/>
  <c r="AB470" i="11"/>
  <c r="AB471" i="11"/>
  <c r="AB475" i="11"/>
  <c r="AB476" i="11"/>
  <c r="AB477" i="11"/>
  <c r="AB478" i="11"/>
  <c r="AB479" i="11"/>
  <c r="AB480" i="11"/>
  <c r="AB481" i="11"/>
  <c r="AB482" i="11"/>
  <c r="AB483" i="11"/>
  <c r="AB484" i="11"/>
  <c r="AB485" i="11"/>
  <c r="AB489" i="11"/>
  <c r="AB490" i="11"/>
  <c r="AB491" i="11"/>
  <c r="AB492" i="11"/>
  <c r="AB493" i="11"/>
  <c r="AB494" i="11"/>
  <c r="AB495" i="11"/>
  <c r="AB496" i="11"/>
  <c r="AB497" i="11"/>
  <c r="AB498" i="11"/>
  <c r="AB499" i="11"/>
  <c r="AB500" i="11"/>
  <c r="AB501" i="11"/>
  <c r="AB502" i="11"/>
  <c r="AB503" i="11"/>
  <c r="AB504" i="11"/>
  <c r="LM99" i="20" a="1"/>
  <c r="LM99" i="20" s="1"/>
  <c r="KO99" i="20" a="1"/>
  <c r="KO99" i="20" s="1"/>
  <c r="JQ99" i="20" a="1"/>
  <c r="JQ99" i="20" s="1"/>
  <c r="IS99" i="20" a="1"/>
  <c r="IS99" i="20"/>
  <c r="HU99" i="20" a="1"/>
  <c r="HU99" i="20" s="1"/>
  <c r="GW99" i="20" a="1"/>
  <c r="GW99" i="20" s="1"/>
  <c r="FY99" i="20" a="1"/>
  <c r="FY99" i="20" s="1"/>
  <c r="FA99" i="20" a="1"/>
  <c r="FA99" i="20" s="1"/>
  <c r="EC99" i="20" a="1"/>
  <c r="EC99" i="20" s="1"/>
  <c r="DE99" i="20" a="1"/>
  <c r="DE99" i="20" s="1"/>
  <c r="CG99" i="20" a="1"/>
  <c r="CG99" i="20" s="1"/>
  <c r="BI99" i="20" a="1"/>
  <c r="BI99" i="20" s="1"/>
  <c r="AK99" i="20" a="1"/>
  <c r="AK99" i="20" s="1"/>
  <c r="DF105" i="20" a="1"/>
  <c r="DF105" i="20" s="1"/>
  <c r="DF106" i="20" a="1"/>
  <c r="DF106" i="20" s="1"/>
  <c r="DF107" i="20" a="1"/>
  <c r="DF107" i="20" s="1"/>
  <c r="DF108" i="20" a="1"/>
  <c r="DF108" i="20" s="1"/>
  <c r="DF109" i="20" a="1"/>
  <c r="DF109" i="20" s="1"/>
  <c r="DF110" i="20" a="1"/>
  <c r="DF110" i="20" s="1"/>
  <c r="DF111" i="20" a="1"/>
  <c r="DF111" i="20" s="1"/>
  <c r="DF112" i="20" a="1"/>
  <c r="DF112" i="20" s="1"/>
  <c r="DF113" i="20" a="1"/>
  <c r="DF113" i="20" s="1"/>
  <c r="DF114" i="20" a="1"/>
  <c r="DF114" i="20"/>
  <c r="DF115" i="20" a="1"/>
  <c r="DF115" i="20" s="1"/>
  <c r="DF116" i="20" a="1"/>
  <c r="DF116" i="20" s="1"/>
  <c r="DF117" i="20" a="1"/>
  <c r="DF117" i="20" s="1"/>
  <c r="DH45" i="20"/>
  <c r="DH48" i="20" s="1"/>
  <c r="DH42" i="20"/>
  <c r="DH24" i="20"/>
  <c r="DH27" i="20" s="1"/>
  <c r="DH30" i="20" s="1"/>
  <c r="DH33" i="20" s="1"/>
  <c r="DH36" i="20" s="1"/>
  <c r="DC41" i="20"/>
  <c r="DA41" i="20"/>
  <c r="CZ41" i="20"/>
  <c r="CW41" i="20"/>
  <c r="CX41" i="20"/>
  <c r="CT41" i="20"/>
  <c r="CQ41" i="20"/>
  <c r="CN41" i="20"/>
  <c r="DD41" i="20"/>
  <c r="CU41" i="20"/>
  <c r="CR41" i="20"/>
  <c r="CO41" i="20"/>
  <c r="DE40" i="20"/>
  <c r="CZ23" i="20"/>
  <c r="DA23" i="20"/>
  <c r="CN23" i="20"/>
  <c r="CX23" i="20"/>
  <c r="CW23" i="20"/>
  <c r="CU23" i="20"/>
  <c r="CT23" i="20"/>
  <c r="CR23" i="20"/>
  <c r="CQ23" i="20"/>
  <c r="CO23" i="20"/>
  <c r="DE22" i="20"/>
  <c r="DH12" i="20"/>
  <c r="DE19" i="20"/>
  <c r="CN20" i="20"/>
  <c r="CO20" i="20"/>
  <c r="DC17" i="20"/>
  <c r="CZ17" i="20"/>
  <c r="CX17" i="20"/>
  <c r="CW17" i="20"/>
  <c r="CT17" i="20"/>
  <c r="CN17" i="20"/>
  <c r="DD17" i="20"/>
  <c r="DA17" i="20"/>
  <c r="CU17" i="20"/>
  <c r="CR17" i="20"/>
  <c r="CQ17" i="20"/>
  <c r="CO17" i="20"/>
  <c r="DE16" i="20"/>
  <c r="U1578" i="11"/>
  <c r="W1578" i="11" s="1"/>
  <c r="V1578" i="11"/>
  <c r="V1579" i="11"/>
  <c r="W1579" i="11"/>
  <c r="X1579" i="11"/>
  <c r="Y1579" i="11"/>
  <c r="Z1579" i="11"/>
  <c r="AA1579" i="11"/>
  <c r="V1580" i="11"/>
  <c r="W1580" i="11"/>
  <c r="X1580" i="11"/>
  <c r="Y1580" i="11"/>
  <c r="Z1580" i="11"/>
  <c r="AA1580" i="11"/>
  <c r="V1581" i="11"/>
  <c r="W1581" i="11"/>
  <c r="X1581" i="11"/>
  <c r="Y1581" i="11"/>
  <c r="Z1581" i="11"/>
  <c r="AA1581" i="11"/>
  <c r="V1582" i="11"/>
  <c r="W1582" i="11"/>
  <c r="X1582" i="11"/>
  <c r="Y1582" i="11"/>
  <c r="Z1582" i="11"/>
  <c r="AA1582" i="11"/>
  <c r="V1583" i="11"/>
  <c r="W1583" i="11"/>
  <c r="X1583" i="11"/>
  <c r="Y1583" i="11"/>
  <c r="Z1583" i="11"/>
  <c r="AA1583" i="11"/>
  <c r="V1584" i="11"/>
  <c r="W1584" i="11"/>
  <c r="X1584" i="11"/>
  <c r="Y1584" i="11"/>
  <c r="Z1584" i="11"/>
  <c r="AA1584" i="11"/>
  <c r="V1585" i="11"/>
  <c r="W1585" i="11"/>
  <c r="X1585" i="11"/>
  <c r="Y1585" i="11"/>
  <c r="Z1585" i="11"/>
  <c r="AA1585" i="11"/>
  <c r="V1586" i="11"/>
  <c r="W1586" i="11"/>
  <c r="X1586" i="11"/>
  <c r="Y1586" i="11"/>
  <c r="Z1586" i="11"/>
  <c r="AA1586" i="11"/>
  <c r="V1587" i="11"/>
  <c r="W1587" i="11"/>
  <c r="X1587" i="11"/>
  <c r="Y1587" i="11"/>
  <c r="Z1587" i="11"/>
  <c r="AA1587" i="11"/>
  <c r="V1588" i="11"/>
  <c r="W1588" i="11"/>
  <c r="X1588" i="11"/>
  <c r="Y1588" i="11"/>
  <c r="Z1588" i="11"/>
  <c r="AA1588" i="11"/>
  <c r="V1589" i="11"/>
  <c r="W1589" i="11"/>
  <c r="X1589" i="11"/>
  <c r="Y1589" i="11"/>
  <c r="Z1589" i="11"/>
  <c r="AA1589" i="11"/>
  <c r="V1590" i="11"/>
  <c r="W1590" i="11"/>
  <c r="X1590" i="11"/>
  <c r="Y1590" i="11"/>
  <c r="Z1590" i="11"/>
  <c r="AA1590" i="11"/>
  <c r="V1591" i="11"/>
  <c r="W1591" i="11"/>
  <c r="X1591" i="11"/>
  <c r="Y1591" i="11"/>
  <c r="Z1591" i="11"/>
  <c r="AA1591" i="11"/>
  <c r="V1592" i="11"/>
  <c r="W1592" i="11"/>
  <c r="X1592" i="11"/>
  <c r="Y1592" i="11"/>
  <c r="Z1592" i="11"/>
  <c r="AA1592" i="11"/>
  <c r="V1593" i="11"/>
  <c r="W1593" i="11"/>
  <c r="X1593" i="11"/>
  <c r="Y1593" i="11"/>
  <c r="Z1593" i="11"/>
  <c r="AA1593" i="11"/>
  <c r="V1594" i="11"/>
  <c r="W1594" i="11"/>
  <c r="X1594" i="11"/>
  <c r="Y1594" i="11"/>
  <c r="Z1594" i="11"/>
  <c r="AA1594" i="11"/>
  <c r="U1560" i="11"/>
  <c r="W1560" i="11" s="1"/>
  <c r="V1560" i="11"/>
  <c r="V1561" i="11"/>
  <c r="W1561" i="11"/>
  <c r="X1561" i="11"/>
  <c r="Y1561" i="11"/>
  <c r="Z1561" i="11"/>
  <c r="AA1561" i="11"/>
  <c r="V1562" i="11"/>
  <c r="W1562" i="11"/>
  <c r="X1562" i="11"/>
  <c r="Y1562" i="11"/>
  <c r="Z1562" i="11"/>
  <c r="AA1562" i="11"/>
  <c r="V1563" i="11"/>
  <c r="W1563" i="11"/>
  <c r="X1563" i="11"/>
  <c r="Y1563" i="11"/>
  <c r="Z1563" i="11"/>
  <c r="AA1563" i="11"/>
  <c r="V1564" i="11"/>
  <c r="W1564" i="11"/>
  <c r="X1564" i="11"/>
  <c r="Y1564" i="11"/>
  <c r="Z1564" i="11"/>
  <c r="AA1564" i="11"/>
  <c r="V1565" i="11"/>
  <c r="W1565" i="11"/>
  <c r="X1565" i="11"/>
  <c r="Y1565" i="11"/>
  <c r="Z1565" i="11"/>
  <c r="AA1565" i="11"/>
  <c r="V1566" i="11"/>
  <c r="W1566" i="11"/>
  <c r="X1566" i="11"/>
  <c r="Y1566" i="11"/>
  <c r="Z1566" i="11"/>
  <c r="AA1566" i="11"/>
  <c r="V1567" i="11"/>
  <c r="W1567" i="11"/>
  <c r="X1567" i="11"/>
  <c r="Y1567" i="11"/>
  <c r="Z1567" i="11"/>
  <c r="AA1567" i="11"/>
  <c r="V1568" i="11"/>
  <c r="W1568" i="11"/>
  <c r="X1568" i="11"/>
  <c r="Y1568" i="11"/>
  <c r="Z1568" i="11"/>
  <c r="AA1568" i="11"/>
  <c r="V1569" i="11"/>
  <c r="W1569" i="11"/>
  <c r="X1569" i="11"/>
  <c r="Y1569" i="11"/>
  <c r="Z1569" i="11"/>
  <c r="AA1569" i="11"/>
  <c r="V1570" i="11"/>
  <c r="W1570" i="11"/>
  <c r="X1570" i="11"/>
  <c r="Y1570" i="11"/>
  <c r="Z1570" i="11"/>
  <c r="AA1570" i="11"/>
  <c r="V1571" i="11"/>
  <c r="W1571" i="11"/>
  <c r="X1571" i="11"/>
  <c r="Y1571" i="11"/>
  <c r="Z1571" i="11"/>
  <c r="AA1571" i="11"/>
  <c r="V1572" i="11"/>
  <c r="W1572" i="11"/>
  <c r="X1572" i="11"/>
  <c r="Y1572" i="11"/>
  <c r="Z1572" i="11"/>
  <c r="AA1572" i="11"/>
  <c r="V1573" i="11"/>
  <c r="W1573" i="11"/>
  <c r="X1573" i="11"/>
  <c r="Y1573" i="11"/>
  <c r="Z1573" i="11"/>
  <c r="AA1573" i="11"/>
  <c r="V1574" i="11"/>
  <c r="W1574" i="11"/>
  <c r="X1574" i="11"/>
  <c r="Y1574" i="11"/>
  <c r="Z1574" i="11"/>
  <c r="AA1574" i="11"/>
  <c r="U1547" i="11"/>
  <c r="W1547" i="11" s="1"/>
  <c r="V1547" i="11"/>
  <c r="V1548" i="11"/>
  <c r="W1548" i="11"/>
  <c r="X1548" i="11"/>
  <c r="Y1548" i="11"/>
  <c r="Z1548" i="11"/>
  <c r="AA1548" i="11"/>
  <c r="V1549" i="11"/>
  <c r="W1549" i="11"/>
  <c r="X1549" i="11"/>
  <c r="Y1549" i="11"/>
  <c r="Z1549" i="11"/>
  <c r="AA1549" i="11"/>
  <c r="V1550" i="11"/>
  <c r="W1550" i="11"/>
  <c r="X1550" i="11"/>
  <c r="Y1550" i="11"/>
  <c r="Z1550" i="11"/>
  <c r="AA1550" i="11"/>
  <c r="V1551" i="11"/>
  <c r="W1551" i="11"/>
  <c r="X1551" i="11"/>
  <c r="Y1551" i="11"/>
  <c r="Z1551" i="11"/>
  <c r="AA1551" i="11"/>
  <c r="V1552" i="11"/>
  <c r="W1552" i="11"/>
  <c r="X1552" i="11"/>
  <c r="Y1552" i="11"/>
  <c r="Z1552" i="11"/>
  <c r="AA1552" i="11"/>
  <c r="V1553" i="11"/>
  <c r="W1553" i="11"/>
  <c r="X1553" i="11"/>
  <c r="Y1553" i="11"/>
  <c r="Z1553" i="11"/>
  <c r="AA1553" i="11"/>
  <c r="V1554" i="11"/>
  <c r="W1554" i="11"/>
  <c r="X1554" i="11"/>
  <c r="Y1554" i="11"/>
  <c r="Z1554" i="11"/>
  <c r="AA1554" i="11"/>
  <c r="V1555" i="11"/>
  <c r="W1555" i="11"/>
  <c r="X1555" i="11"/>
  <c r="Y1555" i="11"/>
  <c r="Z1555" i="11"/>
  <c r="AA1555" i="11"/>
  <c r="V1556" i="11"/>
  <c r="W1556" i="11"/>
  <c r="X1556" i="11"/>
  <c r="Y1556" i="11"/>
  <c r="Z1556" i="11"/>
  <c r="AA1556" i="11"/>
  <c r="U1529" i="11"/>
  <c r="Z1529" i="11" s="1"/>
  <c r="U1540" i="11"/>
  <c r="X1540" i="11" s="1"/>
  <c r="V1529" i="11"/>
  <c r="V1530" i="11"/>
  <c r="W1530" i="11"/>
  <c r="X1530" i="11"/>
  <c r="Y1530" i="11"/>
  <c r="Z1530" i="11"/>
  <c r="AA1530" i="11"/>
  <c r="V1531" i="11"/>
  <c r="W1531" i="11"/>
  <c r="X1531" i="11"/>
  <c r="Y1531" i="11"/>
  <c r="Z1531" i="11"/>
  <c r="AA1531" i="11"/>
  <c r="V1532" i="11"/>
  <c r="W1532" i="11"/>
  <c r="X1532" i="11"/>
  <c r="Y1532" i="11"/>
  <c r="Z1532" i="11"/>
  <c r="AA1532" i="11"/>
  <c r="V1533" i="11"/>
  <c r="W1533" i="11"/>
  <c r="X1533" i="11"/>
  <c r="Y1533" i="11"/>
  <c r="Z1533" i="11"/>
  <c r="AA1533" i="11"/>
  <c r="V1534" i="11"/>
  <c r="W1534" i="11"/>
  <c r="X1534" i="11"/>
  <c r="Y1534" i="11"/>
  <c r="Z1534" i="11"/>
  <c r="AA1534" i="11"/>
  <c r="V1535" i="11"/>
  <c r="W1535" i="11"/>
  <c r="X1535" i="11"/>
  <c r="Y1535" i="11"/>
  <c r="Z1535" i="11"/>
  <c r="AA1535" i="11"/>
  <c r="V1536" i="11"/>
  <c r="W1536" i="11"/>
  <c r="X1536" i="11"/>
  <c r="Y1536" i="11"/>
  <c r="Z1536" i="11"/>
  <c r="AA1536" i="11"/>
  <c r="V1537" i="11"/>
  <c r="W1537" i="11"/>
  <c r="X1537" i="11"/>
  <c r="Y1537" i="11"/>
  <c r="Z1537" i="11"/>
  <c r="AA1537" i="11"/>
  <c r="V1538" i="11"/>
  <c r="W1538" i="11"/>
  <c r="X1538" i="11"/>
  <c r="Y1538" i="11"/>
  <c r="Z1538" i="11"/>
  <c r="AA1538" i="11"/>
  <c r="V1539" i="11"/>
  <c r="W1539" i="11"/>
  <c r="X1539" i="11"/>
  <c r="Y1539" i="11"/>
  <c r="Z1539" i="11"/>
  <c r="AA1539" i="11"/>
  <c r="V1540" i="11"/>
  <c r="V1541" i="11"/>
  <c r="W1541" i="11"/>
  <c r="X1541" i="11"/>
  <c r="Y1541" i="11"/>
  <c r="Z1541" i="11"/>
  <c r="AA1541" i="11"/>
  <c r="V1542" i="11"/>
  <c r="W1542" i="11"/>
  <c r="X1542" i="11"/>
  <c r="Y1542" i="11"/>
  <c r="Z1542" i="11"/>
  <c r="AA1542" i="11"/>
  <c r="V1543" i="11"/>
  <c r="W1543" i="11"/>
  <c r="X1543" i="11"/>
  <c r="Y1543" i="11"/>
  <c r="Z1543" i="11"/>
  <c r="AA1543" i="11"/>
  <c r="V1512" i="11"/>
  <c r="W1512" i="11"/>
  <c r="X1512" i="11"/>
  <c r="Y1512" i="11"/>
  <c r="Z1512" i="11"/>
  <c r="AA1512" i="11"/>
  <c r="V1513" i="11"/>
  <c r="W1513" i="11"/>
  <c r="X1513" i="11"/>
  <c r="Y1513" i="11"/>
  <c r="Z1513" i="11"/>
  <c r="AA1513" i="11"/>
  <c r="V1514" i="11"/>
  <c r="W1514" i="11"/>
  <c r="X1514" i="11"/>
  <c r="Y1514" i="11"/>
  <c r="Z1514" i="11"/>
  <c r="AA1514" i="11"/>
  <c r="V1515" i="11"/>
  <c r="W1515" i="11"/>
  <c r="X1515" i="11"/>
  <c r="Y1515" i="11"/>
  <c r="Z1515" i="11"/>
  <c r="AA1515" i="11"/>
  <c r="V1516" i="11"/>
  <c r="W1516" i="11"/>
  <c r="X1516" i="11"/>
  <c r="Y1516" i="11"/>
  <c r="Z1516" i="11"/>
  <c r="AA1516" i="11"/>
  <c r="V1517" i="11"/>
  <c r="W1517" i="11"/>
  <c r="X1517" i="11"/>
  <c r="Y1517" i="11"/>
  <c r="Z1517" i="11"/>
  <c r="AA1517" i="11"/>
  <c r="V1518" i="11"/>
  <c r="W1518" i="11"/>
  <c r="X1518" i="11"/>
  <c r="Y1518" i="11"/>
  <c r="Z1518" i="11"/>
  <c r="AA1518" i="11"/>
  <c r="V1519" i="11"/>
  <c r="W1519" i="11"/>
  <c r="X1519" i="11"/>
  <c r="Y1519" i="11"/>
  <c r="Z1519" i="11"/>
  <c r="AA1519" i="11"/>
  <c r="V1520" i="11"/>
  <c r="W1520" i="11"/>
  <c r="X1520" i="11"/>
  <c r="Y1520" i="11"/>
  <c r="Z1520" i="11"/>
  <c r="AA1520" i="11"/>
  <c r="V1521" i="11"/>
  <c r="W1521" i="11"/>
  <c r="X1521" i="11"/>
  <c r="Y1521" i="11"/>
  <c r="Z1521" i="11"/>
  <c r="AA1521" i="11"/>
  <c r="V1522" i="11"/>
  <c r="W1522" i="11"/>
  <c r="X1522" i="11"/>
  <c r="Y1522" i="11"/>
  <c r="Z1522" i="11"/>
  <c r="AA1522" i="11"/>
  <c r="V1523" i="11"/>
  <c r="W1523" i="11"/>
  <c r="X1523" i="11"/>
  <c r="Y1523" i="11"/>
  <c r="Z1523" i="11"/>
  <c r="AA1523" i="11"/>
  <c r="V1524" i="11"/>
  <c r="W1524" i="11"/>
  <c r="X1524" i="11"/>
  <c r="Y1524" i="11"/>
  <c r="Z1524" i="11"/>
  <c r="AA1524" i="11"/>
  <c r="V1525" i="11"/>
  <c r="W1525" i="11"/>
  <c r="X1525" i="11"/>
  <c r="Y1525" i="11"/>
  <c r="Z1525" i="11"/>
  <c r="AA1525" i="11"/>
  <c r="U1502" i="11"/>
  <c r="W1502" i="11" s="1"/>
  <c r="V1502" i="11"/>
  <c r="V1503" i="11"/>
  <c r="W1503" i="11"/>
  <c r="X1503" i="11"/>
  <c r="Y1503" i="11"/>
  <c r="Z1503" i="11"/>
  <c r="AA1503" i="11"/>
  <c r="V1504" i="11"/>
  <c r="W1504" i="11"/>
  <c r="X1504" i="11"/>
  <c r="Y1504" i="11"/>
  <c r="Z1504" i="11"/>
  <c r="AA1504" i="11"/>
  <c r="V1505" i="11"/>
  <c r="W1505" i="11"/>
  <c r="X1505" i="11"/>
  <c r="Y1505" i="11"/>
  <c r="Z1505" i="11"/>
  <c r="AA1505" i="11"/>
  <c r="V1506" i="11"/>
  <c r="W1506" i="11"/>
  <c r="X1506" i="11"/>
  <c r="Y1506" i="11"/>
  <c r="Z1506" i="11"/>
  <c r="AA1506" i="11"/>
  <c r="V1507" i="11"/>
  <c r="W1507" i="11"/>
  <c r="X1507" i="11"/>
  <c r="Y1507" i="11"/>
  <c r="Z1507" i="11"/>
  <c r="AA1507" i="11"/>
  <c r="V1508" i="11"/>
  <c r="W1508" i="11"/>
  <c r="X1508" i="11"/>
  <c r="Y1508" i="11"/>
  <c r="Z1508" i="11"/>
  <c r="AA1508" i="11"/>
  <c r="U1484" i="11"/>
  <c r="X1484" i="11" s="1"/>
  <c r="V1474" i="11"/>
  <c r="W1474" i="11"/>
  <c r="X1474" i="11"/>
  <c r="Y1474" i="11"/>
  <c r="Z1474" i="11"/>
  <c r="AA1474" i="11"/>
  <c r="V1484" i="11"/>
  <c r="W1484" i="11"/>
  <c r="V1485" i="11"/>
  <c r="W1485" i="11"/>
  <c r="X1485" i="11"/>
  <c r="Y1485" i="11"/>
  <c r="Z1485" i="11"/>
  <c r="AA1485" i="11"/>
  <c r="V1486" i="11"/>
  <c r="W1486" i="11"/>
  <c r="X1486" i="11"/>
  <c r="Y1486" i="11"/>
  <c r="Z1486" i="11"/>
  <c r="AA1486" i="11"/>
  <c r="V1487" i="11"/>
  <c r="W1487" i="11"/>
  <c r="X1487" i="11"/>
  <c r="Y1487" i="11"/>
  <c r="Z1487" i="11"/>
  <c r="AA1487" i="11"/>
  <c r="V1488" i="11"/>
  <c r="W1488" i="11"/>
  <c r="X1488" i="11"/>
  <c r="Y1488" i="11"/>
  <c r="Z1488" i="11"/>
  <c r="AA1488" i="11"/>
  <c r="V1489" i="11"/>
  <c r="W1489" i="11"/>
  <c r="X1489" i="11"/>
  <c r="Y1489" i="11"/>
  <c r="Z1489" i="11"/>
  <c r="AA1489" i="11"/>
  <c r="V1490" i="11"/>
  <c r="W1490" i="11"/>
  <c r="X1490" i="11"/>
  <c r="Y1490" i="11"/>
  <c r="Z1490" i="11"/>
  <c r="AA1490" i="11"/>
  <c r="V1491" i="11"/>
  <c r="W1491" i="11"/>
  <c r="X1491" i="11"/>
  <c r="Y1491" i="11"/>
  <c r="Z1491" i="11"/>
  <c r="AA1491" i="11"/>
  <c r="V1492" i="11"/>
  <c r="W1492" i="11"/>
  <c r="X1492" i="11"/>
  <c r="Y1492" i="11"/>
  <c r="Z1492" i="11"/>
  <c r="AA1492" i="11"/>
  <c r="V1493" i="11"/>
  <c r="W1493" i="11"/>
  <c r="X1493" i="11"/>
  <c r="Y1493" i="11"/>
  <c r="Z1493" i="11"/>
  <c r="AA1493" i="11"/>
  <c r="V1494" i="11"/>
  <c r="W1494" i="11"/>
  <c r="X1494" i="11"/>
  <c r="Y1494" i="11"/>
  <c r="Z1494" i="11"/>
  <c r="AA1494" i="11"/>
  <c r="V1495" i="11"/>
  <c r="W1495" i="11"/>
  <c r="X1495" i="11"/>
  <c r="Y1495" i="11"/>
  <c r="Z1495" i="11"/>
  <c r="AA1495" i="11"/>
  <c r="V1496" i="11"/>
  <c r="W1496" i="11"/>
  <c r="X1496" i="11"/>
  <c r="Y1496" i="11"/>
  <c r="Z1496" i="11"/>
  <c r="AA1496" i="11"/>
  <c r="V1497" i="11"/>
  <c r="W1497" i="11"/>
  <c r="X1497" i="11"/>
  <c r="Y1497" i="11"/>
  <c r="Z1497" i="11"/>
  <c r="AA1497" i="11"/>
  <c r="V1498" i="11"/>
  <c r="W1498" i="11"/>
  <c r="X1498" i="11"/>
  <c r="Y1498" i="11"/>
  <c r="Z1498" i="11"/>
  <c r="AA1498" i="11"/>
  <c r="V1468" i="11"/>
  <c r="V1467" i="11"/>
  <c r="AA1480" i="11"/>
  <c r="Z1480" i="11"/>
  <c r="Y1480" i="11"/>
  <c r="X1480" i="11"/>
  <c r="W1480" i="11"/>
  <c r="V1480" i="11"/>
  <c r="AA1479" i="11"/>
  <c r="Z1479" i="11"/>
  <c r="Y1479" i="11"/>
  <c r="X1479" i="11"/>
  <c r="W1479" i="11"/>
  <c r="V1479" i="11"/>
  <c r="AA1478" i="11"/>
  <c r="Z1478" i="11"/>
  <c r="Y1478" i="11"/>
  <c r="X1478" i="11"/>
  <c r="W1478" i="11"/>
  <c r="V1478" i="11"/>
  <c r="AA1477" i="11"/>
  <c r="Z1477" i="11"/>
  <c r="Y1477" i="11"/>
  <c r="X1477" i="11"/>
  <c r="W1477" i="11"/>
  <c r="V1477" i="11"/>
  <c r="AA1476" i="11"/>
  <c r="Z1476" i="11"/>
  <c r="Y1476" i="11"/>
  <c r="X1476" i="11"/>
  <c r="W1476" i="11"/>
  <c r="V1476" i="11"/>
  <c r="AA1475" i="11"/>
  <c r="Z1475" i="11"/>
  <c r="Y1475" i="11"/>
  <c r="X1475" i="11"/>
  <c r="W1475" i="11"/>
  <c r="V1475" i="11"/>
  <c r="AA1473" i="11"/>
  <c r="Z1473" i="11"/>
  <c r="Y1473" i="11"/>
  <c r="X1473" i="11"/>
  <c r="W1473" i="11"/>
  <c r="V1473" i="11"/>
  <c r="AA1472" i="11"/>
  <c r="Z1472" i="11"/>
  <c r="Y1472" i="11"/>
  <c r="X1472" i="11"/>
  <c r="W1472" i="11"/>
  <c r="V1472" i="11"/>
  <c r="AA1471" i="11"/>
  <c r="Z1471" i="11"/>
  <c r="Y1471" i="11"/>
  <c r="X1471" i="11"/>
  <c r="W1471" i="11"/>
  <c r="V1471" i="11"/>
  <c r="AA1470" i="11"/>
  <c r="Z1470" i="11"/>
  <c r="Y1470" i="11"/>
  <c r="X1470" i="11"/>
  <c r="W1470" i="11"/>
  <c r="V1470" i="11"/>
  <c r="AA1469" i="11"/>
  <c r="Z1469" i="11"/>
  <c r="Y1469" i="11"/>
  <c r="X1469" i="11"/>
  <c r="W1469" i="11"/>
  <c r="V1469" i="11"/>
  <c r="AA1468" i="11"/>
  <c r="Z1468" i="11"/>
  <c r="Y1468" i="11"/>
  <c r="X1468" i="11"/>
  <c r="W1468" i="11"/>
  <c r="AA1467" i="11"/>
  <c r="Z1467" i="11"/>
  <c r="Y1467" i="11"/>
  <c r="X1467" i="11"/>
  <c r="W1467" i="11"/>
  <c r="AA1466" i="11"/>
  <c r="Z1466" i="11"/>
  <c r="Y1466" i="11"/>
  <c r="X1466" i="11"/>
  <c r="W1466" i="11"/>
  <c r="V1466" i="11"/>
  <c r="AA1465" i="11"/>
  <c r="Z1465" i="11"/>
  <c r="Y1465" i="11"/>
  <c r="X1465" i="11"/>
  <c r="W1465" i="11"/>
  <c r="V1465" i="11"/>
  <c r="AA1464" i="11"/>
  <c r="Z1464" i="11"/>
  <c r="Y1464" i="11"/>
  <c r="X1464" i="11"/>
  <c r="W1464" i="11"/>
  <c r="V1464" i="11"/>
  <c r="AA1463" i="11"/>
  <c r="Z1463" i="11"/>
  <c r="Y1463" i="11"/>
  <c r="X1463" i="11"/>
  <c r="W1463" i="11"/>
  <c r="V1463" i="11"/>
  <c r="AA1462" i="11"/>
  <c r="Z1462" i="11"/>
  <c r="Y1462" i="11"/>
  <c r="X1462" i="11"/>
  <c r="W1462" i="11"/>
  <c r="V1462" i="11"/>
  <c r="V1461" i="11"/>
  <c r="U1461" i="11"/>
  <c r="Z1461" i="11" s="1"/>
  <c r="AA1460" i="11"/>
  <c r="Z1460" i="11"/>
  <c r="Y1460" i="11"/>
  <c r="X1460" i="11"/>
  <c r="W1460" i="11"/>
  <c r="V1460" i="11"/>
  <c r="AA1459" i="11"/>
  <c r="Z1459" i="11"/>
  <c r="Y1459" i="11"/>
  <c r="X1459" i="11"/>
  <c r="W1459" i="11"/>
  <c r="V1459" i="11"/>
  <c r="AA1458" i="11"/>
  <c r="Z1458" i="11"/>
  <c r="Y1458" i="11"/>
  <c r="X1458" i="11"/>
  <c r="W1458" i="11"/>
  <c r="V1458" i="11"/>
  <c r="AA1457" i="11"/>
  <c r="Z1457" i="11"/>
  <c r="Y1457" i="11"/>
  <c r="X1457" i="11"/>
  <c r="W1457" i="11"/>
  <c r="V1457" i="11"/>
  <c r="W1703" i="11" l="1"/>
  <c r="W1540" i="11"/>
  <c r="Y1578" i="11"/>
  <c r="Y1684" i="11"/>
  <c r="Y1687" i="11" s="1"/>
  <c r="AA1703" i="11"/>
  <c r="AA1706" i="11" s="1"/>
  <c r="AA1684" i="11"/>
  <c r="AA1687" i="11" s="1"/>
  <c r="Z1684" i="11"/>
  <c r="Z1687" i="11" s="1"/>
  <c r="AB1684" i="11"/>
  <c r="AB1687" i="11" s="1"/>
  <c r="AB1689" i="11" s="1"/>
  <c r="X1703" i="11"/>
  <c r="X1706" i="11" s="1"/>
  <c r="AB1703" i="11"/>
  <c r="AB1706" i="11" s="1"/>
  <c r="AB1708" i="11" s="1"/>
  <c r="Y1703" i="11"/>
  <c r="Y1706" i="11" s="1"/>
  <c r="AA1484" i="11"/>
  <c r="AA1499" i="11" s="1"/>
  <c r="Z1484" i="11"/>
  <c r="AB1547" i="11"/>
  <c r="AB1557" i="11" s="1"/>
  <c r="AB1559" i="11" s="1"/>
  <c r="W1684" i="11"/>
  <c r="W1687" i="11" s="1"/>
  <c r="Y1484" i="11"/>
  <c r="Y1499" i="11" s="1"/>
  <c r="Y1540" i="11"/>
  <c r="AB1484" i="11"/>
  <c r="AB1499" i="11" s="1"/>
  <c r="AB1501" i="11" s="1"/>
  <c r="AB1578" i="11"/>
  <c r="AB1595" i="11" s="1"/>
  <c r="AB1597" i="11" s="1"/>
  <c r="AB1529" i="11"/>
  <c r="AB1540" i="11"/>
  <c r="AB1560" i="11"/>
  <c r="AB1575" i="11" s="1"/>
  <c r="AB1577" i="11" s="1"/>
  <c r="AB1502" i="11"/>
  <c r="AB1509" i="11" s="1"/>
  <c r="AB1511" i="11" s="1"/>
  <c r="AB1461" i="11"/>
  <c r="AB1481" i="11" s="1"/>
  <c r="AB1483" i="11" s="1"/>
  <c r="W1735" i="11"/>
  <c r="AB1735" i="11"/>
  <c r="AB1737" i="11" s="1"/>
  <c r="AA1735" i="11"/>
  <c r="Y1735" i="11"/>
  <c r="X1735" i="11"/>
  <c r="Z1735" i="11"/>
  <c r="AA1718" i="11"/>
  <c r="AB1718" i="11"/>
  <c r="AB1720" i="11" s="1"/>
  <c r="W1718" i="11"/>
  <c r="X1718" i="11"/>
  <c r="Y1718" i="11"/>
  <c r="Z1718" i="11"/>
  <c r="W1706" i="11"/>
  <c r="Z1706" i="11"/>
  <c r="X1687" i="11"/>
  <c r="Z1670" i="11"/>
  <c r="AB1670" i="11"/>
  <c r="AB1672" i="11" s="1"/>
  <c r="W1670" i="11"/>
  <c r="X1670" i="11"/>
  <c r="Y1670" i="11"/>
  <c r="AA1670" i="11"/>
  <c r="AA1651" i="11"/>
  <c r="AB1651" i="11"/>
  <c r="AB1653" i="11" s="1"/>
  <c r="W1651" i="11"/>
  <c r="X1651" i="11"/>
  <c r="Y1651" i="11"/>
  <c r="Z1651" i="11"/>
  <c r="AB1629" i="11"/>
  <c r="AB1631" i="11" s="1"/>
  <c r="AA1629" i="11"/>
  <c r="Y1629" i="11"/>
  <c r="X1629" i="11"/>
  <c r="W1629" i="11"/>
  <c r="Z1629" i="11"/>
  <c r="AB1526" i="11"/>
  <c r="AB1528" i="11" s="1"/>
  <c r="AB1185" i="11"/>
  <c r="AB1187" i="11" s="1"/>
  <c r="AB486" i="11"/>
  <c r="AB488" i="11" s="1"/>
  <c r="AB1018" i="11"/>
  <c r="AB1020" i="11" s="1"/>
  <c r="AB1037" i="11"/>
  <c r="AB1039" i="11" s="1"/>
  <c r="AB1055" i="11"/>
  <c r="AB1057" i="11" s="1"/>
  <c r="AB1074" i="11"/>
  <c r="AB1076" i="11" s="1"/>
  <c r="AB1096" i="11"/>
  <c r="AB1098" i="11" s="1"/>
  <c r="AB1104" i="11"/>
  <c r="AB1106" i="11" s="1"/>
  <c r="AB1118" i="11"/>
  <c r="AB1120" i="11" s="1"/>
  <c r="AB1132" i="11"/>
  <c r="AB1134" i="11" s="1"/>
  <c r="AB1149" i="11"/>
  <c r="AB1151" i="11" s="1"/>
  <c r="AB1169" i="11"/>
  <c r="AB1171" i="11" s="1"/>
  <c r="AB1235" i="11"/>
  <c r="AB1237" i="11" s="1"/>
  <c r="AB1274" i="11"/>
  <c r="AB1276" i="11" s="1"/>
  <c r="AB1295" i="11"/>
  <c r="AB1297" i="11" s="1"/>
  <c r="AB545" i="11"/>
  <c r="AB547" i="11" s="1"/>
  <c r="AB561" i="11"/>
  <c r="AB563" i="11" s="1"/>
  <c r="AB674" i="11"/>
  <c r="AB676" i="11" s="1"/>
  <c r="AB798" i="11"/>
  <c r="AB800" i="11" s="1"/>
  <c r="AB835" i="11"/>
  <c r="AB837" i="11" s="1"/>
  <c r="AB99" i="11"/>
  <c r="AB101" i="11" s="1"/>
  <c r="AB185" i="11"/>
  <c r="AB187" i="11" s="1"/>
  <c r="AB201" i="11"/>
  <c r="AB203" i="11" s="1"/>
  <c r="AB320" i="11"/>
  <c r="AB322" i="11" s="1"/>
  <c r="AB374" i="11"/>
  <c r="AB376" i="11" s="1"/>
  <c r="AB423" i="11"/>
  <c r="AB425" i="11" s="1"/>
  <c r="AB1198" i="11"/>
  <c r="AB1200" i="11" s="1"/>
  <c r="AB1213" i="11"/>
  <c r="AB1215" i="11" s="1"/>
  <c r="AB1454" i="11"/>
  <c r="AB1456" i="11" s="1"/>
  <c r="AB993" i="11"/>
  <c r="AB995" i="11" s="1"/>
  <c r="AB1005" i="11"/>
  <c r="AB1007" i="11" s="1"/>
  <c r="AB20" i="11"/>
  <c r="AB22" i="11" s="1"/>
  <c r="AB40" i="11"/>
  <c r="AB42" i="11" s="1"/>
  <c r="AB232" i="11"/>
  <c r="AB234" i="11" s="1"/>
  <c r="AB252" i="11"/>
  <c r="AB254" i="11" s="1"/>
  <c r="AB269" i="11"/>
  <c r="AB271" i="11" s="1"/>
  <c r="AB289" i="11"/>
  <c r="AB291" i="11" s="1"/>
  <c r="AB506" i="11"/>
  <c r="AB508" i="11" s="1"/>
  <c r="AB1254" i="11"/>
  <c r="AB1256" i="11" s="1"/>
  <c r="AB580" i="11"/>
  <c r="AB582" i="11" s="1"/>
  <c r="AB615" i="11"/>
  <c r="AB617" i="11" s="1"/>
  <c r="AB626" i="11"/>
  <c r="AB628" i="11" s="1"/>
  <c r="AB641" i="11"/>
  <c r="AB643" i="11" s="1"/>
  <c r="AB695" i="11"/>
  <c r="AB697" i="11" s="1"/>
  <c r="AB718" i="11"/>
  <c r="AB720" i="11" s="1"/>
  <c r="AB765" i="11"/>
  <c r="AB767" i="11" s="1"/>
  <c r="AB783" i="11"/>
  <c r="AB785" i="11" s="1"/>
  <c r="AB59" i="11"/>
  <c r="AB61" i="11" s="1"/>
  <c r="AB80" i="11"/>
  <c r="AB82" i="11" s="1"/>
  <c r="AB218" i="11"/>
  <c r="AB220" i="11" s="1"/>
  <c r="AB355" i="11"/>
  <c r="AB357" i="11" s="1"/>
  <c r="AB518" i="11"/>
  <c r="AB520" i="11" s="1"/>
  <c r="AB531" i="11"/>
  <c r="AB533" i="11" s="1"/>
  <c r="AB657" i="11"/>
  <c r="AB659" i="11" s="1"/>
  <c r="AB815" i="11"/>
  <c r="AB817" i="11" s="1"/>
  <c r="AB885" i="11"/>
  <c r="AB887" i="11" s="1"/>
  <c r="AB177" i="11"/>
  <c r="AB179" i="11" s="1"/>
  <c r="AB304" i="11"/>
  <c r="AB306" i="11" s="1"/>
  <c r="AB338" i="11"/>
  <c r="AB340" i="11" s="1"/>
  <c r="AB394" i="11"/>
  <c r="AB396" i="11" s="1"/>
  <c r="AB437" i="11"/>
  <c r="AB439" i="11" s="1"/>
  <c r="AB453" i="11"/>
  <c r="AB455" i="11" s="1"/>
  <c r="AB850" i="11"/>
  <c r="AB852" i="11" s="1"/>
  <c r="AB1598" i="11"/>
  <c r="AB1613" i="11" s="1"/>
  <c r="AB1615" i="11" s="1"/>
  <c r="AA1598" i="11"/>
  <c r="AA1613" i="11" s="1"/>
  <c r="Z1598" i="11"/>
  <c r="Y1598" i="11"/>
  <c r="Y1613" i="11" s="1"/>
  <c r="X1598" i="11"/>
  <c r="X1613" i="11" s="1"/>
  <c r="W1598" i="11"/>
  <c r="Z1526" i="11"/>
  <c r="W1557" i="11"/>
  <c r="AA1540" i="11"/>
  <c r="Y1502" i="11"/>
  <c r="Y1509" i="11" s="1"/>
  <c r="Z1540" i="11"/>
  <c r="Z1544" i="11" s="1"/>
  <c r="X1529" i="11"/>
  <c r="X1544" i="11" s="1"/>
  <c r="Y1547" i="11"/>
  <c r="Y1557" i="11" s="1"/>
  <c r="Z1547" i="11"/>
  <c r="Z1557" i="11" s="1"/>
  <c r="W1575" i="11"/>
  <c r="Y1526" i="11"/>
  <c r="AA1526" i="11"/>
  <c r="W1526" i="11"/>
  <c r="X1547" i="11"/>
  <c r="X1557" i="11" s="1"/>
  <c r="W1509" i="11"/>
  <c r="X1526" i="11"/>
  <c r="AA1547" i="11"/>
  <c r="AA1557" i="11" s="1"/>
  <c r="Y1560" i="11"/>
  <c r="Y1575" i="11" s="1"/>
  <c r="Z1578" i="11"/>
  <c r="Z1595" i="11" s="1"/>
  <c r="Y1595" i="11"/>
  <c r="W1595" i="11"/>
  <c r="Z1502" i="11"/>
  <c r="Z1509" i="11" s="1"/>
  <c r="Y1529" i="11"/>
  <c r="Y1544" i="11" s="1"/>
  <c r="Z1560" i="11"/>
  <c r="Z1575" i="11" s="1"/>
  <c r="X1578" i="11"/>
  <c r="X1595" i="11" s="1"/>
  <c r="AA1578" i="11"/>
  <c r="AA1595" i="11" s="1"/>
  <c r="X1502" i="11"/>
  <c r="X1509" i="11" s="1"/>
  <c r="AA1529" i="11"/>
  <c r="W1529" i="11"/>
  <c r="W1544" i="11" s="1"/>
  <c r="X1560" i="11"/>
  <c r="X1575" i="11" s="1"/>
  <c r="AA1502" i="11"/>
  <c r="AA1509" i="11" s="1"/>
  <c r="AA1560" i="11"/>
  <c r="AA1575" i="11" s="1"/>
  <c r="W1499" i="11"/>
  <c r="Z1499" i="11"/>
  <c r="X1499" i="11"/>
  <c r="W1461" i="11"/>
  <c r="W1481" i="11" s="1"/>
  <c r="X1461" i="11"/>
  <c r="X1481" i="11" s="1"/>
  <c r="AA1461" i="11"/>
  <c r="AA1481" i="11" s="1"/>
  <c r="Z1481" i="11"/>
  <c r="Y1461" i="11"/>
  <c r="Y1481" i="11" s="1"/>
  <c r="AB1544" i="11" l="1"/>
  <c r="AB1546" i="11" s="1"/>
  <c r="AA1544" i="11"/>
  <c r="V1442" i="11"/>
  <c r="W1442" i="11"/>
  <c r="X1442" i="11"/>
  <c r="Y1442" i="11"/>
  <c r="Z1442" i="11"/>
  <c r="AA1442" i="11"/>
  <c r="V1443" i="11"/>
  <c r="W1443" i="11"/>
  <c r="X1443" i="11"/>
  <c r="Y1443" i="11"/>
  <c r="Z1443" i="11"/>
  <c r="AA1443" i="11"/>
  <c r="V1444" i="11"/>
  <c r="W1444" i="11"/>
  <c r="X1444" i="11"/>
  <c r="Y1444" i="11"/>
  <c r="Z1444" i="11"/>
  <c r="AA1444" i="11"/>
  <c r="V1445" i="11"/>
  <c r="W1445" i="11"/>
  <c r="X1445" i="11"/>
  <c r="Y1445" i="11"/>
  <c r="Z1445" i="11"/>
  <c r="AA1445" i="11"/>
  <c r="V1446" i="11"/>
  <c r="W1446" i="11"/>
  <c r="X1446" i="11"/>
  <c r="Y1446" i="11"/>
  <c r="Z1446" i="11"/>
  <c r="AA1446" i="11"/>
  <c r="V1447" i="11"/>
  <c r="W1447" i="11"/>
  <c r="X1447" i="11"/>
  <c r="Y1447" i="11"/>
  <c r="Z1447" i="11"/>
  <c r="AA1447" i="11"/>
  <c r="V1448" i="11"/>
  <c r="W1448" i="11"/>
  <c r="X1448" i="11"/>
  <c r="Y1448" i="11"/>
  <c r="Z1448" i="11"/>
  <c r="AA1448" i="11"/>
  <c r="V1449" i="11"/>
  <c r="W1449" i="11"/>
  <c r="X1449" i="11"/>
  <c r="Y1449" i="11"/>
  <c r="Z1449" i="11"/>
  <c r="AA1449" i="11"/>
  <c r="V1450" i="11"/>
  <c r="W1450" i="11"/>
  <c r="X1450" i="11"/>
  <c r="Y1450" i="11"/>
  <c r="Z1450" i="11"/>
  <c r="AA1450" i="11"/>
  <c r="V1451" i="11"/>
  <c r="W1451" i="11"/>
  <c r="X1451" i="11"/>
  <c r="Y1451" i="11"/>
  <c r="Z1451" i="11"/>
  <c r="AA1451" i="11"/>
  <c r="V1452" i="11"/>
  <c r="W1452" i="11"/>
  <c r="X1452" i="11"/>
  <c r="Y1452" i="11"/>
  <c r="Z1452" i="11"/>
  <c r="AA1452" i="11"/>
  <c r="V1453" i="11"/>
  <c r="W1453" i="11"/>
  <c r="X1453" i="11"/>
  <c r="Y1453" i="11"/>
  <c r="Z1453" i="11"/>
  <c r="AA1453" i="11"/>
  <c r="U1429" i="11"/>
  <c r="X1429" i="11" s="1"/>
  <c r="AA1421" i="11"/>
  <c r="Z1421" i="11"/>
  <c r="Y1421" i="11"/>
  <c r="X1421" i="11"/>
  <c r="W1421" i="11"/>
  <c r="V1421" i="11"/>
  <c r="AA1420" i="11"/>
  <c r="Z1420" i="11"/>
  <c r="Y1420" i="11"/>
  <c r="X1420" i="11"/>
  <c r="W1420" i="11"/>
  <c r="V1420" i="11"/>
  <c r="AA1419" i="11"/>
  <c r="Z1419" i="11"/>
  <c r="Y1419" i="11"/>
  <c r="X1419" i="11"/>
  <c r="W1419" i="11"/>
  <c r="V1419" i="11"/>
  <c r="AA1418" i="11"/>
  <c r="Z1418" i="11"/>
  <c r="Y1418" i="11"/>
  <c r="X1418" i="11"/>
  <c r="W1418" i="11"/>
  <c r="V1418" i="11"/>
  <c r="AA1417" i="11"/>
  <c r="Z1417" i="11"/>
  <c r="Y1417" i="11"/>
  <c r="X1417" i="11"/>
  <c r="W1417" i="11"/>
  <c r="V1417" i="11"/>
  <c r="AA1416" i="11"/>
  <c r="Z1416" i="11"/>
  <c r="Y1416" i="11"/>
  <c r="X1416" i="11"/>
  <c r="W1416" i="11"/>
  <c r="V1416" i="11"/>
  <c r="AA1415" i="11"/>
  <c r="Z1415" i="11"/>
  <c r="Y1415" i="11"/>
  <c r="X1415" i="11"/>
  <c r="W1415" i="11"/>
  <c r="V1415" i="11"/>
  <c r="AA1414" i="11"/>
  <c r="Z1414" i="11"/>
  <c r="Y1414" i="11"/>
  <c r="X1414" i="11"/>
  <c r="W1414" i="11"/>
  <c r="V1414" i="11"/>
  <c r="AA1413" i="11"/>
  <c r="Z1413" i="11"/>
  <c r="Y1413" i="11"/>
  <c r="X1413" i="11"/>
  <c r="W1413" i="11"/>
  <c r="V1413" i="11"/>
  <c r="AA1412" i="11"/>
  <c r="Z1412" i="11"/>
  <c r="Y1412" i="11"/>
  <c r="X1412" i="11"/>
  <c r="W1412" i="11"/>
  <c r="V1412" i="11"/>
  <c r="AA1438" i="11"/>
  <c r="Z1438" i="11"/>
  <c r="Y1438" i="11"/>
  <c r="X1438" i="11"/>
  <c r="W1438" i="11"/>
  <c r="V1438" i="11"/>
  <c r="AA1437" i="11"/>
  <c r="Z1437" i="11"/>
  <c r="Y1437" i="11"/>
  <c r="X1437" i="11"/>
  <c r="W1437" i="11"/>
  <c r="V1437" i="11"/>
  <c r="AA1436" i="11"/>
  <c r="Z1436" i="11"/>
  <c r="Y1436" i="11"/>
  <c r="X1436" i="11"/>
  <c r="W1436" i="11"/>
  <c r="V1436" i="11"/>
  <c r="AA1435" i="11"/>
  <c r="Z1435" i="11"/>
  <c r="Y1435" i="11"/>
  <c r="X1435" i="11"/>
  <c r="W1435" i="11"/>
  <c r="V1435" i="11"/>
  <c r="AA1434" i="11"/>
  <c r="Z1434" i="11"/>
  <c r="Y1434" i="11"/>
  <c r="X1434" i="11"/>
  <c r="W1434" i="11"/>
  <c r="V1434" i="11"/>
  <c r="AA1433" i="11"/>
  <c r="Z1433" i="11"/>
  <c r="Y1433" i="11"/>
  <c r="X1433" i="11"/>
  <c r="W1433" i="11"/>
  <c r="V1433" i="11"/>
  <c r="AA1432" i="11"/>
  <c r="Z1432" i="11"/>
  <c r="Y1432" i="11"/>
  <c r="X1432" i="11"/>
  <c r="W1432" i="11"/>
  <c r="V1432" i="11"/>
  <c r="AA1431" i="11"/>
  <c r="Z1431" i="11"/>
  <c r="Y1431" i="11"/>
  <c r="X1431" i="11"/>
  <c r="W1431" i="11"/>
  <c r="V1431" i="11"/>
  <c r="AA1430" i="11"/>
  <c r="Z1430" i="11"/>
  <c r="Y1430" i="11"/>
  <c r="X1430" i="11"/>
  <c r="W1430" i="11"/>
  <c r="V1430" i="11"/>
  <c r="Z1429" i="11"/>
  <c r="Y1429" i="11"/>
  <c r="V1429" i="11"/>
  <c r="V1428" i="11"/>
  <c r="AA1427" i="11"/>
  <c r="Z1427" i="11"/>
  <c r="Y1427" i="11"/>
  <c r="X1427" i="11"/>
  <c r="W1427" i="11"/>
  <c r="V1427" i="11"/>
  <c r="AA1426" i="11"/>
  <c r="Z1426" i="11"/>
  <c r="Y1426" i="11"/>
  <c r="X1426" i="11"/>
  <c r="W1426" i="11"/>
  <c r="V1426" i="11"/>
  <c r="AA1425" i="11"/>
  <c r="Z1425" i="11"/>
  <c r="Y1425" i="11"/>
  <c r="X1425" i="11"/>
  <c r="W1425" i="11"/>
  <c r="V1425" i="11"/>
  <c r="U1409" i="11"/>
  <c r="AB1409" i="11" s="1"/>
  <c r="AB1422" i="11" s="1"/>
  <c r="AB1424" i="11" s="1"/>
  <c r="AA1411" i="11"/>
  <c r="Z1411" i="11"/>
  <c r="Y1411" i="11"/>
  <c r="X1411" i="11"/>
  <c r="W1411" i="11"/>
  <c r="V1411" i="11"/>
  <c r="AA1410" i="11"/>
  <c r="Z1410" i="11"/>
  <c r="Y1410" i="11"/>
  <c r="X1410" i="11"/>
  <c r="W1410" i="11"/>
  <c r="V1410" i="11"/>
  <c r="V1409" i="11"/>
  <c r="AA1408" i="11"/>
  <c r="Z1408" i="11"/>
  <c r="Y1408" i="11"/>
  <c r="X1408" i="11"/>
  <c r="W1408" i="11"/>
  <c r="V1408" i="11"/>
  <c r="AA1407" i="11"/>
  <c r="Z1407" i="11"/>
  <c r="Y1407" i="11"/>
  <c r="X1407" i="11"/>
  <c r="W1407" i="11"/>
  <c r="V1407" i="11"/>
  <c r="AA1406" i="11"/>
  <c r="Z1406" i="11"/>
  <c r="Y1406" i="11"/>
  <c r="X1406" i="11"/>
  <c r="W1406" i="11"/>
  <c r="V1406" i="11"/>
  <c r="U1393" i="11"/>
  <c r="AB1393" i="11" s="1"/>
  <c r="AB1403" i="11" s="1"/>
  <c r="AB1405" i="11" s="1"/>
  <c r="AA1402" i="11"/>
  <c r="Z1402" i="11"/>
  <c r="Y1402" i="11"/>
  <c r="X1402" i="11"/>
  <c r="W1402" i="11"/>
  <c r="V1402" i="11"/>
  <c r="AA1401" i="11"/>
  <c r="Z1401" i="11"/>
  <c r="Y1401" i="11"/>
  <c r="X1401" i="11"/>
  <c r="W1401" i="11"/>
  <c r="V1401" i="11"/>
  <c r="AA1400" i="11"/>
  <c r="Z1400" i="11"/>
  <c r="Y1400" i="11"/>
  <c r="X1400" i="11"/>
  <c r="W1400" i="11"/>
  <c r="V1400" i="11"/>
  <c r="AA1399" i="11"/>
  <c r="Z1399" i="11"/>
  <c r="Y1399" i="11"/>
  <c r="X1399" i="11"/>
  <c r="W1399" i="11"/>
  <c r="V1399" i="11"/>
  <c r="AA1398" i="11"/>
  <c r="Z1398" i="11"/>
  <c r="Y1398" i="11"/>
  <c r="X1398" i="11"/>
  <c r="W1398" i="11"/>
  <c r="V1398" i="11"/>
  <c r="AA1397" i="11"/>
  <c r="Z1397" i="11"/>
  <c r="Y1397" i="11"/>
  <c r="X1397" i="11"/>
  <c r="W1397" i="11"/>
  <c r="V1397" i="11"/>
  <c r="AA1396" i="11"/>
  <c r="Z1396" i="11"/>
  <c r="Y1396" i="11"/>
  <c r="X1396" i="11"/>
  <c r="W1396" i="11"/>
  <c r="V1396" i="11"/>
  <c r="AA1395" i="11"/>
  <c r="Z1395" i="11"/>
  <c r="Y1395" i="11"/>
  <c r="X1395" i="11"/>
  <c r="W1395" i="11"/>
  <c r="V1395" i="11"/>
  <c r="V1394" i="11"/>
  <c r="V1393" i="11"/>
  <c r="V1392" i="11"/>
  <c r="AA1391" i="11"/>
  <c r="Z1391" i="11"/>
  <c r="Y1391" i="11"/>
  <c r="X1391" i="11"/>
  <c r="W1391" i="11"/>
  <c r="V1391" i="11"/>
  <c r="AA1390" i="11"/>
  <c r="Z1390" i="11"/>
  <c r="Y1390" i="11"/>
  <c r="X1390" i="11"/>
  <c r="W1390" i="11"/>
  <c r="V1390" i="11"/>
  <c r="U1386" i="11"/>
  <c r="AA1386" i="11" s="1"/>
  <c r="U1370" i="11"/>
  <c r="AA1370" i="11" s="1"/>
  <c r="U1368" i="11"/>
  <c r="AA1368" i="11" s="1"/>
  <c r="U1359" i="11"/>
  <c r="AB1359" i="11" s="1"/>
  <c r="U1351" i="11"/>
  <c r="AB1351" i="11" s="1"/>
  <c r="V1386" i="11"/>
  <c r="AA1385" i="11"/>
  <c r="Z1385" i="11"/>
  <c r="Y1385" i="11"/>
  <c r="X1385" i="11"/>
  <c r="W1385" i="11"/>
  <c r="V1385" i="11"/>
  <c r="AA1384" i="11"/>
  <c r="Z1384" i="11"/>
  <c r="Y1384" i="11"/>
  <c r="X1384" i="11"/>
  <c r="W1384" i="11"/>
  <c r="V1384" i="11"/>
  <c r="AA1383" i="11"/>
  <c r="Z1383" i="11"/>
  <c r="Y1383" i="11"/>
  <c r="X1383" i="11"/>
  <c r="W1383" i="11"/>
  <c r="V1383" i="11"/>
  <c r="AA1382" i="11"/>
  <c r="Z1382" i="11"/>
  <c r="Y1382" i="11"/>
  <c r="X1382" i="11"/>
  <c r="W1382" i="11"/>
  <c r="V1382" i="11"/>
  <c r="AA1381" i="11"/>
  <c r="Z1381" i="11"/>
  <c r="Y1381" i="11"/>
  <c r="X1381" i="11"/>
  <c r="W1381" i="11"/>
  <c r="V1381" i="11"/>
  <c r="AA1380" i="11"/>
  <c r="Z1380" i="11"/>
  <c r="Y1380" i="11"/>
  <c r="X1380" i="11"/>
  <c r="W1380" i="11"/>
  <c r="V1380" i="11"/>
  <c r="AA1379" i="11"/>
  <c r="Z1379" i="11"/>
  <c r="Y1379" i="11"/>
  <c r="X1379" i="11"/>
  <c r="W1379" i="11"/>
  <c r="V1379" i="11"/>
  <c r="AA1378" i="11"/>
  <c r="Z1378" i="11"/>
  <c r="Y1378" i="11"/>
  <c r="X1378" i="11"/>
  <c r="W1378" i="11"/>
  <c r="V1378" i="11"/>
  <c r="AA1377" i="11"/>
  <c r="Z1377" i="11"/>
  <c r="Y1377" i="11"/>
  <c r="X1377" i="11"/>
  <c r="W1377" i="11"/>
  <c r="V1377" i="11"/>
  <c r="AA1376" i="11"/>
  <c r="Z1376" i="11"/>
  <c r="Y1376" i="11"/>
  <c r="X1376" i="11"/>
  <c r="W1376" i="11"/>
  <c r="V1376" i="11"/>
  <c r="AA1375" i="11"/>
  <c r="Z1375" i="11"/>
  <c r="Y1375" i="11"/>
  <c r="X1375" i="11"/>
  <c r="W1375" i="11"/>
  <c r="V1375" i="11"/>
  <c r="AA1374" i="11"/>
  <c r="Z1374" i="11"/>
  <c r="Y1374" i="11"/>
  <c r="X1374" i="11"/>
  <c r="W1374" i="11"/>
  <c r="V1374" i="11"/>
  <c r="AA1373" i="11"/>
  <c r="Z1373" i="11"/>
  <c r="Y1373" i="11"/>
  <c r="X1373" i="11"/>
  <c r="W1373" i="11"/>
  <c r="V1373" i="11"/>
  <c r="AA1372" i="11"/>
  <c r="Z1372" i="11"/>
  <c r="Y1372" i="11"/>
  <c r="X1372" i="11"/>
  <c r="W1372" i="11"/>
  <c r="V1372" i="11"/>
  <c r="AA1371" i="11"/>
  <c r="Z1371" i="11"/>
  <c r="Y1371" i="11"/>
  <c r="X1371" i="11"/>
  <c r="W1371" i="11"/>
  <c r="V1371" i="11"/>
  <c r="V1370" i="11"/>
  <c r="AA1369" i="11"/>
  <c r="Z1369" i="11"/>
  <c r="Y1369" i="11"/>
  <c r="X1369" i="11"/>
  <c r="W1369" i="11"/>
  <c r="V1369" i="11"/>
  <c r="V1368" i="11"/>
  <c r="AA1367" i="11"/>
  <c r="Z1367" i="11"/>
  <c r="Y1367" i="11"/>
  <c r="X1367" i="11"/>
  <c r="W1367" i="11"/>
  <c r="V1367" i="11"/>
  <c r="V1366" i="11"/>
  <c r="DF104" i="20" a="1"/>
  <c r="DF104" i="20" s="1"/>
  <c r="CZ11" i="20"/>
  <c r="DA11" i="20"/>
  <c r="DE10" i="20"/>
  <c r="CU11" i="20"/>
  <c r="CT11" i="20"/>
  <c r="CO11" i="20"/>
  <c r="CN11" i="20"/>
  <c r="CX11" i="20"/>
  <c r="CW11" i="20"/>
  <c r="CR11" i="20"/>
  <c r="CQ11" i="20"/>
  <c r="U1341" i="11"/>
  <c r="V1341" i="11"/>
  <c r="V1342" i="11"/>
  <c r="W1342" i="11"/>
  <c r="X1342" i="11"/>
  <c r="Y1342" i="11"/>
  <c r="Z1342" i="11"/>
  <c r="AA1342" i="11"/>
  <c r="V1343" i="11"/>
  <c r="W1343" i="11"/>
  <c r="X1343" i="11"/>
  <c r="Y1343" i="11"/>
  <c r="Z1343" i="11"/>
  <c r="AA1343" i="11"/>
  <c r="V1344" i="11"/>
  <c r="W1344" i="11"/>
  <c r="X1344" i="11"/>
  <c r="Y1344" i="11"/>
  <c r="Z1344" i="11"/>
  <c r="AA1344" i="11"/>
  <c r="V1345" i="11"/>
  <c r="W1345" i="11"/>
  <c r="X1345" i="11"/>
  <c r="Y1345" i="11"/>
  <c r="Z1345" i="11"/>
  <c r="AA1345" i="11"/>
  <c r="V1346" i="11"/>
  <c r="W1346" i="11"/>
  <c r="X1346" i="11"/>
  <c r="Y1346" i="11"/>
  <c r="Z1346" i="11"/>
  <c r="AA1346" i="11"/>
  <c r="V1347" i="11"/>
  <c r="W1347" i="11"/>
  <c r="X1347" i="11"/>
  <c r="Y1347" i="11"/>
  <c r="Z1347" i="11"/>
  <c r="AA1347" i="11"/>
  <c r="V1348" i="11"/>
  <c r="W1348" i="11"/>
  <c r="X1348" i="11"/>
  <c r="Y1348" i="11"/>
  <c r="Z1348" i="11"/>
  <c r="AA1348" i="11"/>
  <c r="V1349" i="11"/>
  <c r="W1349" i="11"/>
  <c r="X1349" i="11"/>
  <c r="Y1349" i="11"/>
  <c r="Z1349" i="11"/>
  <c r="AA1349" i="11"/>
  <c r="V1350" i="11"/>
  <c r="W1350" i="11"/>
  <c r="X1350" i="11"/>
  <c r="Y1350" i="11"/>
  <c r="Z1350" i="11"/>
  <c r="AA1350" i="11"/>
  <c r="V1351" i="11"/>
  <c r="Z1351" i="11"/>
  <c r="V1352" i="11"/>
  <c r="W1352" i="11"/>
  <c r="X1352" i="11"/>
  <c r="Y1352" i="11"/>
  <c r="Z1352" i="11"/>
  <c r="AA1352" i="11"/>
  <c r="V1353" i="11"/>
  <c r="W1353" i="11"/>
  <c r="X1353" i="11"/>
  <c r="Y1353" i="11"/>
  <c r="Z1353" i="11"/>
  <c r="AA1353" i="11"/>
  <c r="V1354" i="11"/>
  <c r="W1354" i="11"/>
  <c r="X1354" i="11"/>
  <c r="Y1354" i="11"/>
  <c r="Z1354" i="11"/>
  <c r="AA1354" i="11"/>
  <c r="V1355" i="11"/>
  <c r="W1355" i="11"/>
  <c r="X1355" i="11"/>
  <c r="Y1355" i="11"/>
  <c r="Z1355" i="11"/>
  <c r="AA1355" i="11"/>
  <c r="V1356" i="11"/>
  <c r="W1356" i="11"/>
  <c r="X1356" i="11"/>
  <c r="Y1356" i="11"/>
  <c r="Z1356" i="11"/>
  <c r="AA1356" i="11"/>
  <c r="V1357" i="11"/>
  <c r="W1357" i="11"/>
  <c r="X1357" i="11"/>
  <c r="Y1357" i="11"/>
  <c r="Z1357" i="11"/>
  <c r="AA1357" i="11"/>
  <c r="V1358" i="11"/>
  <c r="W1358" i="11"/>
  <c r="X1358" i="11"/>
  <c r="Y1358" i="11"/>
  <c r="Z1358" i="11"/>
  <c r="AA1358" i="11"/>
  <c r="V1359" i="11"/>
  <c r="V1360" i="11"/>
  <c r="W1360" i="11"/>
  <c r="X1360" i="11"/>
  <c r="Y1360" i="11"/>
  <c r="Z1360" i="11"/>
  <c r="AA1360" i="11"/>
  <c r="V1361" i="11"/>
  <c r="W1361" i="11"/>
  <c r="X1361" i="11"/>
  <c r="Y1361" i="11"/>
  <c r="Z1361" i="11"/>
  <c r="AA1361" i="11"/>
  <c r="V1362" i="11"/>
  <c r="W1362" i="11"/>
  <c r="X1362" i="11"/>
  <c r="Y1362" i="11"/>
  <c r="Z1362" i="11"/>
  <c r="AA1362" i="11"/>
  <c r="DF103" i="20" a="1"/>
  <c r="DF103" i="20" s="1"/>
  <c r="DA8" i="20"/>
  <c r="CZ8" i="20"/>
  <c r="CW8" i="20"/>
  <c r="CX8" i="20"/>
  <c r="CU8" i="20"/>
  <c r="CR8" i="20"/>
  <c r="CQ8" i="20"/>
  <c r="CN8" i="20"/>
  <c r="CO8" i="20"/>
  <c r="CT8" i="20"/>
  <c r="DE7" i="20"/>
  <c r="DH3" i="20"/>
  <c r="W1370" i="11" l="1"/>
  <c r="Y1351" i="11"/>
  <c r="X1351" i="11"/>
  <c r="AA1351" i="11"/>
  <c r="W1351" i="11"/>
  <c r="W1386" i="11"/>
  <c r="X1386" i="11"/>
  <c r="Y1386" i="11"/>
  <c r="AB1386" i="11"/>
  <c r="W1341" i="11"/>
  <c r="AB1341" i="11"/>
  <c r="AB1363" i="11" s="1"/>
  <c r="AB1365" i="11" s="1"/>
  <c r="Z1386" i="11"/>
  <c r="AA1429" i="11"/>
  <c r="AB1429" i="11"/>
  <c r="AB1439" i="11" s="1"/>
  <c r="AB1441" i="11" s="1"/>
  <c r="X1368" i="11"/>
  <c r="AB1368" i="11"/>
  <c r="Y1370" i="11"/>
  <c r="AB1370" i="11"/>
  <c r="W1429" i="11"/>
  <c r="Z1341" i="11"/>
  <c r="Y1341" i="11"/>
  <c r="W1368" i="11"/>
  <c r="X1341" i="11"/>
  <c r="Y1368" i="11"/>
  <c r="Z1368" i="11"/>
  <c r="Z1370" i="11"/>
  <c r="AA1341" i="11"/>
  <c r="X1370" i="11"/>
  <c r="Y1454" i="11"/>
  <c r="W1454" i="11"/>
  <c r="X1454" i="11"/>
  <c r="Z1454" i="11"/>
  <c r="AA1454" i="11"/>
  <c r="AA1393" i="11"/>
  <c r="Z1393" i="11"/>
  <c r="Y1393" i="11"/>
  <c r="X1393" i="11"/>
  <c r="W1393" i="11"/>
  <c r="W1359" i="11"/>
  <c r="X1359" i="11"/>
  <c r="Y1359" i="11"/>
  <c r="Z1359" i="11"/>
  <c r="AA1359" i="11"/>
  <c r="AA1428" i="11"/>
  <c r="Z1428" i="11"/>
  <c r="Z1439" i="11" s="1"/>
  <c r="Y1428" i="11"/>
  <c r="Y1439" i="11" s="1"/>
  <c r="X1428" i="11"/>
  <c r="X1439" i="11" s="1"/>
  <c r="W1428" i="11"/>
  <c r="AA1409" i="11"/>
  <c r="AA1422" i="11" s="1"/>
  <c r="Z1409" i="11"/>
  <c r="Z1422" i="11" s="1"/>
  <c r="Y1409" i="11"/>
  <c r="Y1422" i="11" s="1"/>
  <c r="X1409" i="11"/>
  <c r="X1422" i="11" s="1"/>
  <c r="W1409" i="11"/>
  <c r="W1422" i="11" s="1"/>
  <c r="AA1394" i="11"/>
  <c r="Z1394" i="11"/>
  <c r="Y1394" i="11"/>
  <c r="X1394" i="11"/>
  <c r="W1394" i="11"/>
  <c r="AA1392" i="11"/>
  <c r="Z1392" i="11"/>
  <c r="Y1392" i="11"/>
  <c r="X1392" i="11"/>
  <c r="W1392" i="11"/>
  <c r="AA1366" i="11"/>
  <c r="AA1387" i="11" s="1"/>
  <c r="Z1366" i="11"/>
  <c r="Y1366" i="11"/>
  <c r="X1366" i="11"/>
  <c r="W1366" i="11"/>
  <c r="U1319" i="11"/>
  <c r="V1319" i="11"/>
  <c r="V1320" i="11"/>
  <c r="W1320" i="11"/>
  <c r="X1320" i="11"/>
  <c r="Y1320" i="11"/>
  <c r="Z1320" i="11"/>
  <c r="AA1320" i="11"/>
  <c r="V1321" i="11"/>
  <c r="W1321" i="11"/>
  <c r="X1321" i="11"/>
  <c r="Y1321" i="11"/>
  <c r="Z1321" i="11"/>
  <c r="AA1321" i="11"/>
  <c r="V1322" i="11"/>
  <c r="W1322" i="11"/>
  <c r="X1322" i="11"/>
  <c r="Y1322" i="11"/>
  <c r="Z1322" i="11"/>
  <c r="AA1322" i="11"/>
  <c r="V1323" i="11"/>
  <c r="W1323" i="11"/>
  <c r="X1323" i="11"/>
  <c r="Y1323" i="11"/>
  <c r="Z1323" i="11"/>
  <c r="AA1323" i="11"/>
  <c r="V1324" i="11"/>
  <c r="W1324" i="11"/>
  <c r="X1324" i="11"/>
  <c r="Y1324" i="11"/>
  <c r="Z1324" i="11"/>
  <c r="AA1324" i="11"/>
  <c r="V1325" i="11"/>
  <c r="W1325" i="11"/>
  <c r="X1325" i="11"/>
  <c r="Y1325" i="11"/>
  <c r="Z1325" i="11"/>
  <c r="AA1325" i="11"/>
  <c r="V1326" i="11"/>
  <c r="W1326" i="11"/>
  <c r="X1326" i="11"/>
  <c r="Y1326" i="11"/>
  <c r="Z1326" i="11"/>
  <c r="AA1326" i="11"/>
  <c r="V1327" i="11"/>
  <c r="W1327" i="11"/>
  <c r="X1327" i="11"/>
  <c r="Y1327" i="11"/>
  <c r="Z1327" i="11"/>
  <c r="AA1327" i="11"/>
  <c r="V1328" i="11"/>
  <c r="W1328" i="11"/>
  <c r="X1328" i="11"/>
  <c r="Y1328" i="11"/>
  <c r="Z1328" i="11"/>
  <c r="AA1328" i="11"/>
  <c r="V1329" i="11"/>
  <c r="W1329" i="11"/>
  <c r="X1329" i="11"/>
  <c r="Y1329" i="11"/>
  <c r="Z1329" i="11"/>
  <c r="AA1329" i="11"/>
  <c r="V1330" i="11"/>
  <c r="W1330" i="11"/>
  <c r="X1330" i="11"/>
  <c r="Y1330" i="11"/>
  <c r="Z1330" i="11"/>
  <c r="AA1330" i="11"/>
  <c r="V1331" i="11"/>
  <c r="W1331" i="11"/>
  <c r="X1331" i="11"/>
  <c r="Y1331" i="11"/>
  <c r="Z1331" i="11"/>
  <c r="AA1331" i="11"/>
  <c r="V1332" i="11"/>
  <c r="W1332" i="11"/>
  <c r="X1332" i="11"/>
  <c r="Y1332" i="11"/>
  <c r="Z1332" i="11"/>
  <c r="AA1332" i="11"/>
  <c r="V1333" i="11"/>
  <c r="W1333" i="11"/>
  <c r="X1333" i="11"/>
  <c r="Y1333" i="11"/>
  <c r="Z1333" i="11"/>
  <c r="AA1333" i="11"/>
  <c r="V1334" i="11"/>
  <c r="W1334" i="11"/>
  <c r="X1334" i="11"/>
  <c r="Y1334" i="11"/>
  <c r="Z1334" i="11"/>
  <c r="AA1334" i="11"/>
  <c r="V1335" i="11"/>
  <c r="W1335" i="11"/>
  <c r="X1335" i="11"/>
  <c r="Y1335" i="11"/>
  <c r="Z1335" i="11"/>
  <c r="AA1335" i="11"/>
  <c r="V1336" i="11"/>
  <c r="W1336" i="11"/>
  <c r="X1336" i="11"/>
  <c r="Y1336" i="11"/>
  <c r="Z1336" i="11"/>
  <c r="AA1336" i="11"/>
  <c r="V1337" i="11"/>
  <c r="W1337" i="11"/>
  <c r="X1337" i="11"/>
  <c r="Y1337" i="11"/>
  <c r="Z1337" i="11"/>
  <c r="AA1337" i="11"/>
  <c r="U1298" i="11"/>
  <c r="AB1298" i="11" s="1"/>
  <c r="AB1316" i="11" s="1"/>
  <c r="AB1318" i="11" s="1"/>
  <c r="W1363" i="11" l="1"/>
  <c r="W1439" i="11"/>
  <c r="AA1439" i="11"/>
  <c r="AB1387" i="11"/>
  <c r="AB1389" i="11" s="1"/>
  <c r="Z1319" i="11"/>
  <c r="Z1338" i="11" s="1"/>
  <c r="AB1319" i="11"/>
  <c r="AB1338" i="11" s="1"/>
  <c r="AB1340" i="11" s="1"/>
  <c r="Y1363" i="11"/>
  <c r="AA1363" i="11"/>
  <c r="Z1387" i="11"/>
  <c r="W1387" i="11"/>
  <c r="Y1387" i="11"/>
  <c r="Z1363" i="11"/>
  <c r="X1363" i="11"/>
  <c r="Y1319" i="11"/>
  <c r="Y1338" i="11" s="1"/>
  <c r="X1319" i="11"/>
  <c r="X1338" i="11" s="1"/>
  <c r="AA1319" i="11"/>
  <c r="AA1338" i="11" s="1"/>
  <c r="W1319" i="11"/>
  <c r="W1338" i="11" s="1"/>
  <c r="X1387" i="11"/>
  <c r="Y1403" i="11"/>
  <c r="X1403" i="11"/>
  <c r="W1403" i="11"/>
  <c r="AA1403" i="11"/>
  <c r="Z1403" i="11"/>
  <c r="V1298" i="11"/>
  <c r="W1298" i="11"/>
  <c r="X1298" i="11"/>
  <c r="Y1298" i="11"/>
  <c r="Z1298" i="11"/>
  <c r="AA1298" i="11"/>
  <c r="V1299" i="11"/>
  <c r="W1299" i="11"/>
  <c r="X1299" i="11"/>
  <c r="Y1299" i="11"/>
  <c r="Z1299" i="11"/>
  <c r="AA1299" i="11"/>
  <c r="V1300" i="11"/>
  <c r="W1300" i="11"/>
  <c r="X1300" i="11"/>
  <c r="Y1300" i="11"/>
  <c r="Z1300" i="11"/>
  <c r="AA1300" i="11"/>
  <c r="V1301" i="11"/>
  <c r="W1301" i="11"/>
  <c r="X1301" i="11"/>
  <c r="Y1301" i="11"/>
  <c r="Z1301" i="11"/>
  <c r="AA1301" i="11"/>
  <c r="V1302" i="11"/>
  <c r="W1302" i="11"/>
  <c r="X1302" i="11"/>
  <c r="Y1302" i="11"/>
  <c r="Z1302" i="11"/>
  <c r="AA1302" i="11"/>
  <c r="V1303" i="11"/>
  <c r="W1303" i="11"/>
  <c r="X1303" i="11"/>
  <c r="Y1303" i="11"/>
  <c r="Z1303" i="11"/>
  <c r="AA1303" i="11"/>
  <c r="V1304" i="11"/>
  <c r="W1304" i="11"/>
  <c r="X1304" i="11"/>
  <c r="Y1304" i="11"/>
  <c r="Z1304" i="11"/>
  <c r="AA1304" i="11"/>
  <c r="V1305" i="11"/>
  <c r="W1305" i="11"/>
  <c r="X1305" i="11"/>
  <c r="Y1305" i="11"/>
  <c r="Z1305" i="11"/>
  <c r="AA1305" i="11"/>
  <c r="V1306" i="11"/>
  <c r="W1306" i="11"/>
  <c r="X1306" i="11"/>
  <c r="Y1306" i="11"/>
  <c r="Z1306" i="11"/>
  <c r="AA1306" i="11"/>
  <c r="V1307" i="11"/>
  <c r="W1307" i="11"/>
  <c r="X1307" i="11"/>
  <c r="Y1307" i="11"/>
  <c r="Z1307" i="11"/>
  <c r="AA1307" i="11"/>
  <c r="V1308" i="11"/>
  <c r="W1308" i="11"/>
  <c r="X1308" i="11"/>
  <c r="Y1308" i="11"/>
  <c r="Z1308" i="11"/>
  <c r="AA1308" i="11"/>
  <c r="V1309" i="11"/>
  <c r="W1309" i="11"/>
  <c r="X1309" i="11"/>
  <c r="Y1309" i="11"/>
  <c r="Z1309" i="11"/>
  <c r="AA1309" i="11"/>
  <c r="V1310" i="11"/>
  <c r="W1310" i="11"/>
  <c r="X1310" i="11"/>
  <c r="Y1310" i="11"/>
  <c r="Z1310" i="11"/>
  <c r="AA1310" i="11"/>
  <c r="V1311" i="11"/>
  <c r="W1311" i="11"/>
  <c r="X1311" i="11"/>
  <c r="Y1311" i="11"/>
  <c r="Z1311" i="11"/>
  <c r="AA1311" i="11"/>
  <c r="V1312" i="11"/>
  <c r="W1312" i="11"/>
  <c r="X1312" i="11"/>
  <c r="Y1312" i="11"/>
  <c r="Z1312" i="11"/>
  <c r="AA1312" i="11"/>
  <c r="V1313" i="11"/>
  <c r="W1313" i="11"/>
  <c r="X1313" i="11"/>
  <c r="Y1313" i="11"/>
  <c r="Z1313" i="11"/>
  <c r="AA1313" i="11"/>
  <c r="V1314" i="11"/>
  <c r="W1314" i="11"/>
  <c r="X1314" i="11"/>
  <c r="Y1314" i="11"/>
  <c r="Z1314" i="11"/>
  <c r="AA1314" i="11"/>
  <c r="V1315" i="11"/>
  <c r="W1315" i="11"/>
  <c r="X1315" i="11"/>
  <c r="Y1315" i="11"/>
  <c r="Z1315" i="11"/>
  <c r="AA1315" i="11"/>
  <c r="V1292" i="11"/>
  <c r="W1292" i="11"/>
  <c r="X1292" i="11"/>
  <c r="Y1292" i="11"/>
  <c r="Z1292" i="11"/>
  <c r="AA1292" i="11"/>
  <c r="V1293" i="11"/>
  <c r="W1293" i="11"/>
  <c r="X1293" i="11"/>
  <c r="Y1293" i="11"/>
  <c r="Z1293" i="11"/>
  <c r="AA1293" i="11"/>
  <c r="V1294" i="11"/>
  <c r="W1294" i="11"/>
  <c r="X1294" i="11"/>
  <c r="Y1294" i="11"/>
  <c r="Z1294" i="11"/>
  <c r="AA1294" i="11"/>
  <c r="CH132" i="20" a="1"/>
  <c r="CH132" i="20" s="1"/>
  <c r="CB95" i="20"/>
  <c r="BV95" i="20"/>
  <c r="BP95" i="20"/>
  <c r="CG94" i="20"/>
  <c r="CC95" i="20"/>
  <c r="BZ95" i="20"/>
  <c r="BY95" i="20"/>
  <c r="BW95" i="20"/>
  <c r="BT95" i="20"/>
  <c r="BS95" i="20"/>
  <c r="BQ95" i="20"/>
  <c r="V1277" i="11"/>
  <c r="W1277" i="11"/>
  <c r="X1277" i="11"/>
  <c r="Y1277" i="11"/>
  <c r="Z1277" i="11"/>
  <c r="AA1277" i="11"/>
  <c r="V1278" i="11"/>
  <c r="W1278" i="11"/>
  <c r="X1278" i="11"/>
  <c r="Y1278" i="11"/>
  <c r="Z1278" i="11"/>
  <c r="AA1278" i="11"/>
  <c r="V1279" i="11"/>
  <c r="W1279" i="11"/>
  <c r="X1279" i="11"/>
  <c r="Y1279" i="11"/>
  <c r="Z1279" i="11"/>
  <c r="AA1279" i="11"/>
  <c r="V1280" i="11"/>
  <c r="W1280" i="11"/>
  <c r="X1280" i="11"/>
  <c r="Y1280" i="11"/>
  <c r="Z1280" i="11"/>
  <c r="AA1280" i="11"/>
  <c r="V1281" i="11"/>
  <c r="W1281" i="11"/>
  <c r="X1281" i="11"/>
  <c r="Y1281" i="11"/>
  <c r="Z1281" i="11"/>
  <c r="AA1281" i="11"/>
  <c r="V1282" i="11"/>
  <c r="W1282" i="11"/>
  <c r="X1282" i="11"/>
  <c r="Y1282" i="11"/>
  <c r="Z1282" i="11"/>
  <c r="AA1282" i="11"/>
  <c r="V1283" i="11"/>
  <c r="W1283" i="11"/>
  <c r="X1283" i="11"/>
  <c r="Y1283" i="11"/>
  <c r="Z1283" i="11"/>
  <c r="AA1283" i="11"/>
  <c r="V1284" i="11"/>
  <c r="W1284" i="11"/>
  <c r="X1284" i="11"/>
  <c r="Y1284" i="11"/>
  <c r="Z1284" i="11"/>
  <c r="AA1284" i="11"/>
  <c r="V1285" i="11"/>
  <c r="W1285" i="11"/>
  <c r="X1285" i="11"/>
  <c r="Y1285" i="11"/>
  <c r="Z1285" i="11"/>
  <c r="AA1285" i="11"/>
  <c r="V1286" i="11"/>
  <c r="W1286" i="11"/>
  <c r="X1286" i="11"/>
  <c r="Y1286" i="11"/>
  <c r="Z1286" i="11"/>
  <c r="AA1286" i="11"/>
  <c r="V1287" i="11"/>
  <c r="W1287" i="11"/>
  <c r="X1287" i="11"/>
  <c r="Y1287" i="11"/>
  <c r="Z1287" i="11"/>
  <c r="AA1287" i="11"/>
  <c r="V1288" i="11"/>
  <c r="W1288" i="11"/>
  <c r="X1288" i="11"/>
  <c r="Y1288" i="11"/>
  <c r="Z1288" i="11"/>
  <c r="AA1288" i="11"/>
  <c r="V1289" i="11"/>
  <c r="W1289" i="11"/>
  <c r="X1289" i="11"/>
  <c r="Y1289" i="11"/>
  <c r="Z1289" i="11"/>
  <c r="AA1289" i="11"/>
  <c r="V1290" i="11"/>
  <c r="W1290" i="11"/>
  <c r="X1290" i="11"/>
  <c r="Y1290" i="11"/>
  <c r="Z1290" i="11"/>
  <c r="AA1290" i="11"/>
  <c r="V1291" i="11"/>
  <c r="W1291" i="11"/>
  <c r="X1291" i="11"/>
  <c r="Y1291" i="11"/>
  <c r="Z1291" i="11"/>
  <c r="AA1291" i="11"/>
  <c r="CH129" i="20" a="1"/>
  <c r="CH129" i="20" s="1"/>
  <c r="CH130" i="20" a="1"/>
  <c r="CH130" i="20"/>
  <c r="CH131" i="20" a="1"/>
  <c r="CH131" i="20" s="1"/>
  <c r="CG88" i="20"/>
  <c r="BY89" i="20"/>
  <c r="BZ89" i="20"/>
  <c r="CB89" i="20"/>
  <c r="CF89" i="20"/>
  <c r="CE89" i="20"/>
  <c r="CC89" i="20"/>
  <c r="BW89" i="20"/>
  <c r="BV89" i="20"/>
  <c r="BS89" i="20"/>
  <c r="BP89" i="20"/>
  <c r="BQ89" i="20"/>
  <c r="BT89" i="20"/>
  <c r="BP92" i="20"/>
  <c r="BQ92" i="20"/>
  <c r="V1257" i="11"/>
  <c r="W1257" i="11"/>
  <c r="X1257" i="11"/>
  <c r="Y1257" i="11"/>
  <c r="Z1257" i="11"/>
  <c r="AA1257" i="11"/>
  <c r="V1258" i="11"/>
  <c r="W1258" i="11"/>
  <c r="X1258" i="11"/>
  <c r="Y1258" i="11"/>
  <c r="Z1258" i="11"/>
  <c r="AA1258" i="11"/>
  <c r="V1259" i="11"/>
  <c r="W1259" i="11"/>
  <c r="X1259" i="11"/>
  <c r="Y1259" i="11"/>
  <c r="Z1259" i="11"/>
  <c r="AA1259" i="11"/>
  <c r="V1260" i="11"/>
  <c r="W1260" i="11"/>
  <c r="X1260" i="11"/>
  <c r="Y1260" i="11"/>
  <c r="Z1260" i="11"/>
  <c r="AA1260" i="11"/>
  <c r="V1261" i="11"/>
  <c r="W1261" i="11"/>
  <c r="X1261" i="11"/>
  <c r="Y1261" i="11"/>
  <c r="Z1261" i="11"/>
  <c r="AA1261" i="11"/>
  <c r="V1262" i="11"/>
  <c r="W1262" i="11"/>
  <c r="X1262" i="11"/>
  <c r="Y1262" i="11"/>
  <c r="Z1262" i="11"/>
  <c r="AA1262" i="11"/>
  <c r="V1263" i="11"/>
  <c r="W1263" i="11"/>
  <c r="X1263" i="11"/>
  <c r="Y1263" i="11"/>
  <c r="Z1263" i="11"/>
  <c r="AA1263" i="11"/>
  <c r="V1264" i="11"/>
  <c r="W1264" i="11"/>
  <c r="X1264" i="11"/>
  <c r="Y1264" i="11"/>
  <c r="Z1264" i="11"/>
  <c r="AA1264" i="11"/>
  <c r="V1265" i="11"/>
  <c r="W1265" i="11"/>
  <c r="X1265" i="11"/>
  <c r="Y1265" i="11"/>
  <c r="Z1265" i="11"/>
  <c r="AA1265" i="11"/>
  <c r="V1266" i="11"/>
  <c r="W1266" i="11"/>
  <c r="X1266" i="11"/>
  <c r="Y1266" i="11"/>
  <c r="Z1266" i="11"/>
  <c r="AA1266" i="11"/>
  <c r="V1267" i="11"/>
  <c r="W1267" i="11"/>
  <c r="X1267" i="11"/>
  <c r="Y1267" i="11"/>
  <c r="Z1267" i="11"/>
  <c r="AA1267" i="11"/>
  <c r="V1268" i="11"/>
  <c r="W1268" i="11"/>
  <c r="X1268" i="11"/>
  <c r="Y1268" i="11"/>
  <c r="Z1268" i="11"/>
  <c r="AA1268" i="11"/>
  <c r="V1269" i="11"/>
  <c r="W1269" i="11"/>
  <c r="X1269" i="11"/>
  <c r="Y1269" i="11"/>
  <c r="Z1269" i="11"/>
  <c r="AA1269" i="11"/>
  <c r="V1270" i="11"/>
  <c r="W1270" i="11"/>
  <c r="X1270" i="11"/>
  <c r="Y1270" i="11"/>
  <c r="Z1270" i="11"/>
  <c r="AA1270" i="11"/>
  <c r="V1271" i="11"/>
  <c r="W1271" i="11"/>
  <c r="X1271" i="11"/>
  <c r="Y1271" i="11"/>
  <c r="Z1271" i="11"/>
  <c r="AA1271" i="11"/>
  <c r="V1272" i="11"/>
  <c r="W1272" i="11"/>
  <c r="X1272" i="11"/>
  <c r="Y1272" i="11"/>
  <c r="Z1272" i="11"/>
  <c r="AA1272" i="11"/>
  <c r="V1273" i="11"/>
  <c r="W1273" i="11"/>
  <c r="X1273" i="11"/>
  <c r="Y1273" i="11"/>
  <c r="Z1273" i="11"/>
  <c r="AA1273" i="11"/>
  <c r="BV83" i="20"/>
  <c r="CG82" i="20"/>
  <c r="CJ84" i="20"/>
  <c r="CH84" i="20"/>
  <c r="CH85" i="20"/>
  <c r="V1238" i="11"/>
  <c r="W1238" i="11"/>
  <c r="X1238" i="11"/>
  <c r="Y1238" i="11"/>
  <c r="Z1238" i="11"/>
  <c r="AA1238" i="11"/>
  <c r="V1239" i="11"/>
  <c r="W1239" i="11"/>
  <c r="X1239" i="11"/>
  <c r="Y1239" i="11"/>
  <c r="Z1239" i="11"/>
  <c r="AA1239" i="11"/>
  <c r="V1240" i="11"/>
  <c r="W1240" i="11"/>
  <c r="X1240" i="11"/>
  <c r="Y1240" i="11"/>
  <c r="Z1240" i="11"/>
  <c r="AA1240" i="11"/>
  <c r="V1241" i="11"/>
  <c r="W1241" i="11"/>
  <c r="X1241" i="11"/>
  <c r="Y1241" i="11"/>
  <c r="Z1241" i="11"/>
  <c r="AA1241" i="11"/>
  <c r="V1242" i="11"/>
  <c r="W1242" i="11"/>
  <c r="X1242" i="11"/>
  <c r="Y1242" i="11"/>
  <c r="Z1242" i="11"/>
  <c r="AA1242" i="11"/>
  <c r="V1243" i="11"/>
  <c r="W1243" i="11"/>
  <c r="X1243" i="11"/>
  <c r="Y1243" i="11"/>
  <c r="Z1243" i="11"/>
  <c r="AA1243" i="11"/>
  <c r="V1244" i="11"/>
  <c r="W1244" i="11"/>
  <c r="X1244" i="11"/>
  <c r="Y1244" i="11"/>
  <c r="Z1244" i="11"/>
  <c r="AA1244" i="11"/>
  <c r="V1245" i="11"/>
  <c r="W1245" i="11"/>
  <c r="X1245" i="11"/>
  <c r="Y1245" i="11"/>
  <c r="Z1245" i="11"/>
  <c r="AA1245" i="11"/>
  <c r="V1246" i="11"/>
  <c r="W1246" i="11"/>
  <c r="X1246" i="11"/>
  <c r="Y1246" i="11"/>
  <c r="Z1246" i="11"/>
  <c r="AA1246" i="11"/>
  <c r="V1247" i="11"/>
  <c r="W1247" i="11"/>
  <c r="X1247" i="11"/>
  <c r="Y1247" i="11"/>
  <c r="Z1247" i="11"/>
  <c r="AA1247" i="11"/>
  <c r="V1248" i="11"/>
  <c r="W1248" i="11"/>
  <c r="X1248" i="11"/>
  <c r="Y1248" i="11"/>
  <c r="Z1248" i="11"/>
  <c r="AA1248" i="11"/>
  <c r="V1249" i="11"/>
  <c r="W1249" i="11"/>
  <c r="X1249" i="11"/>
  <c r="Y1249" i="11"/>
  <c r="Z1249" i="11"/>
  <c r="AA1249" i="11"/>
  <c r="V1250" i="11"/>
  <c r="W1250" i="11"/>
  <c r="X1250" i="11"/>
  <c r="Y1250" i="11"/>
  <c r="Z1250" i="11"/>
  <c r="AA1250" i="11"/>
  <c r="V1251" i="11"/>
  <c r="W1251" i="11"/>
  <c r="X1251" i="11"/>
  <c r="Y1251" i="11"/>
  <c r="Z1251" i="11"/>
  <c r="AA1251" i="11"/>
  <c r="V1252" i="11"/>
  <c r="W1252" i="11"/>
  <c r="X1252" i="11"/>
  <c r="Y1252" i="11"/>
  <c r="Z1252" i="11"/>
  <c r="AA1252" i="11"/>
  <c r="V1253" i="11"/>
  <c r="W1253" i="11"/>
  <c r="X1253" i="11"/>
  <c r="Y1253" i="11"/>
  <c r="Z1253" i="11"/>
  <c r="AA1253" i="11"/>
  <c r="V1216" i="11"/>
  <c r="W1216" i="11"/>
  <c r="X1216" i="11"/>
  <c r="Y1216" i="11"/>
  <c r="Z1216" i="11"/>
  <c r="AA1216" i="11"/>
  <c r="V1217" i="11"/>
  <c r="W1217" i="11"/>
  <c r="X1217" i="11"/>
  <c r="Y1217" i="11"/>
  <c r="Z1217" i="11"/>
  <c r="AA1217" i="11"/>
  <c r="V1218" i="11"/>
  <c r="W1218" i="11"/>
  <c r="X1218" i="11"/>
  <c r="Y1218" i="11"/>
  <c r="Z1218" i="11"/>
  <c r="AA1218" i="11"/>
  <c r="V1219" i="11"/>
  <c r="W1219" i="11"/>
  <c r="X1219" i="11"/>
  <c r="Y1219" i="11"/>
  <c r="Z1219" i="11"/>
  <c r="AA1219" i="11"/>
  <c r="V1220" i="11"/>
  <c r="W1220" i="11"/>
  <c r="X1220" i="11"/>
  <c r="Y1220" i="11"/>
  <c r="Z1220" i="11"/>
  <c r="AA1220" i="11"/>
  <c r="V1221" i="11"/>
  <c r="W1221" i="11"/>
  <c r="X1221" i="11"/>
  <c r="Y1221" i="11"/>
  <c r="Z1221" i="11"/>
  <c r="AA1221" i="11"/>
  <c r="V1222" i="11"/>
  <c r="W1222" i="11"/>
  <c r="X1222" i="11"/>
  <c r="Y1222" i="11"/>
  <c r="Z1222" i="11"/>
  <c r="AA1222" i="11"/>
  <c r="V1223" i="11"/>
  <c r="W1223" i="11"/>
  <c r="X1223" i="11"/>
  <c r="Y1223" i="11"/>
  <c r="Z1223" i="11"/>
  <c r="AA1223" i="11"/>
  <c r="V1224" i="11"/>
  <c r="W1224" i="11"/>
  <c r="X1224" i="11"/>
  <c r="Y1224" i="11"/>
  <c r="Z1224" i="11"/>
  <c r="AA1224" i="11"/>
  <c r="V1225" i="11"/>
  <c r="W1225" i="11"/>
  <c r="X1225" i="11"/>
  <c r="Y1225" i="11"/>
  <c r="Z1225" i="11"/>
  <c r="AA1225" i="11"/>
  <c r="V1226" i="11"/>
  <c r="W1226" i="11"/>
  <c r="X1226" i="11"/>
  <c r="Y1226" i="11"/>
  <c r="Z1226" i="11"/>
  <c r="AA1226" i="11"/>
  <c r="V1227" i="11"/>
  <c r="W1227" i="11"/>
  <c r="X1227" i="11"/>
  <c r="Y1227" i="11"/>
  <c r="Z1227" i="11"/>
  <c r="AA1227" i="11"/>
  <c r="V1228" i="11"/>
  <c r="W1228" i="11"/>
  <c r="X1228" i="11"/>
  <c r="Y1228" i="11"/>
  <c r="Z1228" i="11"/>
  <c r="AA1228" i="11"/>
  <c r="V1229" i="11"/>
  <c r="W1229" i="11"/>
  <c r="X1229" i="11"/>
  <c r="Y1229" i="11"/>
  <c r="Z1229" i="11"/>
  <c r="AA1229" i="11"/>
  <c r="V1230" i="11"/>
  <c r="W1230" i="11"/>
  <c r="X1230" i="11"/>
  <c r="Y1230" i="11"/>
  <c r="Z1230" i="11"/>
  <c r="AA1230" i="11"/>
  <c r="V1231" i="11"/>
  <c r="W1231" i="11"/>
  <c r="X1231" i="11"/>
  <c r="Y1231" i="11"/>
  <c r="Z1231" i="11"/>
  <c r="AA1231" i="11"/>
  <c r="V1232" i="11"/>
  <c r="W1232" i="11"/>
  <c r="X1232" i="11"/>
  <c r="Y1232" i="11"/>
  <c r="Z1232" i="11"/>
  <c r="AA1232" i="11"/>
  <c r="V1233" i="11"/>
  <c r="W1233" i="11"/>
  <c r="X1233" i="11"/>
  <c r="Y1233" i="11"/>
  <c r="Z1233" i="11"/>
  <c r="AA1233" i="11"/>
  <c r="V1234" i="11"/>
  <c r="W1234" i="11"/>
  <c r="X1234" i="11"/>
  <c r="Y1234" i="11"/>
  <c r="Z1234" i="11"/>
  <c r="AA1234" i="11"/>
  <c r="CH127" i="20" a="1"/>
  <c r="CH127" i="20" s="1"/>
  <c r="CH128" i="20" a="1"/>
  <c r="CH128" i="20" s="1"/>
  <c r="CB83" i="20"/>
  <c r="BP83" i="20"/>
  <c r="CB80" i="20"/>
  <c r="BY80" i="20"/>
  <c r="BV80" i="20"/>
  <c r="BS80" i="20"/>
  <c r="BP80" i="20"/>
  <c r="CG79" i="20"/>
  <c r="CC83" i="20"/>
  <c r="BZ83" i="20"/>
  <c r="BY83" i="20"/>
  <c r="BW83" i="20"/>
  <c r="BT83" i="20"/>
  <c r="BS83" i="20"/>
  <c r="BQ83" i="20"/>
  <c r="CC80" i="20"/>
  <c r="BZ80" i="20"/>
  <c r="BW80" i="20"/>
  <c r="BT80" i="20"/>
  <c r="BQ80" i="20"/>
  <c r="V1190" i="11"/>
  <c r="V1191" i="11"/>
  <c r="V1201" i="11"/>
  <c r="W1201" i="11"/>
  <c r="X1201" i="11"/>
  <c r="Y1201" i="11"/>
  <c r="Z1201" i="11"/>
  <c r="AA1201" i="11"/>
  <c r="V1202" i="11"/>
  <c r="W1202" i="11"/>
  <c r="X1202" i="11"/>
  <c r="Y1202" i="11"/>
  <c r="Z1202" i="11"/>
  <c r="AA1202" i="11"/>
  <c r="V1203" i="11"/>
  <c r="W1203" i="11"/>
  <c r="X1203" i="11"/>
  <c r="Y1203" i="11"/>
  <c r="Z1203" i="11"/>
  <c r="AA1203" i="11"/>
  <c r="V1204" i="11"/>
  <c r="W1204" i="11"/>
  <c r="X1204" i="11"/>
  <c r="Y1204" i="11"/>
  <c r="Z1204" i="11"/>
  <c r="AA1204" i="11"/>
  <c r="V1205" i="11"/>
  <c r="W1205" i="11"/>
  <c r="X1205" i="11"/>
  <c r="Y1205" i="11"/>
  <c r="Z1205" i="11"/>
  <c r="AA1205" i="11"/>
  <c r="V1206" i="11"/>
  <c r="W1206" i="11"/>
  <c r="X1206" i="11"/>
  <c r="Y1206" i="11"/>
  <c r="Z1206" i="11"/>
  <c r="AA1206" i="11"/>
  <c r="V1207" i="11"/>
  <c r="W1207" i="11"/>
  <c r="X1207" i="11"/>
  <c r="Y1207" i="11"/>
  <c r="Z1207" i="11"/>
  <c r="AA1207" i="11"/>
  <c r="V1208" i="11"/>
  <c r="W1208" i="11"/>
  <c r="X1208" i="11"/>
  <c r="Y1208" i="11"/>
  <c r="Z1208" i="11"/>
  <c r="AA1208" i="11"/>
  <c r="V1209" i="11"/>
  <c r="W1209" i="11"/>
  <c r="X1209" i="11"/>
  <c r="Y1209" i="11"/>
  <c r="Z1209" i="11"/>
  <c r="AA1209" i="11"/>
  <c r="V1210" i="11"/>
  <c r="W1210" i="11"/>
  <c r="X1210" i="11"/>
  <c r="Y1210" i="11"/>
  <c r="Z1210" i="11"/>
  <c r="AA1210" i="11"/>
  <c r="V1211" i="11"/>
  <c r="W1211" i="11"/>
  <c r="X1211" i="11"/>
  <c r="Y1211" i="11"/>
  <c r="Z1211" i="11"/>
  <c r="AA1211" i="11"/>
  <c r="V1212" i="11"/>
  <c r="W1212" i="11"/>
  <c r="X1212" i="11"/>
  <c r="Y1212" i="11"/>
  <c r="Z1212" i="11"/>
  <c r="AA1212" i="11"/>
  <c r="V1188" i="11"/>
  <c r="W1188" i="11"/>
  <c r="X1188" i="11"/>
  <c r="Y1188" i="11"/>
  <c r="Z1188" i="11"/>
  <c r="AA1188" i="11"/>
  <c r="V1189" i="11"/>
  <c r="W1189" i="11"/>
  <c r="X1189" i="11"/>
  <c r="Y1189" i="11"/>
  <c r="Z1189" i="11"/>
  <c r="AA1189" i="11"/>
  <c r="W1190" i="11"/>
  <c r="X1190" i="11"/>
  <c r="Y1190" i="11"/>
  <c r="Z1190" i="11"/>
  <c r="AA1190" i="11"/>
  <c r="W1191" i="11"/>
  <c r="X1191" i="11"/>
  <c r="Y1191" i="11"/>
  <c r="Z1191" i="11"/>
  <c r="AA1191" i="11"/>
  <c r="V1192" i="11"/>
  <c r="W1192" i="11"/>
  <c r="X1192" i="11"/>
  <c r="Y1192" i="11"/>
  <c r="Z1192" i="11"/>
  <c r="AA1192" i="11"/>
  <c r="V1193" i="11"/>
  <c r="W1193" i="11"/>
  <c r="X1193" i="11"/>
  <c r="Y1193" i="11"/>
  <c r="Z1193" i="11"/>
  <c r="AA1193" i="11"/>
  <c r="V1194" i="11"/>
  <c r="W1194" i="11"/>
  <c r="X1194" i="11"/>
  <c r="Y1194" i="11"/>
  <c r="Z1194" i="11"/>
  <c r="AA1194" i="11"/>
  <c r="V1195" i="11"/>
  <c r="W1195" i="11"/>
  <c r="X1195" i="11"/>
  <c r="Y1195" i="11"/>
  <c r="Z1195" i="11"/>
  <c r="AA1195" i="11"/>
  <c r="V1196" i="11"/>
  <c r="W1196" i="11"/>
  <c r="X1196" i="11"/>
  <c r="Y1196" i="11"/>
  <c r="Z1196" i="11"/>
  <c r="AA1196" i="11"/>
  <c r="V1197" i="11"/>
  <c r="W1197" i="11"/>
  <c r="X1197" i="11"/>
  <c r="Y1197" i="11"/>
  <c r="Z1197" i="11"/>
  <c r="AA1197" i="11"/>
  <c r="W1182" i="11"/>
  <c r="X1182" i="11"/>
  <c r="Y1182" i="11"/>
  <c r="Z1182" i="11"/>
  <c r="AA1182" i="11"/>
  <c r="W1183" i="11"/>
  <c r="X1183" i="11"/>
  <c r="Y1183" i="11"/>
  <c r="Z1183" i="11"/>
  <c r="AA1183" i="11"/>
  <c r="W1184" i="11"/>
  <c r="X1184" i="11"/>
  <c r="Y1184" i="11"/>
  <c r="Z1184" i="11"/>
  <c r="AA1184" i="11"/>
  <c r="V1183" i="11"/>
  <c r="V1184" i="11"/>
  <c r="AA1181" i="11"/>
  <c r="Z1181" i="11"/>
  <c r="Y1181" i="11"/>
  <c r="X1181" i="11"/>
  <c r="W1181" i="11"/>
  <c r="V1181" i="11"/>
  <c r="V1182" i="11"/>
  <c r="AA1180" i="11"/>
  <c r="Z1180" i="11"/>
  <c r="Y1180" i="11"/>
  <c r="X1180" i="11"/>
  <c r="W1180" i="11"/>
  <c r="AA1179" i="11"/>
  <c r="Z1179" i="11"/>
  <c r="Y1179" i="11"/>
  <c r="X1179" i="11"/>
  <c r="W1179" i="11"/>
  <c r="AA1178" i="11"/>
  <c r="Z1178" i="11"/>
  <c r="Y1178" i="11"/>
  <c r="X1178" i="11"/>
  <c r="W1178" i="11"/>
  <c r="V1176" i="11"/>
  <c r="V1177" i="11"/>
  <c r="V1178" i="11"/>
  <c r="V1179" i="11"/>
  <c r="V1180" i="11"/>
  <c r="AA1177" i="11"/>
  <c r="Z1177" i="11"/>
  <c r="Y1177" i="11"/>
  <c r="X1177" i="11"/>
  <c r="W1177" i="11"/>
  <c r="AA1176" i="11"/>
  <c r="Z1176" i="11"/>
  <c r="Y1176" i="11"/>
  <c r="X1176" i="11"/>
  <c r="W1176" i="11"/>
  <c r="CH126" i="20" a="1"/>
  <c r="CH126" i="20" s="1"/>
  <c r="CH125" i="20" a="1"/>
  <c r="CH125" i="20" s="1"/>
  <c r="CG76" i="20"/>
  <c r="BY77" i="20"/>
  <c r="BZ77" i="20"/>
  <c r="BV77" i="20"/>
  <c r="BS77" i="20"/>
  <c r="BQ77" i="20"/>
  <c r="BP77" i="20"/>
  <c r="CG73" i="20"/>
  <c r="CC74" i="20"/>
  <c r="CB74" i="20"/>
  <c r="BV74" i="20"/>
  <c r="BS74" i="20"/>
  <c r="BP74" i="20"/>
  <c r="CC77" i="20"/>
  <c r="CB77" i="20"/>
  <c r="BW77" i="20"/>
  <c r="BT77" i="20"/>
  <c r="BZ74" i="20"/>
  <c r="BY74" i="20"/>
  <c r="BW74" i="20"/>
  <c r="BT74" i="20"/>
  <c r="BQ74" i="20"/>
  <c r="V1172" i="11"/>
  <c r="W1172" i="11"/>
  <c r="X1172" i="11"/>
  <c r="Y1172" i="11"/>
  <c r="Z1172" i="11"/>
  <c r="AA1172" i="11"/>
  <c r="V1173" i="11"/>
  <c r="W1173" i="11"/>
  <c r="X1173" i="11"/>
  <c r="Y1173" i="11"/>
  <c r="Z1173" i="11"/>
  <c r="AA1173" i="11"/>
  <c r="V1174" i="11"/>
  <c r="W1174" i="11"/>
  <c r="X1174" i="11"/>
  <c r="Y1174" i="11"/>
  <c r="Z1174" i="11"/>
  <c r="AA1174" i="11"/>
  <c r="V1175" i="11"/>
  <c r="W1175" i="11"/>
  <c r="X1175" i="11"/>
  <c r="Y1175" i="11"/>
  <c r="Z1175" i="11"/>
  <c r="AA1175" i="11"/>
  <c r="AA1168" i="11"/>
  <c r="Z1168" i="11"/>
  <c r="Y1168" i="11"/>
  <c r="X1168" i="11"/>
  <c r="W1168" i="11"/>
  <c r="V1168" i="11"/>
  <c r="AA1167" i="11"/>
  <c r="Z1167" i="11"/>
  <c r="Y1167" i="11"/>
  <c r="X1167" i="11"/>
  <c r="W1167" i="11"/>
  <c r="V1167" i="11"/>
  <c r="AA1166" i="11"/>
  <c r="Z1166" i="11"/>
  <c r="Y1166" i="11"/>
  <c r="X1166" i="11"/>
  <c r="W1166" i="11"/>
  <c r="V1166" i="11"/>
  <c r="AA1165" i="11"/>
  <c r="Z1165" i="11"/>
  <c r="Y1165" i="11"/>
  <c r="X1165" i="11"/>
  <c r="W1165" i="11"/>
  <c r="V1165" i="11"/>
  <c r="AA1164" i="11"/>
  <c r="Z1164" i="11"/>
  <c r="Y1164" i="11"/>
  <c r="X1164" i="11"/>
  <c r="W1164" i="11"/>
  <c r="V1164" i="11"/>
  <c r="AA1163" i="11"/>
  <c r="Z1163" i="11"/>
  <c r="Y1163" i="11"/>
  <c r="X1163" i="11"/>
  <c r="W1163" i="11"/>
  <c r="V1163" i="11"/>
  <c r="AA1162" i="11"/>
  <c r="Z1162" i="11"/>
  <c r="Y1162" i="11"/>
  <c r="X1162" i="11"/>
  <c r="W1162" i="11"/>
  <c r="V1162" i="11"/>
  <c r="AA1161" i="11"/>
  <c r="Z1161" i="11"/>
  <c r="Y1161" i="11"/>
  <c r="X1161" i="11"/>
  <c r="W1161" i="11"/>
  <c r="V1161" i="11"/>
  <c r="AA1160" i="11"/>
  <c r="Z1160" i="11"/>
  <c r="Y1160" i="11"/>
  <c r="X1160" i="11"/>
  <c r="W1160" i="11"/>
  <c r="V1160" i="11"/>
  <c r="AA1159" i="11"/>
  <c r="Z1159" i="11"/>
  <c r="Y1159" i="11"/>
  <c r="X1159" i="11"/>
  <c r="W1159" i="11"/>
  <c r="V1159" i="11"/>
  <c r="AA1158" i="11"/>
  <c r="Z1158" i="11"/>
  <c r="Y1158" i="11"/>
  <c r="X1158" i="11"/>
  <c r="W1158" i="11"/>
  <c r="V1158" i="11"/>
  <c r="AA1157" i="11"/>
  <c r="Z1157" i="11"/>
  <c r="Y1157" i="11"/>
  <c r="X1157" i="11"/>
  <c r="W1157" i="11"/>
  <c r="V1157" i="11"/>
  <c r="AA1156" i="11"/>
  <c r="Z1156" i="11"/>
  <c r="Y1156" i="11"/>
  <c r="X1156" i="11"/>
  <c r="W1156" i="11"/>
  <c r="V1156" i="11"/>
  <c r="AA1155" i="11"/>
  <c r="Z1155" i="11"/>
  <c r="Y1155" i="11"/>
  <c r="X1155" i="11"/>
  <c r="W1155" i="11"/>
  <c r="V1155" i="11"/>
  <c r="AA1154" i="11"/>
  <c r="Z1154" i="11"/>
  <c r="Y1154" i="11"/>
  <c r="X1154" i="11"/>
  <c r="W1154" i="11"/>
  <c r="V1154" i="11"/>
  <c r="AA1153" i="11"/>
  <c r="Z1153" i="11"/>
  <c r="Y1153" i="11"/>
  <c r="X1153" i="11"/>
  <c r="W1153" i="11"/>
  <c r="V1153" i="11"/>
  <c r="AA1152" i="11"/>
  <c r="Z1152" i="11"/>
  <c r="Y1152" i="11"/>
  <c r="X1152" i="11"/>
  <c r="W1152" i="11"/>
  <c r="V1152" i="11"/>
  <c r="CG70" i="20"/>
  <c r="BP71" i="20" s="1"/>
  <c r="BQ71" i="20"/>
  <c r="CB68" i="20"/>
  <c r="CC68" i="20"/>
  <c r="BS68" i="20"/>
  <c r="BP68" i="20"/>
  <c r="BQ68" i="20"/>
  <c r="BT68" i="20"/>
  <c r="BV68" i="20"/>
  <c r="BW68" i="20"/>
  <c r="BY68" i="20"/>
  <c r="BZ68" i="20"/>
  <c r="CH124" i="20" a="1"/>
  <c r="CH124" i="20" s="1"/>
  <c r="CH123" i="20" a="1"/>
  <c r="CH123" i="20" s="1"/>
  <c r="CH122" i="20" a="1"/>
  <c r="CH122" i="20" s="1"/>
  <c r="CH121" i="20" a="1"/>
  <c r="CH121" i="20" s="1"/>
  <c r="CH120" i="20" a="1"/>
  <c r="CH120" i="20" s="1"/>
  <c r="CG67" i="20"/>
  <c r="BP65" i="20"/>
  <c r="CB65" i="20"/>
  <c r="CC65" i="20"/>
  <c r="BZ65" i="20"/>
  <c r="BV65" i="20"/>
  <c r="BW65" i="20"/>
  <c r="BQ65" i="20"/>
  <c r="BS65" i="20"/>
  <c r="BT65" i="20"/>
  <c r="BY65" i="20"/>
  <c r="CG64" i="20"/>
  <c r="BP62" i="20"/>
  <c r="BQ62" i="20"/>
  <c r="BS62" i="20"/>
  <c r="BT62" i="20"/>
  <c r="BV62" i="20"/>
  <c r="BW62" i="20"/>
  <c r="BY62" i="20"/>
  <c r="BZ62" i="20"/>
  <c r="CB62" i="20"/>
  <c r="CC62" i="20"/>
  <c r="AA1148" i="11"/>
  <c r="Z1148" i="11"/>
  <c r="Y1148" i="11"/>
  <c r="X1148" i="11"/>
  <c r="W1148" i="11"/>
  <c r="V1148" i="11"/>
  <c r="AA1147" i="11"/>
  <c r="Z1147" i="11"/>
  <c r="Y1147" i="11"/>
  <c r="X1147" i="11"/>
  <c r="W1147" i="11"/>
  <c r="V1147" i="11"/>
  <c r="AA1146" i="11"/>
  <c r="Z1146" i="11"/>
  <c r="Y1146" i="11"/>
  <c r="X1146" i="11"/>
  <c r="W1146" i="11"/>
  <c r="V1146" i="11"/>
  <c r="AA1145" i="11"/>
  <c r="Z1145" i="11"/>
  <c r="Y1145" i="11"/>
  <c r="X1145" i="11"/>
  <c r="W1145" i="11"/>
  <c r="V1145" i="11"/>
  <c r="AA1144" i="11"/>
  <c r="Z1144" i="11"/>
  <c r="Y1144" i="11"/>
  <c r="X1144" i="11"/>
  <c r="W1144" i="11"/>
  <c r="V1144" i="11"/>
  <c r="AA1143" i="11"/>
  <c r="Z1143" i="11"/>
  <c r="Y1143" i="11"/>
  <c r="X1143" i="11"/>
  <c r="W1143" i="11"/>
  <c r="V1143" i="11"/>
  <c r="AA1142" i="11"/>
  <c r="Z1142" i="11"/>
  <c r="Y1142" i="11"/>
  <c r="X1142" i="11"/>
  <c r="W1142" i="11"/>
  <c r="V1142" i="11"/>
  <c r="AA1141" i="11"/>
  <c r="Z1141" i="11"/>
  <c r="Y1141" i="11"/>
  <c r="X1141" i="11"/>
  <c r="W1141" i="11"/>
  <c r="V1141" i="11"/>
  <c r="AA1140" i="11"/>
  <c r="Z1140" i="11"/>
  <c r="Y1140" i="11"/>
  <c r="X1140" i="11"/>
  <c r="W1140" i="11"/>
  <c r="V1140" i="11"/>
  <c r="AA1139" i="11"/>
  <c r="Z1139" i="11"/>
  <c r="Y1139" i="11"/>
  <c r="X1139" i="11"/>
  <c r="W1139" i="11"/>
  <c r="V1139" i="11"/>
  <c r="AA1138" i="11"/>
  <c r="Z1138" i="11"/>
  <c r="Y1138" i="11"/>
  <c r="X1138" i="11"/>
  <c r="W1138" i="11"/>
  <c r="V1138" i="11"/>
  <c r="AA1137" i="11"/>
  <c r="Z1137" i="11"/>
  <c r="Y1137" i="11"/>
  <c r="X1137" i="11"/>
  <c r="W1137" i="11"/>
  <c r="V1137" i="11"/>
  <c r="AA1136" i="11"/>
  <c r="Z1136" i="11"/>
  <c r="Y1136" i="11"/>
  <c r="X1136" i="11"/>
  <c r="W1136" i="11"/>
  <c r="V1136" i="11"/>
  <c r="AA1135" i="11"/>
  <c r="Z1135" i="11"/>
  <c r="Y1135" i="11"/>
  <c r="X1135" i="11"/>
  <c r="W1135" i="11"/>
  <c r="V1135" i="11"/>
  <c r="AA1131" i="11"/>
  <c r="Z1131" i="11"/>
  <c r="Y1131" i="11"/>
  <c r="X1131" i="11"/>
  <c r="W1131" i="11"/>
  <c r="V1131" i="11"/>
  <c r="AA1130" i="11"/>
  <c r="Z1130" i="11"/>
  <c r="Y1130" i="11"/>
  <c r="X1130" i="11"/>
  <c r="W1130" i="11"/>
  <c r="V1130" i="11"/>
  <c r="AA1129" i="11"/>
  <c r="Z1129" i="11"/>
  <c r="Y1129" i="11"/>
  <c r="X1129" i="11"/>
  <c r="W1129" i="11"/>
  <c r="V1129" i="11"/>
  <c r="AA1128" i="11"/>
  <c r="Z1128" i="11"/>
  <c r="Y1128" i="11"/>
  <c r="X1128" i="11"/>
  <c r="W1128" i="11"/>
  <c r="V1128" i="11"/>
  <c r="AA1127" i="11"/>
  <c r="Z1127" i="11"/>
  <c r="Y1127" i="11"/>
  <c r="X1127" i="11"/>
  <c r="W1127" i="11"/>
  <c r="V1127" i="11"/>
  <c r="AA1126" i="11"/>
  <c r="Z1126" i="11"/>
  <c r="Y1126" i="11"/>
  <c r="X1126" i="11"/>
  <c r="W1126" i="11"/>
  <c r="V1126" i="11"/>
  <c r="AA1125" i="11"/>
  <c r="Z1125" i="11"/>
  <c r="Y1125" i="11"/>
  <c r="X1125" i="11"/>
  <c r="W1125" i="11"/>
  <c r="V1125" i="11"/>
  <c r="AA1124" i="11"/>
  <c r="Z1124" i="11"/>
  <c r="Y1124" i="11"/>
  <c r="X1124" i="11"/>
  <c r="W1124" i="11"/>
  <c r="V1124" i="11"/>
  <c r="AA1123" i="11"/>
  <c r="Z1123" i="11"/>
  <c r="Y1123" i="11"/>
  <c r="X1123" i="11"/>
  <c r="W1123" i="11"/>
  <c r="V1123" i="11"/>
  <c r="AA1122" i="11"/>
  <c r="Z1122" i="11"/>
  <c r="Y1122" i="11"/>
  <c r="X1122" i="11"/>
  <c r="W1122" i="11"/>
  <c r="V1122" i="11"/>
  <c r="AA1121" i="11"/>
  <c r="Z1121" i="11"/>
  <c r="Y1121" i="11"/>
  <c r="X1121" i="11"/>
  <c r="W1121" i="11"/>
  <c r="V1121" i="11"/>
  <c r="AA1117" i="11"/>
  <c r="Z1117" i="11"/>
  <c r="Y1117" i="11"/>
  <c r="X1117" i="11"/>
  <c r="W1117" i="11"/>
  <c r="V1117" i="11"/>
  <c r="AA1116" i="11"/>
  <c r="Z1116" i="11"/>
  <c r="Y1116" i="11"/>
  <c r="X1116" i="11"/>
  <c r="W1116" i="11"/>
  <c r="V1116" i="11"/>
  <c r="AA1115" i="11"/>
  <c r="Z1115" i="11"/>
  <c r="Y1115" i="11"/>
  <c r="X1115" i="11"/>
  <c r="W1115" i="11"/>
  <c r="V1115" i="11"/>
  <c r="AA1114" i="11"/>
  <c r="Z1114" i="11"/>
  <c r="Y1114" i="11"/>
  <c r="X1114" i="11"/>
  <c r="W1114" i="11"/>
  <c r="V1114" i="11"/>
  <c r="AA1113" i="11"/>
  <c r="Z1113" i="11"/>
  <c r="Y1113" i="11"/>
  <c r="X1113" i="11"/>
  <c r="W1113" i="11"/>
  <c r="V1113" i="11"/>
  <c r="AA1112" i="11"/>
  <c r="Z1112" i="11"/>
  <c r="Y1112" i="11"/>
  <c r="X1112" i="11"/>
  <c r="W1112" i="11"/>
  <c r="V1112" i="11"/>
  <c r="AA1111" i="11"/>
  <c r="Z1111" i="11"/>
  <c r="Y1111" i="11"/>
  <c r="X1111" i="11"/>
  <c r="W1111" i="11"/>
  <c r="V1111" i="11"/>
  <c r="AA1110" i="11"/>
  <c r="Z1110" i="11"/>
  <c r="Y1110" i="11"/>
  <c r="X1110" i="11"/>
  <c r="W1110" i="11"/>
  <c r="V1110" i="11"/>
  <c r="AA1109" i="11"/>
  <c r="Z1109" i="11"/>
  <c r="Y1109" i="11"/>
  <c r="X1109" i="11"/>
  <c r="W1109" i="11"/>
  <c r="V1109" i="11"/>
  <c r="AA1108" i="11"/>
  <c r="Z1108" i="11"/>
  <c r="Y1108" i="11"/>
  <c r="X1108" i="11"/>
  <c r="W1108" i="11"/>
  <c r="V1108" i="11"/>
  <c r="AA1107" i="11"/>
  <c r="Z1107" i="11"/>
  <c r="Y1107" i="11"/>
  <c r="X1107" i="11"/>
  <c r="W1107" i="11"/>
  <c r="V1107" i="11"/>
  <c r="V1099" i="11"/>
  <c r="W1099" i="11"/>
  <c r="X1099" i="11"/>
  <c r="Y1099" i="11"/>
  <c r="Z1099" i="11"/>
  <c r="AA1099" i="11"/>
  <c r="V1100" i="11"/>
  <c r="W1100" i="11"/>
  <c r="X1100" i="11"/>
  <c r="Y1100" i="11"/>
  <c r="Z1100" i="11"/>
  <c r="AA1100" i="11"/>
  <c r="V1101" i="11"/>
  <c r="W1101" i="11"/>
  <c r="X1101" i="11"/>
  <c r="Y1101" i="11"/>
  <c r="Z1101" i="11"/>
  <c r="AA1101" i="11"/>
  <c r="V1102" i="11"/>
  <c r="W1102" i="11"/>
  <c r="X1102" i="11"/>
  <c r="Y1102" i="11"/>
  <c r="Z1102" i="11"/>
  <c r="AA1102" i="11"/>
  <c r="V1103" i="11"/>
  <c r="W1103" i="11"/>
  <c r="X1103" i="11"/>
  <c r="Y1103" i="11"/>
  <c r="Z1103" i="11"/>
  <c r="AA1103" i="11"/>
  <c r="V1094" i="11"/>
  <c r="W1094" i="11"/>
  <c r="X1094" i="11"/>
  <c r="Y1094" i="11"/>
  <c r="Z1094" i="11"/>
  <c r="AA1094" i="11"/>
  <c r="V1095" i="11"/>
  <c r="W1095" i="11"/>
  <c r="X1095" i="11"/>
  <c r="Y1095" i="11"/>
  <c r="Z1095" i="11"/>
  <c r="AA1095" i="11"/>
  <c r="CJ57" i="20"/>
  <c r="E28" i="17"/>
  <c r="E29" i="17"/>
  <c r="E30" i="17"/>
  <c r="E31" i="17"/>
  <c r="E32" i="17"/>
  <c r="E33" i="17"/>
  <c r="E34" i="17"/>
  <c r="E35" i="17"/>
  <c r="W1316" i="11" l="1"/>
  <c r="AA1316" i="11"/>
  <c r="Z1316" i="11"/>
  <c r="X1316" i="11"/>
  <c r="Y1316" i="11"/>
  <c r="W1295" i="11"/>
  <c r="Y1295" i="11"/>
  <c r="AA1295" i="11"/>
  <c r="X1295" i="11"/>
  <c r="Z1295" i="11"/>
  <c r="Y1254" i="11"/>
  <c r="X1235" i="11"/>
  <c r="W1254" i="11"/>
  <c r="AA1254" i="11"/>
  <c r="Z1235" i="11"/>
  <c r="Y1235" i="11"/>
  <c r="Z1254" i="11"/>
  <c r="X1198" i="11"/>
  <c r="AA1235" i="11"/>
  <c r="W1235" i="11"/>
  <c r="X1254" i="11"/>
  <c r="Y1274" i="11"/>
  <c r="X1274" i="11"/>
  <c r="AA1274" i="11"/>
  <c r="W1274" i="11"/>
  <c r="Z1274" i="11"/>
  <c r="Z1198" i="11"/>
  <c r="Y1198" i="11"/>
  <c r="Z1185" i="11"/>
  <c r="Y1185" i="11"/>
  <c r="W1185" i="11"/>
  <c r="AA1198" i="11"/>
  <c r="W1198" i="11"/>
  <c r="X1185" i="11"/>
  <c r="AA1185" i="11"/>
  <c r="Y1213" i="11"/>
  <c r="AA1213" i="11"/>
  <c r="W1213" i="11"/>
  <c r="X1213" i="11"/>
  <c r="Z1213" i="11"/>
  <c r="AA1169" i="11"/>
  <c r="W1169" i="11"/>
  <c r="X1169" i="11"/>
  <c r="Z1169" i="11"/>
  <c r="Y1169" i="11"/>
  <c r="Y1149" i="11"/>
  <c r="X1149" i="11"/>
  <c r="Z1149" i="11"/>
  <c r="W1149" i="11"/>
  <c r="AA1149" i="11"/>
  <c r="AA1132" i="11"/>
  <c r="W1132" i="11"/>
  <c r="Z1132" i="11"/>
  <c r="Y1132" i="11"/>
  <c r="X1132" i="11"/>
  <c r="AA1118" i="11"/>
  <c r="Z1118" i="11"/>
  <c r="Y1118" i="11"/>
  <c r="X1118" i="11"/>
  <c r="W1118" i="11"/>
  <c r="X1104" i="11"/>
  <c r="W1104" i="11"/>
  <c r="Y1104" i="11"/>
  <c r="AA1104" i="11"/>
  <c r="Z1104" i="11"/>
  <c r="V1077" i="11"/>
  <c r="W1077" i="11"/>
  <c r="X1077" i="11"/>
  <c r="Y1077" i="11"/>
  <c r="Z1077" i="11"/>
  <c r="AA1077" i="11"/>
  <c r="V1078" i="11"/>
  <c r="W1078" i="11"/>
  <c r="X1078" i="11"/>
  <c r="Y1078" i="11"/>
  <c r="Z1078" i="11"/>
  <c r="AA1078" i="11"/>
  <c r="V1079" i="11"/>
  <c r="W1079" i="11"/>
  <c r="X1079" i="11"/>
  <c r="Y1079" i="11"/>
  <c r="Z1079" i="11"/>
  <c r="AA1079" i="11"/>
  <c r="V1080" i="11"/>
  <c r="W1080" i="11"/>
  <c r="X1080" i="11"/>
  <c r="Y1080" i="11"/>
  <c r="Z1080" i="11"/>
  <c r="AA1080" i="11"/>
  <c r="V1081" i="11"/>
  <c r="W1081" i="11"/>
  <c r="X1081" i="11"/>
  <c r="Y1081" i="11"/>
  <c r="Z1081" i="11"/>
  <c r="AA1081" i="11"/>
  <c r="V1082" i="11"/>
  <c r="W1082" i="11"/>
  <c r="X1082" i="11"/>
  <c r="Y1082" i="11"/>
  <c r="Z1082" i="11"/>
  <c r="AA1082" i="11"/>
  <c r="V1083" i="11"/>
  <c r="W1083" i="11"/>
  <c r="X1083" i="11"/>
  <c r="Y1083" i="11"/>
  <c r="Z1083" i="11"/>
  <c r="AA1083" i="11"/>
  <c r="V1084" i="11"/>
  <c r="W1084" i="11"/>
  <c r="X1084" i="11"/>
  <c r="Y1084" i="11"/>
  <c r="Z1084" i="11"/>
  <c r="AA1084" i="11"/>
  <c r="V1085" i="11"/>
  <c r="W1085" i="11"/>
  <c r="X1085" i="11"/>
  <c r="Y1085" i="11"/>
  <c r="Z1085" i="11"/>
  <c r="AA1085" i="11"/>
  <c r="V1086" i="11"/>
  <c r="W1086" i="11"/>
  <c r="X1086" i="11"/>
  <c r="Y1086" i="11"/>
  <c r="Z1086" i="11"/>
  <c r="AA1086" i="11"/>
  <c r="V1087" i="11"/>
  <c r="W1087" i="11"/>
  <c r="X1087" i="11"/>
  <c r="Y1087" i="11"/>
  <c r="Z1087" i="11"/>
  <c r="AA1087" i="11"/>
  <c r="V1088" i="11"/>
  <c r="W1088" i="11"/>
  <c r="X1088" i="11"/>
  <c r="Y1088" i="11"/>
  <c r="Z1088" i="11"/>
  <c r="AA1088" i="11"/>
  <c r="V1089" i="11"/>
  <c r="W1089" i="11"/>
  <c r="X1089" i="11"/>
  <c r="Y1089" i="11"/>
  <c r="Z1089" i="11"/>
  <c r="AA1089" i="11"/>
  <c r="V1090" i="11"/>
  <c r="W1090" i="11"/>
  <c r="X1090" i="11"/>
  <c r="Y1090" i="11"/>
  <c r="Z1090" i="11"/>
  <c r="AA1090" i="11"/>
  <c r="V1091" i="11"/>
  <c r="W1091" i="11"/>
  <c r="X1091" i="11"/>
  <c r="Y1091" i="11"/>
  <c r="Z1091" i="11"/>
  <c r="AA1091" i="11"/>
  <c r="V1092" i="11"/>
  <c r="W1092" i="11"/>
  <c r="X1092" i="11"/>
  <c r="Y1092" i="11"/>
  <c r="Z1092" i="11"/>
  <c r="AA1092" i="11"/>
  <c r="V1093" i="11"/>
  <c r="W1093" i="11"/>
  <c r="X1093" i="11"/>
  <c r="Y1093" i="11"/>
  <c r="Z1093" i="11"/>
  <c r="AA1093" i="11"/>
  <c r="BV56" i="20"/>
  <c r="BT56" i="20"/>
  <c r="BS56" i="20"/>
  <c r="BQ56" i="20"/>
  <c r="BP56" i="20"/>
  <c r="CC56" i="20"/>
  <c r="CB56" i="20"/>
  <c r="BZ56" i="20"/>
  <c r="BY56" i="20"/>
  <c r="BW56" i="20"/>
  <c r="CH118" i="20" a="1"/>
  <c r="CH118" i="20" s="1"/>
  <c r="CH119" i="20" a="1"/>
  <c r="CH119" i="20" s="1"/>
  <c r="CG55" i="20"/>
  <c r="V1058" i="11"/>
  <c r="W1058" i="11"/>
  <c r="X1058" i="11"/>
  <c r="Y1058" i="11"/>
  <c r="Z1058" i="11"/>
  <c r="AA1058" i="11"/>
  <c r="V1059" i="11"/>
  <c r="W1059" i="11"/>
  <c r="X1059" i="11"/>
  <c r="Y1059" i="11"/>
  <c r="Z1059" i="11"/>
  <c r="AA1059" i="11"/>
  <c r="V1060" i="11"/>
  <c r="W1060" i="11"/>
  <c r="X1060" i="11"/>
  <c r="Y1060" i="11"/>
  <c r="Z1060" i="11"/>
  <c r="AA1060" i="11"/>
  <c r="V1061" i="11"/>
  <c r="W1061" i="11"/>
  <c r="X1061" i="11"/>
  <c r="Y1061" i="11"/>
  <c r="Z1061" i="11"/>
  <c r="AA1061" i="11"/>
  <c r="V1062" i="11"/>
  <c r="W1062" i="11"/>
  <c r="X1062" i="11"/>
  <c r="Y1062" i="11"/>
  <c r="Z1062" i="11"/>
  <c r="AA1062" i="11"/>
  <c r="V1063" i="11"/>
  <c r="W1063" i="11"/>
  <c r="X1063" i="11"/>
  <c r="Y1063" i="11"/>
  <c r="Z1063" i="11"/>
  <c r="AA1063" i="11"/>
  <c r="V1064" i="11"/>
  <c r="W1064" i="11"/>
  <c r="X1064" i="11"/>
  <c r="Y1064" i="11"/>
  <c r="Z1064" i="11"/>
  <c r="AA1064" i="11"/>
  <c r="V1065" i="11"/>
  <c r="W1065" i="11"/>
  <c r="X1065" i="11"/>
  <c r="Y1065" i="11"/>
  <c r="Z1065" i="11"/>
  <c r="AA1065" i="11"/>
  <c r="V1066" i="11"/>
  <c r="W1066" i="11"/>
  <c r="X1066" i="11"/>
  <c r="Y1066" i="11"/>
  <c r="Z1066" i="11"/>
  <c r="AA1066" i="11"/>
  <c r="V1067" i="11"/>
  <c r="W1067" i="11"/>
  <c r="X1067" i="11"/>
  <c r="Y1067" i="11"/>
  <c r="Z1067" i="11"/>
  <c r="AA1067" i="11"/>
  <c r="V1068" i="11"/>
  <c r="W1068" i="11"/>
  <c r="X1068" i="11"/>
  <c r="Y1068" i="11"/>
  <c r="Z1068" i="11"/>
  <c r="AA1068" i="11"/>
  <c r="V1069" i="11"/>
  <c r="W1069" i="11"/>
  <c r="X1069" i="11"/>
  <c r="Y1069" i="11"/>
  <c r="Z1069" i="11"/>
  <c r="AA1069" i="11"/>
  <c r="V1070" i="11"/>
  <c r="W1070" i="11"/>
  <c r="X1070" i="11"/>
  <c r="Y1070" i="11"/>
  <c r="Z1070" i="11"/>
  <c r="AA1070" i="11"/>
  <c r="V1071" i="11"/>
  <c r="W1071" i="11"/>
  <c r="X1071" i="11"/>
  <c r="Y1071" i="11"/>
  <c r="Z1071" i="11"/>
  <c r="AA1071" i="11"/>
  <c r="V1072" i="11"/>
  <c r="W1072" i="11"/>
  <c r="X1072" i="11"/>
  <c r="Y1072" i="11"/>
  <c r="Z1072" i="11"/>
  <c r="AA1072" i="11"/>
  <c r="V1073" i="11"/>
  <c r="W1073" i="11"/>
  <c r="X1073" i="11"/>
  <c r="Y1073" i="11"/>
  <c r="Z1073" i="11"/>
  <c r="AA1073" i="11"/>
  <c r="V1052" i="11"/>
  <c r="W1052" i="11"/>
  <c r="X1052" i="11"/>
  <c r="Y1052" i="11"/>
  <c r="Z1052" i="11"/>
  <c r="AA1052" i="11"/>
  <c r="CB53" i="20"/>
  <c r="BW53" i="20"/>
  <c r="BV53" i="20"/>
  <c r="BT53" i="20"/>
  <c r="BS53" i="20"/>
  <c r="BQ53" i="20"/>
  <c r="BP53" i="20"/>
  <c r="CG52" i="20"/>
  <c r="CC53" i="20"/>
  <c r="BZ53" i="20"/>
  <c r="BY53" i="20"/>
  <c r="AA1054" i="11"/>
  <c r="Z1054" i="11"/>
  <c r="Y1054" i="11"/>
  <c r="X1054" i="11"/>
  <c r="W1054" i="11"/>
  <c r="V1054" i="11"/>
  <c r="AA1053" i="11"/>
  <c r="Z1053" i="11"/>
  <c r="Y1053" i="11"/>
  <c r="X1053" i="11"/>
  <c r="W1053" i="11"/>
  <c r="V1053" i="11"/>
  <c r="AA1051" i="11"/>
  <c r="Z1051" i="11"/>
  <c r="Y1051" i="11"/>
  <c r="X1051" i="11"/>
  <c r="W1051" i="11"/>
  <c r="V1051" i="11"/>
  <c r="AA1050" i="11"/>
  <c r="Z1050" i="11"/>
  <c r="Y1050" i="11"/>
  <c r="X1050" i="11"/>
  <c r="W1050" i="11"/>
  <c r="V1050" i="11"/>
  <c r="AA1049" i="11"/>
  <c r="Z1049" i="11"/>
  <c r="Y1049" i="11"/>
  <c r="X1049" i="11"/>
  <c r="W1049" i="11"/>
  <c r="V1049" i="11"/>
  <c r="AA1048" i="11"/>
  <c r="Z1048" i="11"/>
  <c r="Y1048" i="11"/>
  <c r="X1048" i="11"/>
  <c r="W1048" i="11"/>
  <c r="V1048" i="11"/>
  <c r="AA1047" i="11"/>
  <c r="Z1047" i="11"/>
  <c r="Y1047" i="11"/>
  <c r="X1047" i="11"/>
  <c r="W1047" i="11"/>
  <c r="V1047" i="11"/>
  <c r="AA1046" i="11"/>
  <c r="Z1046" i="11"/>
  <c r="Y1046" i="11"/>
  <c r="X1046" i="11"/>
  <c r="W1046" i="11"/>
  <c r="V1046" i="11"/>
  <c r="AA1045" i="11"/>
  <c r="Z1045" i="11"/>
  <c r="Y1045" i="11"/>
  <c r="X1045" i="11"/>
  <c r="W1045" i="11"/>
  <c r="V1045" i="11"/>
  <c r="AA1044" i="11"/>
  <c r="Z1044" i="11"/>
  <c r="Y1044" i="11"/>
  <c r="X1044" i="11"/>
  <c r="W1044" i="11"/>
  <c r="V1044" i="11"/>
  <c r="AA1043" i="11"/>
  <c r="Z1043" i="11"/>
  <c r="Y1043" i="11"/>
  <c r="X1043" i="11"/>
  <c r="W1043" i="11"/>
  <c r="V1043" i="11"/>
  <c r="AA1042" i="11"/>
  <c r="Z1042" i="11"/>
  <c r="Y1042" i="11"/>
  <c r="X1042" i="11"/>
  <c r="W1042" i="11"/>
  <c r="V1042" i="11"/>
  <c r="AA1041" i="11"/>
  <c r="Z1041" i="11"/>
  <c r="Y1041" i="11"/>
  <c r="X1041" i="11"/>
  <c r="W1041" i="11"/>
  <c r="V1041" i="11"/>
  <c r="AA1040" i="11"/>
  <c r="Z1040" i="11"/>
  <c r="Y1040" i="11"/>
  <c r="X1040" i="11"/>
  <c r="W1040" i="11"/>
  <c r="V1040" i="11"/>
  <c r="V1028" i="11"/>
  <c r="V1029" i="11"/>
  <c r="V1030" i="11"/>
  <c r="V1031" i="11"/>
  <c r="V1032" i="11"/>
  <c r="V1033" i="11"/>
  <c r="V1034" i="11"/>
  <c r="V1035" i="11"/>
  <c r="V1036" i="11"/>
  <c r="V1027" i="11"/>
  <c r="V1026" i="11"/>
  <c r="V1025" i="11"/>
  <c r="V1024" i="11"/>
  <c r="V1023" i="11"/>
  <c r="V1022" i="11"/>
  <c r="V1021" i="11"/>
  <c r="CG46" i="20"/>
  <c r="BZ50" i="20"/>
  <c r="BT50" i="20"/>
  <c r="BS50" i="20"/>
  <c r="BP50" i="20"/>
  <c r="CG49" i="20"/>
  <c r="CH117" i="20" a="1"/>
  <c r="CH117" i="20" s="1"/>
  <c r="CH116" i="20" a="1"/>
  <c r="CH116" i="20" s="1"/>
  <c r="CH115" i="20" a="1"/>
  <c r="CH115" i="20" s="1"/>
  <c r="CJ42" i="20"/>
  <c r="BQ50" i="20"/>
  <c r="CH49" i="20" s="1"/>
  <c r="BV50" i="20"/>
  <c r="BW50" i="20"/>
  <c r="BY50" i="20"/>
  <c r="CB50" i="20"/>
  <c r="CC50" i="20"/>
  <c r="BQ47" i="20"/>
  <c r="CH46" i="20" s="1"/>
  <c r="AA1036" i="11"/>
  <c r="Z1036" i="11"/>
  <c r="Y1036" i="11"/>
  <c r="X1036" i="11"/>
  <c r="W1036" i="11"/>
  <c r="AA1035" i="11"/>
  <c r="Z1035" i="11"/>
  <c r="Y1035" i="11"/>
  <c r="X1035" i="11"/>
  <c r="W1035" i="11"/>
  <c r="AA1034" i="11"/>
  <c r="Z1034" i="11"/>
  <c r="Y1034" i="11"/>
  <c r="X1034" i="11"/>
  <c r="W1034" i="11"/>
  <c r="AA1033" i="11"/>
  <c r="Z1033" i="11"/>
  <c r="Y1033" i="11"/>
  <c r="X1033" i="11"/>
  <c r="W1033" i="11"/>
  <c r="AA1032" i="11"/>
  <c r="Z1032" i="11"/>
  <c r="Y1032" i="11"/>
  <c r="X1032" i="11"/>
  <c r="W1032" i="11"/>
  <c r="AA1031" i="11"/>
  <c r="Z1031" i="11"/>
  <c r="Y1031" i="11"/>
  <c r="X1031" i="11"/>
  <c r="W1031" i="11"/>
  <c r="AA1030" i="11"/>
  <c r="Z1030" i="11"/>
  <c r="Y1030" i="11"/>
  <c r="X1030" i="11"/>
  <c r="W1030" i="11"/>
  <c r="AA1029" i="11"/>
  <c r="Z1029" i="11"/>
  <c r="Y1029" i="11"/>
  <c r="X1029" i="11"/>
  <c r="W1029" i="11"/>
  <c r="AA1028" i="11"/>
  <c r="Z1028" i="11"/>
  <c r="Y1028" i="11"/>
  <c r="X1028" i="11"/>
  <c r="W1028" i="11"/>
  <c r="AA1027" i="11"/>
  <c r="Z1027" i="11"/>
  <c r="Y1027" i="11"/>
  <c r="X1027" i="11"/>
  <c r="W1027" i="11"/>
  <c r="AA1026" i="11"/>
  <c r="Z1026" i="11"/>
  <c r="Y1026" i="11"/>
  <c r="X1026" i="11"/>
  <c r="W1026" i="11"/>
  <c r="AA1025" i="11"/>
  <c r="Z1025" i="11"/>
  <c r="Y1025" i="11"/>
  <c r="X1025" i="11"/>
  <c r="W1025" i="11"/>
  <c r="AA1024" i="11"/>
  <c r="Z1024" i="11"/>
  <c r="Y1024" i="11"/>
  <c r="X1024" i="11"/>
  <c r="W1024" i="11"/>
  <c r="AA1023" i="11"/>
  <c r="Z1023" i="11"/>
  <c r="Y1023" i="11"/>
  <c r="X1023" i="11"/>
  <c r="W1023" i="11"/>
  <c r="AA1022" i="11"/>
  <c r="Z1022" i="11"/>
  <c r="Y1022" i="11"/>
  <c r="X1022" i="11"/>
  <c r="W1022" i="11"/>
  <c r="AA1021" i="11"/>
  <c r="Z1021" i="11"/>
  <c r="Y1021" i="11"/>
  <c r="X1021" i="11"/>
  <c r="W1021" i="11"/>
  <c r="AA1017" i="11"/>
  <c r="Z1017" i="11"/>
  <c r="Y1017" i="11"/>
  <c r="X1017" i="11"/>
  <c r="W1017" i="11"/>
  <c r="V1017" i="11"/>
  <c r="AA1016" i="11"/>
  <c r="Z1016" i="11"/>
  <c r="Y1016" i="11"/>
  <c r="X1016" i="11"/>
  <c r="W1016" i="11"/>
  <c r="V1016" i="11"/>
  <c r="AA1015" i="11"/>
  <c r="Z1015" i="11"/>
  <c r="Y1015" i="11"/>
  <c r="X1015" i="11"/>
  <c r="W1015" i="11"/>
  <c r="V1015" i="11"/>
  <c r="AA1014" i="11"/>
  <c r="Z1014" i="11"/>
  <c r="Y1014" i="11"/>
  <c r="X1014" i="11"/>
  <c r="W1014" i="11"/>
  <c r="V1014" i="11"/>
  <c r="AA1013" i="11"/>
  <c r="Z1013" i="11"/>
  <c r="Y1013" i="11"/>
  <c r="X1013" i="11"/>
  <c r="W1013" i="11"/>
  <c r="V1013" i="11"/>
  <c r="AA1012" i="11"/>
  <c r="Z1012" i="11"/>
  <c r="Y1012" i="11"/>
  <c r="X1012" i="11"/>
  <c r="W1012" i="11"/>
  <c r="V1012" i="11"/>
  <c r="AA1011" i="11"/>
  <c r="Z1011" i="11"/>
  <c r="Y1011" i="11"/>
  <c r="X1011" i="11"/>
  <c r="W1011" i="11"/>
  <c r="V1011" i="11"/>
  <c r="AA1010" i="11"/>
  <c r="Z1010" i="11"/>
  <c r="Y1010" i="11"/>
  <c r="X1010" i="11"/>
  <c r="W1010" i="11"/>
  <c r="V1010" i="11"/>
  <c r="AA1009" i="11"/>
  <c r="Z1009" i="11"/>
  <c r="Y1009" i="11"/>
  <c r="X1009" i="11"/>
  <c r="W1009" i="11"/>
  <c r="V1009" i="11"/>
  <c r="AA1008" i="11"/>
  <c r="Z1008" i="11"/>
  <c r="Y1008" i="11"/>
  <c r="X1008" i="11"/>
  <c r="W1008" i="11"/>
  <c r="V1008" i="11"/>
  <c r="AA1004" i="11"/>
  <c r="Z1004" i="11"/>
  <c r="Y1004" i="11"/>
  <c r="X1004" i="11"/>
  <c r="W1004" i="11"/>
  <c r="V1004" i="11"/>
  <c r="AA1003" i="11"/>
  <c r="Z1003" i="11"/>
  <c r="Y1003" i="11"/>
  <c r="X1003" i="11"/>
  <c r="W1003" i="11"/>
  <c r="V1003" i="11"/>
  <c r="AA1002" i="11"/>
  <c r="Z1002" i="11"/>
  <c r="Y1002" i="11"/>
  <c r="X1002" i="11"/>
  <c r="W1002" i="11"/>
  <c r="V1002" i="11"/>
  <c r="AA1001" i="11"/>
  <c r="Z1001" i="11"/>
  <c r="Y1001" i="11"/>
  <c r="X1001" i="11"/>
  <c r="W1001" i="11"/>
  <c r="V1001" i="11"/>
  <c r="AA1000" i="11"/>
  <c r="Z1000" i="11"/>
  <c r="Y1000" i="11"/>
  <c r="X1000" i="11"/>
  <c r="W1000" i="11"/>
  <c r="V1000" i="11"/>
  <c r="AA999" i="11"/>
  <c r="Z999" i="11"/>
  <c r="Y999" i="11"/>
  <c r="X999" i="11"/>
  <c r="W999" i="11"/>
  <c r="V999" i="11"/>
  <c r="AA998" i="11"/>
  <c r="Z998" i="11"/>
  <c r="Y998" i="11"/>
  <c r="X998" i="11"/>
  <c r="W998" i="11"/>
  <c r="V998" i="11"/>
  <c r="AA997" i="11"/>
  <c r="Z997" i="11"/>
  <c r="Y997" i="11"/>
  <c r="X997" i="11"/>
  <c r="W997" i="11"/>
  <c r="V997" i="11"/>
  <c r="AA996" i="11"/>
  <c r="Z996" i="11"/>
  <c r="Y996" i="11"/>
  <c r="X996" i="11"/>
  <c r="W996" i="11"/>
  <c r="V996" i="11"/>
  <c r="CH114" i="20" a="1"/>
  <c r="CH114" i="20" s="1"/>
  <c r="CC23" i="20"/>
  <c r="CH22" i="20" s="1"/>
  <c r="CC41" i="20"/>
  <c r="BV41" i="20"/>
  <c r="BW41" i="20"/>
  <c r="BP41" i="20"/>
  <c r="CH40" i="20" s="1"/>
  <c r="BY41" i="20"/>
  <c r="BZ41" i="20"/>
  <c r="CB41" i="20"/>
  <c r="CG40" i="20"/>
  <c r="CG37" i="20"/>
  <c r="CB38" i="20"/>
  <c r="CH37" i="20" s="1"/>
  <c r="CC38" i="20"/>
  <c r="BQ41" i="20"/>
  <c r="BS41" i="20"/>
  <c r="BT41" i="20"/>
  <c r="U972" i="11"/>
  <c r="AA992" i="11"/>
  <c r="Z992" i="11"/>
  <c r="Y992" i="11"/>
  <c r="X992" i="11"/>
  <c r="W992" i="11"/>
  <c r="V992" i="11"/>
  <c r="AA991" i="11"/>
  <c r="Z991" i="11"/>
  <c r="Y991" i="11"/>
  <c r="X991" i="11"/>
  <c r="W991" i="11"/>
  <c r="V991" i="11"/>
  <c r="AA990" i="11"/>
  <c r="Z990" i="11"/>
  <c r="Y990" i="11"/>
  <c r="X990" i="11"/>
  <c r="W990" i="11"/>
  <c r="V990" i="11"/>
  <c r="AA989" i="11"/>
  <c r="Z989" i="11"/>
  <c r="Y989" i="11"/>
  <c r="X989" i="11"/>
  <c r="W989" i="11"/>
  <c r="V989" i="11"/>
  <c r="V988" i="11"/>
  <c r="AA987" i="11"/>
  <c r="Z987" i="11"/>
  <c r="Y987" i="11"/>
  <c r="X987" i="11"/>
  <c r="W987" i="11"/>
  <c r="V987" i="11"/>
  <c r="AA986" i="11"/>
  <c r="Z986" i="11"/>
  <c r="Y986" i="11"/>
  <c r="X986" i="11"/>
  <c r="W986" i="11"/>
  <c r="V986" i="11"/>
  <c r="AA985" i="11"/>
  <c r="Z985" i="11"/>
  <c r="Y985" i="11"/>
  <c r="X985" i="11"/>
  <c r="W985" i="11"/>
  <c r="V985" i="11"/>
  <c r="AA984" i="11"/>
  <c r="Z984" i="11"/>
  <c r="Y984" i="11"/>
  <c r="X984" i="11"/>
  <c r="W984" i="11"/>
  <c r="V984" i="11"/>
  <c r="AA983" i="11"/>
  <c r="Z983" i="11"/>
  <c r="Y983" i="11"/>
  <c r="X983" i="11"/>
  <c r="W983" i="11"/>
  <c r="V983" i="11"/>
  <c r="AA982" i="11"/>
  <c r="Z982" i="11"/>
  <c r="Y982" i="11"/>
  <c r="X982" i="11"/>
  <c r="W982" i="11"/>
  <c r="V982" i="11"/>
  <c r="AA981" i="11"/>
  <c r="Z981" i="11"/>
  <c r="Y981" i="11"/>
  <c r="X981" i="11"/>
  <c r="W981" i="11"/>
  <c r="V981" i="11"/>
  <c r="AA980" i="11"/>
  <c r="Z980" i="11"/>
  <c r="Y980" i="11"/>
  <c r="X980" i="11"/>
  <c r="W980" i="11"/>
  <c r="V980" i="11"/>
  <c r="U969" i="11"/>
  <c r="CH113" i="20" a="1"/>
  <c r="CH113" i="20" s="1"/>
  <c r="BV38" i="20"/>
  <c r="BS38" i="20"/>
  <c r="BT38" i="20"/>
  <c r="BP38" i="20"/>
  <c r="BY38" i="20"/>
  <c r="BZ38" i="20"/>
  <c r="BQ38" i="20"/>
  <c r="BW38" i="20"/>
  <c r="AA976" i="11"/>
  <c r="Z976" i="11"/>
  <c r="Y976" i="11"/>
  <c r="X976" i="11"/>
  <c r="W976" i="11"/>
  <c r="V976" i="11"/>
  <c r="AA975" i="11"/>
  <c r="Z975" i="11"/>
  <c r="Y975" i="11"/>
  <c r="X975" i="11"/>
  <c r="W975" i="11"/>
  <c r="V975" i="11"/>
  <c r="AA974" i="11"/>
  <c r="Z974" i="11"/>
  <c r="Y974" i="11"/>
  <c r="X974" i="11"/>
  <c r="W974" i="11"/>
  <c r="V974" i="11"/>
  <c r="AA973" i="11"/>
  <c r="Z973" i="11"/>
  <c r="Y973" i="11"/>
  <c r="X973" i="11"/>
  <c r="W973" i="11"/>
  <c r="V973" i="11"/>
  <c r="AA972" i="11"/>
  <c r="V972" i="11"/>
  <c r="AA971" i="11"/>
  <c r="Z971" i="11"/>
  <c r="Y971" i="11"/>
  <c r="X971" i="11"/>
  <c r="W971" i="11"/>
  <c r="V971" i="11"/>
  <c r="AA970" i="11"/>
  <c r="Z970" i="11"/>
  <c r="Y970" i="11"/>
  <c r="X970" i="11"/>
  <c r="W970" i="11"/>
  <c r="V970" i="11"/>
  <c r="V969" i="11"/>
  <c r="V968" i="11"/>
  <c r="AA967" i="11"/>
  <c r="Z967" i="11"/>
  <c r="Y967" i="11"/>
  <c r="X967" i="11"/>
  <c r="W967" i="11"/>
  <c r="V967" i="11"/>
  <c r="AA966" i="11"/>
  <c r="Z966" i="11"/>
  <c r="Y966" i="11"/>
  <c r="X966" i="11"/>
  <c r="W966" i="11"/>
  <c r="V966" i="11"/>
  <c r="AA965" i="11"/>
  <c r="Z965" i="11"/>
  <c r="Y965" i="11"/>
  <c r="X965" i="11"/>
  <c r="W965" i="11"/>
  <c r="V965" i="11"/>
  <c r="AA964" i="11"/>
  <c r="Z964" i="11"/>
  <c r="Y964" i="11"/>
  <c r="X964" i="11"/>
  <c r="W964" i="11"/>
  <c r="V964" i="11"/>
  <c r="AA963" i="11"/>
  <c r="Z963" i="11"/>
  <c r="Y963" i="11"/>
  <c r="X963" i="11"/>
  <c r="W963" i="11"/>
  <c r="V963" i="11"/>
  <c r="AA962" i="11"/>
  <c r="Z962" i="11"/>
  <c r="Y962" i="11"/>
  <c r="X962" i="11"/>
  <c r="W962" i="11"/>
  <c r="V962" i="11"/>
  <c r="AA961" i="11"/>
  <c r="Z961" i="11"/>
  <c r="Y961" i="11"/>
  <c r="X961" i="11"/>
  <c r="W961" i="11"/>
  <c r="V961" i="11"/>
  <c r="AA960" i="11"/>
  <c r="Z960" i="11"/>
  <c r="Y960" i="11"/>
  <c r="X960" i="11"/>
  <c r="W960" i="11"/>
  <c r="V960" i="11"/>
  <c r="CH112" i="20" a="1"/>
  <c r="CH112" i="20" s="1"/>
  <c r="BY35" i="20"/>
  <c r="BW35" i="20"/>
  <c r="BS35" i="20"/>
  <c r="BP35" i="20"/>
  <c r="BQ35" i="20"/>
  <c r="CG34" i="20"/>
  <c r="BT35" i="20"/>
  <c r="BV35" i="20"/>
  <c r="BZ35" i="20"/>
  <c r="U950" i="11"/>
  <c r="F120" i="11"/>
  <c r="U928" i="11"/>
  <c r="AB928" i="11" s="1"/>
  <c r="AB939" i="11" s="1"/>
  <c r="AB941" i="11" s="1"/>
  <c r="CH111" i="20" a="1"/>
  <c r="CH111" i="20" s="1"/>
  <c r="CH110" i="20" a="1"/>
  <c r="CH110" i="20" s="1"/>
  <c r="CH109" i="20" a="1"/>
  <c r="CH109" i="20" s="1"/>
  <c r="CH108" i="20" a="1"/>
  <c r="CH108" i="20" s="1"/>
  <c r="CH107" i="20" a="1"/>
  <c r="CH107" i="20" s="1"/>
  <c r="CB32" i="20"/>
  <c r="CC32" i="20"/>
  <c r="BY32" i="20"/>
  <c r="BV32" i="20"/>
  <c r="BS32" i="20"/>
  <c r="BT32" i="20"/>
  <c r="BP32" i="20"/>
  <c r="CG31" i="20"/>
  <c r="BQ32" i="20"/>
  <c r="BW32" i="20"/>
  <c r="BZ32" i="20"/>
  <c r="V889" i="11"/>
  <c r="W889" i="11"/>
  <c r="X889" i="11"/>
  <c r="Y889" i="11"/>
  <c r="Z889" i="11"/>
  <c r="AA889" i="11"/>
  <c r="U910" i="11"/>
  <c r="AB910" i="11" s="1"/>
  <c r="AB920" i="11" s="1"/>
  <c r="AB922" i="11" s="1"/>
  <c r="BQ29" i="20"/>
  <c r="CG25" i="20"/>
  <c r="CC26" i="20"/>
  <c r="CB26" i="20"/>
  <c r="BY26" i="20"/>
  <c r="BZ26" i="20"/>
  <c r="BW26" i="20"/>
  <c r="BV26" i="20"/>
  <c r="BQ26" i="20"/>
  <c r="BP26" i="20"/>
  <c r="CJ24" i="20"/>
  <c r="BS26" i="20"/>
  <c r="BT26" i="20"/>
  <c r="CB23" i="20"/>
  <c r="CG22" i="20"/>
  <c r="BS23" i="20"/>
  <c r="BW23" i="20"/>
  <c r="BV23" i="20"/>
  <c r="BP23" i="20"/>
  <c r="BQ23" i="20"/>
  <c r="BJ129" i="20" a="1"/>
  <c r="BJ129" i="20"/>
  <c r="CJ18" i="20"/>
  <c r="BT23" i="20"/>
  <c r="BY23" i="20"/>
  <c r="BZ23" i="20"/>
  <c r="AA956" i="11"/>
  <c r="Z956" i="11"/>
  <c r="Y956" i="11"/>
  <c r="X956" i="11"/>
  <c r="W956" i="11"/>
  <c r="V956" i="11"/>
  <c r="AA955" i="11"/>
  <c r="Z955" i="11"/>
  <c r="Y955" i="11"/>
  <c r="X955" i="11"/>
  <c r="W955" i="11"/>
  <c r="V955" i="11"/>
  <c r="AA954" i="11"/>
  <c r="Z954" i="11"/>
  <c r="Y954" i="11"/>
  <c r="X954" i="11"/>
  <c r="W954" i="11"/>
  <c r="V954" i="11"/>
  <c r="AA953" i="11"/>
  <c r="Z953" i="11"/>
  <c r="Y953" i="11"/>
  <c r="X953" i="11"/>
  <c r="W953" i="11"/>
  <c r="V953" i="11"/>
  <c r="AA952" i="11"/>
  <c r="Z952" i="11"/>
  <c r="Y952" i="11"/>
  <c r="X952" i="11"/>
  <c r="W952" i="11"/>
  <c r="V952" i="11"/>
  <c r="AA951" i="11"/>
  <c r="Z951" i="11"/>
  <c r="Y951" i="11"/>
  <c r="X951" i="11"/>
  <c r="W951" i="11"/>
  <c r="V951" i="11"/>
  <c r="V950" i="11"/>
  <c r="AA949" i="11"/>
  <c r="Z949" i="11"/>
  <c r="Y949" i="11"/>
  <c r="X949" i="11"/>
  <c r="W949" i="11"/>
  <c r="V949" i="11"/>
  <c r="AA948" i="11"/>
  <c r="Z948" i="11"/>
  <c r="Y948" i="11"/>
  <c r="X948" i="11"/>
  <c r="W948" i="11"/>
  <c r="V948" i="11"/>
  <c r="AA947" i="11"/>
  <c r="Z947" i="11"/>
  <c r="Y947" i="11"/>
  <c r="X947" i="11"/>
  <c r="W947" i="11"/>
  <c r="V947" i="11"/>
  <c r="AA946" i="11"/>
  <c r="Z946" i="11"/>
  <c r="Y946" i="11"/>
  <c r="X946" i="11"/>
  <c r="W946" i="11"/>
  <c r="V946" i="11"/>
  <c r="AA945" i="11"/>
  <c r="Z945" i="11"/>
  <c r="Y945" i="11"/>
  <c r="X945" i="11"/>
  <c r="W945" i="11"/>
  <c r="V945" i="11"/>
  <c r="AA944" i="11"/>
  <c r="Z944" i="11"/>
  <c r="Y944" i="11"/>
  <c r="X944" i="11"/>
  <c r="W944" i="11"/>
  <c r="V944" i="11"/>
  <c r="AA943" i="11"/>
  <c r="Z943" i="11"/>
  <c r="Y943" i="11"/>
  <c r="X943" i="11"/>
  <c r="W943" i="11"/>
  <c r="V943" i="11"/>
  <c r="AA942" i="11"/>
  <c r="Z942" i="11"/>
  <c r="Y942" i="11"/>
  <c r="X942" i="11"/>
  <c r="W942" i="11"/>
  <c r="V942" i="11"/>
  <c r="AA938" i="11"/>
  <c r="Z938" i="11"/>
  <c r="Y938" i="11"/>
  <c r="X938" i="11"/>
  <c r="W938" i="11"/>
  <c r="V938" i="11"/>
  <c r="AA937" i="11"/>
  <c r="Z937" i="11"/>
  <c r="Y937" i="11"/>
  <c r="X937" i="11"/>
  <c r="W937" i="11"/>
  <c r="V937" i="11"/>
  <c r="AA936" i="11"/>
  <c r="Z936" i="11"/>
  <c r="Y936" i="11"/>
  <c r="X936" i="11"/>
  <c r="W936" i="11"/>
  <c r="V936" i="11"/>
  <c r="AA935" i="11"/>
  <c r="Z935" i="11"/>
  <c r="Y935" i="11"/>
  <c r="X935" i="11"/>
  <c r="W935" i="11"/>
  <c r="V935" i="11"/>
  <c r="AA934" i="11"/>
  <c r="Z934" i="11"/>
  <c r="Y934" i="11"/>
  <c r="X934" i="11"/>
  <c r="W934" i="11"/>
  <c r="V934" i="11"/>
  <c r="AA933" i="11"/>
  <c r="Z933" i="11"/>
  <c r="Y933" i="11"/>
  <c r="X933" i="11"/>
  <c r="W933" i="11"/>
  <c r="V933" i="11"/>
  <c r="AA932" i="11"/>
  <c r="Z932" i="11"/>
  <c r="Y932" i="11"/>
  <c r="X932" i="11"/>
  <c r="W932" i="11"/>
  <c r="V932" i="11"/>
  <c r="AA931" i="11"/>
  <c r="Z931" i="11"/>
  <c r="Y931" i="11"/>
  <c r="X931" i="11"/>
  <c r="W931" i="11"/>
  <c r="V931" i="11"/>
  <c r="AA930" i="11"/>
  <c r="Z930" i="11"/>
  <c r="Y930" i="11"/>
  <c r="X930" i="11"/>
  <c r="W930" i="11"/>
  <c r="V930" i="11"/>
  <c r="AA929" i="11"/>
  <c r="Z929" i="11"/>
  <c r="Y929" i="11"/>
  <c r="X929" i="11"/>
  <c r="W929" i="11"/>
  <c r="V929" i="11"/>
  <c r="V928" i="11"/>
  <c r="AA927" i="11"/>
  <c r="Z927" i="11"/>
  <c r="Y927" i="11"/>
  <c r="X927" i="11"/>
  <c r="W927" i="11"/>
  <c r="V927" i="11"/>
  <c r="AA926" i="11"/>
  <c r="Z926" i="11"/>
  <c r="Y926" i="11"/>
  <c r="X926" i="11"/>
  <c r="W926" i="11"/>
  <c r="V926" i="11"/>
  <c r="AA925" i="11"/>
  <c r="Z925" i="11"/>
  <c r="Y925" i="11"/>
  <c r="X925" i="11"/>
  <c r="W925" i="11"/>
  <c r="V925" i="11"/>
  <c r="AA924" i="11"/>
  <c r="Z924" i="11"/>
  <c r="Y924" i="11"/>
  <c r="X924" i="11"/>
  <c r="W924" i="11"/>
  <c r="V924" i="11"/>
  <c r="AA923" i="11"/>
  <c r="Z923" i="11"/>
  <c r="Y923" i="11"/>
  <c r="X923" i="11"/>
  <c r="W923" i="11"/>
  <c r="V923" i="11"/>
  <c r="AA919" i="11"/>
  <c r="Z919" i="11"/>
  <c r="Y919" i="11"/>
  <c r="X919" i="11"/>
  <c r="W919" i="11"/>
  <c r="V919" i="11"/>
  <c r="AA918" i="11"/>
  <c r="Z918" i="11"/>
  <c r="Y918" i="11"/>
  <c r="X918" i="11"/>
  <c r="W918" i="11"/>
  <c r="V918" i="11"/>
  <c r="AA917" i="11"/>
  <c r="Z917" i="11"/>
  <c r="Y917" i="11"/>
  <c r="X917" i="11"/>
  <c r="W917" i="11"/>
  <c r="V917" i="11"/>
  <c r="AA916" i="11"/>
  <c r="Z916" i="11"/>
  <c r="Y916" i="11"/>
  <c r="X916" i="11"/>
  <c r="W916" i="11"/>
  <c r="V916" i="11"/>
  <c r="AA915" i="11"/>
  <c r="Z915" i="11"/>
  <c r="Y915" i="11"/>
  <c r="X915" i="11"/>
  <c r="W915" i="11"/>
  <c r="V915" i="11"/>
  <c r="AA914" i="11"/>
  <c r="Z914" i="11"/>
  <c r="Y914" i="11"/>
  <c r="X914" i="11"/>
  <c r="W914" i="11"/>
  <c r="V914" i="11"/>
  <c r="AA913" i="11"/>
  <c r="Z913" i="11"/>
  <c r="Y913" i="11"/>
  <c r="X913" i="11"/>
  <c r="W913" i="11"/>
  <c r="V913" i="11"/>
  <c r="AA912" i="11"/>
  <c r="Z912" i="11"/>
  <c r="Y912" i="11"/>
  <c r="X912" i="11"/>
  <c r="W912" i="11"/>
  <c r="V912" i="11"/>
  <c r="AA911" i="11"/>
  <c r="Z911" i="11"/>
  <c r="Y911" i="11"/>
  <c r="X911" i="11"/>
  <c r="W911" i="11"/>
  <c r="V911" i="11"/>
  <c r="V910" i="11"/>
  <c r="V909" i="11"/>
  <c r="AA908" i="11"/>
  <c r="Z908" i="11"/>
  <c r="Y908" i="11"/>
  <c r="X908" i="11"/>
  <c r="W908" i="11"/>
  <c r="V908" i="11"/>
  <c r="V907" i="11"/>
  <c r="AA906" i="11"/>
  <c r="Z906" i="11"/>
  <c r="Y906" i="11"/>
  <c r="X906" i="11"/>
  <c r="W906" i="11"/>
  <c r="V906" i="11"/>
  <c r="AA905" i="11"/>
  <c r="Z905" i="11"/>
  <c r="Y905" i="11"/>
  <c r="X905" i="11"/>
  <c r="W905" i="11"/>
  <c r="V905" i="11"/>
  <c r="V904" i="11"/>
  <c r="U894" i="11"/>
  <c r="U892" i="11"/>
  <c r="AA900" i="11"/>
  <c r="Z900" i="11"/>
  <c r="Y900" i="11"/>
  <c r="X900" i="11"/>
  <c r="W900" i="11"/>
  <c r="V900" i="11"/>
  <c r="AA899" i="11"/>
  <c r="Z899" i="11"/>
  <c r="Y899" i="11"/>
  <c r="X899" i="11"/>
  <c r="W899" i="11"/>
  <c r="V899" i="11"/>
  <c r="AA898" i="11"/>
  <c r="Z898" i="11"/>
  <c r="Y898" i="11"/>
  <c r="X898" i="11"/>
  <c r="W898" i="11"/>
  <c r="V898" i="11"/>
  <c r="AA897" i="11"/>
  <c r="Z897" i="11"/>
  <c r="Y897" i="11"/>
  <c r="X897" i="11"/>
  <c r="W897" i="11"/>
  <c r="V897" i="11"/>
  <c r="AA896" i="11"/>
  <c r="Z896" i="11"/>
  <c r="Y896" i="11"/>
  <c r="X896" i="11"/>
  <c r="W896" i="11"/>
  <c r="V896" i="11"/>
  <c r="AA895" i="11"/>
  <c r="Z895" i="11"/>
  <c r="Y895" i="11"/>
  <c r="X895" i="11"/>
  <c r="W895" i="11"/>
  <c r="V895" i="11"/>
  <c r="V894" i="11"/>
  <c r="AA893" i="11"/>
  <c r="Z893" i="11"/>
  <c r="Y893" i="11"/>
  <c r="X893" i="11"/>
  <c r="W893" i="11"/>
  <c r="V893" i="11"/>
  <c r="Y892" i="11"/>
  <c r="V892" i="11"/>
  <c r="AA891" i="11"/>
  <c r="Z891" i="11"/>
  <c r="Y891" i="11"/>
  <c r="X891" i="11"/>
  <c r="W891" i="11"/>
  <c r="V891" i="11"/>
  <c r="AA890" i="11"/>
  <c r="Z890" i="11"/>
  <c r="Y890" i="11"/>
  <c r="X890" i="11"/>
  <c r="W890" i="11"/>
  <c r="V890" i="11"/>
  <c r="AA888" i="11"/>
  <c r="Z888" i="11"/>
  <c r="Y888" i="11"/>
  <c r="X888" i="11"/>
  <c r="W888" i="11"/>
  <c r="V888" i="11"/>
  <c r="AA884" i="11"/>
  <c r="Z884" i="11"/>
  <c r="Y884" i="11"/>
  <c r="X884" i="11"/>
  <c r="W884" i="11"/>
  <c r="V884" i="11"/>
  <c r="AA883" i="11"/>
  <c r="Z883" i="11"/>
  <c r="Y883" i="11"/>
  <c r="X883" i="11"/>
  <c r="W883" i="11"/>
  <c r="V883" i="11"/>
  <c r="AA882" i="11"/>
  <c r="Z882" i="11"/>
  <c r="Y882" i="11"/>
  <c r="X882" i="11"/>
  <c r="W882" i="11"/>
  <c r="V882" i="11"/>
  <c r="AA881" i="11"/>
  <c r="Z881" i="11"/>
  <c r="Y881" i="11"/>
  <c r="X881" i="11"/>
  <c r="W881" i="11"/>
  <c r="V881" i="11"/>
  <c r="V880" i="11"/>
  <c r="AA879" i="11"/>
  <c r="Z879" i="11"/>
  <c r="Y879" i="11"/>
  <c r="X879" i="11"/>
  <c r="W879" i="11"/>
  <c r="V879" i="11"/>
  <c r="AA878" i="11"/>
  <c r="Z878" i="11"/>
  <c r="Y878" i="11"/>
  <c r="X878" i="11"/>
  <c r="W878" i="11"/>
  <c r="V878" i="11"/>
  <c r="AA877" i="11"/>
  <c r="Z877" i="11"/>
  <c r="Y877" i="11"/>
  <c r="X877" i="11"/>
  <c r="W877" i="11"/>
  <c r="V877" i="11"/>
  <c r="AA876" i="11"/>
  <c r="Z876" i="11"/>
  <c r="Y876" i="11"/>
  <c r="X876" i="11"/>
  <c r="W876" i="11"/>
  <c r="V876" i="11"/>
  <c r="AA875" i="11"/>
  <c r="Z875" i="11"/>
  <c r="Y875" i="11"/>
  <c r="X875" i="11"/>
  <c r="W875" i="11"/>
  <c r="V875" i="11"/>
  <c r="AA874" i="11"/>
  <c r="Z874" i="11"/>
  <c r="Y874" i="11"/>
  <c r="X874" i="11"/>
  <c r="W874" i="11"/>
  <c r="V874" i="11"/>
  <c r="AA873" i="11"/>
  <c r="Z873" i="11"/>
  <c r="Y873" i="11"/>
  <c r="X873" i="11"/>
  <c r="W873" i="11"/>
  <c r="V873" i="11"/>
  <c r="AA872" i="11"/>
  <c r="Z872" i="11"/>
  <c r="Y872" i="11"/>
  <c r="X872" i="11"/>
  <c r="W872" i="11"/>
  <c r="V872" i="11"/>
  <c r="U861" i="11"/>
  <c r="AB861" i="11" s="1"/>
  <c r="AB869" i="11" s="1"/>
  <c r="AB871" i="11" s="1"/>
  <c r="W864" i="11"/>
  <c r="X864" i="11"/>
  <c r="Y864" i="11"/>
  <c r="Z864" i="11"/>
  <c r="AA864" i="11"/>
  <c r="W865" i="11"/>
  <c r="X865" i="11"/>
  <c r="Y865" i="11"/>
  <c r="Z865" i="11"/>
  <c r="AA865" i="11"/>
  <c r="W866" i="11"/>
  <c r="X866" i="11"/>
  <c r="Y866" i="11"/>
  <c r="Z866" i="11"/>
  <c r="AA866" i="11"/>
  <c r="W867" i="11"/>
  <c r="X867" i="11"/>
  <c r="Y867" i="11"/>
  <c r="Z867" i="11"/>
  <c r="AA867" i="11"/>
  <c r="W868" i="11"/>
  <c r="X868" i="11"/>
  <c r="Y868" i="11"/>
  <c r="Z868" i="11"/>
  <c r="AA868" i="11"/>
  <c r="V861" i="11"/>
  <c r="V862" i="11"/>
  <c r="V863" i="11"/>
  <c r="V864" i="11"/>
  <c r="V865" i="11"/>
  <c r="V866" i="11"/>
  <c r="V867" i="11"/>
  <c r="V868" i="11"/>
  <c r="AA863" i="11"/>
  <c r="Z863" i="11"/>
  <c r="Y863" i="11"/>
  <c r="X863" i="11"/>
  <c r="W863" i="11"/>
  <c r="AA862" i="11"/>
  <c r="Z862" i="11"/>
  <c r="Y862" i="11"/>
  <c r="X862" i="11"/>
  <c r="W862" i="11"/>
  <c r="AA860" i="11"/>
  <c r="Z860" i="11"/>
  <c r="Y860" i="11"/>
  <c r="X860" i="11"/>
  <c r="W860" i="11"/>
  <c r="V860" i="11"/>
  <c r="AA859" i="11"/>
  <c r="Z859" i="11"/>
  <c r="Y859" i="11"/>
  <c r="X859" i="11"/>
  <c r="W859" i="11"/>
  <c r="V859" i="11"/>
  <c r="AA858" i="11"/>
  <c r="Z858" i="11"/>
  <c r="Y858" i="11"/>
  <c r="X858" i="11"/>
  <c r="W858" i="11"/>
  <c r="V858" i="11"/>
  <c r="AA857" i="11"/>
  <c r="Z857" i="11"/>
  <c r="Y857" i="11"/>
  <c r="X857" i="11"/>
  <c r="W857" i="11"/>
  <c r="V857" i="11"/>
  <c r="AA856" i="11"/>
  <c r="Z856" i="11"/>
  <c r="Y856" i="11"/>
  <c r="X856" i="11"/>
  <c r="W856" i="11"/>
  <c r="V856" i="11"/>
  <c r="AA855" i="11"/>
  <c r="Z855" i="11"/>
  <c r="Y855" i="11"/>
  <c r="X855" i="11"/>
  <c r="W855" i="11"/>
  <c r="V855" i="11"/>
  <c r="AA854" i="11"/>
  <c r="Z854" i="11"/>
  <c r="Y854" i="11"/>
  <c r="X854" i="11"/>
  <c r="W854" i="11"/>
  <c r="V854" i="11"/>
  <c r="AA853" i="11"/>
  <c r="Z853" i="11"/>
  <c r="Y853" i="11"/>
  <c r="X853" i="11"/>
  <c r="W853" i="11"/>
  <c r="V853" i="11"/>
  <c r="V769" i="11"/>
  <c r="W769" i="11"/>
  <c r="X769" i="11"/>
  <c r="Y769" i="11"/>
  <c r="Z769" i="11"/>
  <c r="AA769" i="11"/>
  <c r="V770" i="11"/>
  <c r="W770" i="11"/>
  <c r="X770" i="11"/>
  <c r="Y770" i="11"/>
  <c r="Z770" i="11"/>
  <c r="AA770" i="11"/>
  <c r="V771" i="11"/>
  <c r="W771" i="11"/>
  <c r="X771" i="11"/>
  <c r="Y771" i="11"/>
  <c r="Z771" i="11"/>
  <c r="AA771" i="11"/>
  <c r="V772" i="11"/>
  <c r="W772" i="11"/>
  <c r="X772" i="11"/>
  <c r="Y772" i="11"/>
  <c r="Z772" i="11"/>
  <c r="AA772" i="11"/>
  <c r="V773" i="11"/>
  <c r="W773" i="11"/>
  <c r="X773" i="11"/>
  <c r="Y773" i="11"/>
  <c r="Z773" i="11"/>
  <c r="AA773" i="11"/>
  <c r="V774" i="11"/>
  <c r="W774" i="11"/>
  <c r="X774" i="11"/>
  <c r="Y774" i="11"/>
  <c r="Z774" i="11"/>
  <c r="AA774" i="11"/>
  <c r="V775" i="11"/>
  <c r="W775" i="11"/>
  <c r="X775" i="11"/>
  <c r="Y775" i="11"/>
  <c r="Z775" i="11"/>
  <c r="AA775" i="11"/>
  <c r="V776" i="11"/>
  <c r="W776" i="11"/>
  <c r="X776" i="11"/>
  <c r="Y776" i="11"/>
  <c r="Z776" i="11"/>
  <c r="AA776" i="11"/>
  <c r="V777" i="11"/>
  <c r="W777" i="11"/>
  <c r="X777" i="11"/>
  <c r="Y777" i="11"/>
  <c r="Z777" i="11"/>
  <c r="AA777" i="11"/>
  <c r="V778" i="11"/>
  <c r="W778" i="11"/>
  <c r="X778" i="11"/>
  <c r="Y778" i="11"/>
  <c r="Z778" i="11"/>
  <c r="AA778" i="11"/>
  <c r="V779" i="11"/>
  <c r="W779" i="11"/>
  <c r="X779" i="11"/>
  <c r="Y779" i="11"/>
  <c r="Z779" i="11"/>
  <c r="AA779" i="11"/>
  <c r="V780" i="11"/>
  <c r="W780" i="11"/>
  <c r="X780" i="11"/>
  <c r="Y780" i="11"/>
  <c r="Z780" i="11"/>
  <c r="AA780" i="11"/>
  <c r="V781" i="11"/>
  <c r="W781" i="11"/>
  <c r="X781" i="11"/>
  <c r="Y781" i="11"/>
  <c r="Z781" i="11"/>
  <c r="AA781" i="11"/>
  <c r="V782" i="11"/>
  <c r="W782" i="11"/>
  <c r="X782" i="11"/>
  <c r="Y782" i="11"/>
  <c r="Z782" i="11"/>
  <c r="AA782" i="11"/>
  <c r="CH106" i="20" a="1"/>
  <c r="CH106" i="20" s="1"/>
  <c r="BY17" i="20"/>
  <c r="BV17" i="20"/>
  <c r="BW17" i="20"/>
  <c r="BS17" i="20"/>
  <c r="BT17" i="20"/>
  <c r="BQ17" i="20"/>
  <c r="BZ17" i="20"/>
  <c r="BP17" i="20"/>
  <c r="CH16" i="20" s="1"/>
  <c r="AA849" i="11"/>
  <c r="Z849" i="11"/>
  <c r="Y849" i="11"/>
  <c r="X849" i="11"/>
  <c r="W849" i="11"/>
  <c r="V849" i="11"/>
  <c r="AA848" i="11"/>
  <c r="Z848" i="11"/>
  <c r="Y848" i="11"/>
  <c r="X848" i="11"/>
  <c r="W848" i="11"/>
  <c r="V848" i="11"/>
  <c r="AA847" i="11"/>
  <c r="Z847" i="11"/>
  <c r="Y847" i="11"/>
  <c r="X847" i="11"/>
  <c r="W847" i="11"/>
  <c r="V847" i="11"/>
  <c r="AA846" i="11"/>
  <c r="Z846" i="11"/>
  <c r="Y846" i="11"/>
  <c r="X846" i="11"/>
  <c r="W846" i="11"/>
  <c r="V846" i="11"/>
  <c r="AA845" i="11"/>
  <c r="Z845" i="11"/>
  <c r="Y845" i="11"/>
  <c r="X845" i="11"/>
  <c r="W845" i="11"/>
  <c r="V845" i="11"/>
  <c r="AA844" i="11"/>
  <c r="Z844" i="11"/>
  <c r="Y844" i="11"/>
  <c r="X844" i="11"/>
  <c r="W844" i="11"/>
  <c r="V844" i="11"/>
  <c r="AA843" i="11"/>
  <c r="Z843" i="11"/>
  <c r="Y843" i="11"/>
  <c r="X843" i="11"/>
  <c r="W843" i="11"/>
  <c r="V843" i="11"/>
  <c r="AA842" i="11"/>
  <c r="Z842" i="11"/>
  <c r="Y842" i="11"/>
  <c r="X842" i="11"/>
  <c r="W842" i="11"/>
  <c r="V842" i="11"/>
  <c r="AA841" i="11"/>
  <c r="Z841" i="11"/>
  <c r="Y841" i="11"/>
  <c r="X841" i="11"/>
  <c r="W841" i="11"/>
  <c r="V841" i="11"/>
  <c r="AA840" i="11"/>
  <c r="Z840" i="11"/>
  <c r="Y840" i="11"/>
  <c r="X840" i="11"/>
  <c r="W840" i="11"/>
  <c r="V840" i="11"/>
  <c r="AA839" i="11"/>
  <c r="Z839" i="11"/>
  <c r="Y839" i="11"/>
  <c r="X839" i="11"/>
  <c r="W839" i="11"/>
  <c r="V839" i="11"/>
  <c r="AA838" i="11"/>
  <c r="Z838" i="11"/>
  <c r="Y838" i="11"/>
  <c r="X838" i="11"/>
  <c r="W838" i="11"/>
  <c r="V838" i="11"/>
  <c r="MC34" i="20"/>
  <c r="MC35" i="20" s="1"/>
  <c r="MA8" i="20" a="1"/>
  <c r="MA8" i="20" s="1"/>
  <c r="MQ33" i="20" a="1"/>
  <c r="MQ33" i="20" s="1"/>
  <c r="MQ32" i="20" a="1"/>
  <c r="MQ32" i="20" s="1"/>
  <c r="MQ31" i="20" a="1"/>
  <c r="MQ31" i="20" s="1"/>
  <c r="MQ30" i="20" a="1"/>
  <c r="MQ30" i="20" s="1"/>
  <c r="MQ29" i="20" a="1"/>
  <c r="MQ29" i="20" s="1"/>
  <c r="MQ28" i="20" a="1"/>
  <c r="MQ28" i="20" s="1"/>
  <c r="MQ27" i="20" a="1"/>
  <c r="MQ27" i="20" s="1"/>
  <c r="MQ26" i="20" a="1"/>
  <c r="MQ26" i="20" s="1"/>
  <c r="MQ25" i="20" a="1"/>
  <c r="MQ25" i="20" s="1"/>
  <c r="MQ24" i="20" a="1"/>
  <c r="MQ24" i="20" s="1"/>
  <c r="MQ23" i="20" a="1"/>
  <c r="MQ23" i="20" s="1"/>
  <c r="MQ22" i="20" a="1"/>
  <c r="MQ22" i="20" s="1"/>
  <c r="MQ21" i="20" a="1"/>
  <c r="MQ21" i="20" s="1"/>
  <c r="MQ20" i="20" a="1"/>
  <c r="MQ20" i="20" s="1"/>
  <c r="MQ19" i="20" a="1"/>
  <c r="MQ19" i="20" s="1"/>
  <c r="MQ18" i="20" a="1"/>
  <c r="MQ18" i="20" s="1"/>
  <c r="MQ17" i="20" a="1"/>
  <c r="MQ17" i="20" s="1"/>
  <c r="MQ16" i="20" a="1"/>
  <c r="MQ16" i="20" s="1"/>
  <c r="MQ15" i="20" a="1"/>
  <c r="MQ15" i="20" s="1"/>
  <c r="MQ14" i="20" a="1"/>
  <c r="MQ14" i="20" s="1"/>
  <c r="MQ13" i="20" a="1"/>
  <c r="MQ13" i="20" s="1"/>
  <c r="MQ12" i="20" a="1"/>
  <c r="MQ12" i="20" s="1"/>
  <c r="MQ11" i="20" a="1"/>
  <c r="MQ11" i="20" s="1"/>
  <c r="MQ10" i="20" a="1"/>
  <c r="MQ10" i="20" s="1"/>
  <c r="MQ9" i="20" a="1"/>
  <c r="MQ9" i="20" s="1"/>
  <c r="MQ8" i="20" a="1"/>
  <c r="MQ8" i="20" s="1"/>
  <c r="MQ7" i="20" a="1"/>
  <c r="MQ7" i="20" s="1"/>
  <c r="MQ6" i="20" a="1"/>
  <c r="MQ6" i="20" s="1"/>
  <c r="MQ5" i="20" a="1"/>
  <c r="MQ5" i="20" s="1"/>
  <c r="MQ4" i="20" a="1"/>
  <c r="MQ4" i="20" s="1"/>
  <c r="MQ3" i="20" a="1"/>
  <c r="MQ3" i="20" s="1"/>
  <c r="MO33" i="20" a="1"/>
  <c r="MO33" i="20" s="1"/>
  <c r="MO32" i="20" a="1"/>
  <c r="MO32" i="20" s="1"/>
  <c r="MO31" i="20" a="1"/>
  <c r="MO31" i="20" s="1"/>
  <c r="MO30" i="20" a="1"/>
  <c r="MO30" i="20" s="1"/>
  <c r="MO29" i="20" a="1"/>
  <c r="MO29" i="20" s="1"/>
  <c r="MO28" i="20" a="1"/>
  <c r="MO28" i="20" s="1"/>
  <c r="MO27" i="20" a="1"/>
  <c r="MO27" i="20" s="1"/>
  <c r="MO26" i="20" a="1"/>
  <c r="MO26" i="20" s="1"/>
  <c r="MO25" i="20" a="1"/>
  <c r="MO25" i="20" s="1"/>
  <c r="MO24" i="20" a="1"/>
  <c r="MO24" i="20" s="1"/>
  <c r="MO23" i="20" a="1"/>
  <c r="MO23" i="20" s="1"/>
  <c r="MO22" i="20" a="1"/>
  <c r="MO22" i="20" s="1"/>
  <c r="MO21" i="20" a="1"/>
  <c r="MO21" i="20" s="1"/>
  <c r="MO20" i="20" a="1"/>
  <c r="MO20" i="20" s="1"/>
  <c r="MO19" i="20" a="1"/>
  <c r="MO19" i="20" s="1"/>
  <c r="MO18" i="20" a="1"/>
  <c r="MO18" i="20" s="1"/>
  <c r="MO17" i="20" a="1"/>
  <c r="MO17" i="20" s="1"/>
  <c r="MO16" i="20" a="1"/>
  <c r="MO16" i="20" s="1"/>
  <c r="MO15" i="20" a="1"/>
  <c r="MO15" i="20" s="1"/>
  <c r="MO14" i="20" a="1"/>
  <c r="MO14" i="20" s="1"/>
  <c r="MO13" i="20" a="1"/>
  <c r="MO13" i="20" s="1"/>
  <c r="MO12" i="20" a="1"/>
  <c r="MO12" i="20" s="1"/>
  <c r="MO11" i="20" a="1"/>
  <c r="MO11" i="20" s="1"/>
  <c r="MO10" i="20" a="1"/>
  <c r="MO10" i="20" s="1"/>
  <c r="MO9" i="20" a="1"/>
  <c r="MO9" i="20" s="1"/>
  <c r="MO8" i="20" a="1"/>
  <c r="MO8" i="20" s="1"/>
  <c r="MO7" i="20" a="1"/>
  <c r="MO7" i="20" s="1"/>
  <c r="MO6" i="20" a="1"/>
  <c r="MO6" i="20" s="1"/>
  <c r="MO5" i="20" a="1"/>
  <c r="MO5" i="20" s="1"/>
  <c r="MO4" i="20" a="1"/>
  <c r="MO4" i="20" s="1"/>
  <c r="MO3" i="20" a="1"/>
  <c r="MO3" i="20" s="1"/>
  <c r="MO34" i="20" s="1"/>
  <c r="MO35" i="20" s="1"/>
  <c r="MM32" i="20" a="1"/>
  <c r="MM32" i="20" s="1"/>
  <c r="MM31" i="20" a="1"/>
  <c r="MM31" i="20" s="1"/>
  <c r="MM30" i="20" a="1"/>
  <c r="MM30" i="20" s="1"/>
  <c r="MM29" i="20" a="1"/>
  <c r="MM29" i="20" s="1"/>
  <c r="MM28" i="20" a="1"/>
  <c r="MM28" i="20" s="1"/>
  <c r="MM27" i="20" a="1"/>
  <c r="MM27" i="20" s="1"/>
  <c r="MM26" i="20" a="1"/>
  <c r="MM26" i="20" s="1"/>
  <c r="MM25" i="20" a="1"/>
  <c r="MM25" i="20" s="1"/>
  <c r="MM24" i="20" a="1"/>
  <c r="MM24" i="20" s="1"/>
  <c r="MM23" i="20" a="1"/>
  <c r="MM23" i="20" s="1"/>
  <c r="MM22" i="20" a="1"/>
  <c r="MM22" i="20" s="1"/>
  <c r="MM21" i="20" a="1"/>
  <c r="MM21" i="20" s="1"/>
  <c r="MM20" i="20" a="1"/>
  <c r="MM20" i="20" s="1"/>
  <c r="MM19" i="20" a="1"/>
  <c r="MM19" i="20" s="1"/>
  <c r="MM18" i="20" a="1"/>
  <c r="MM18" i="20" s="1"/>
  <c r="MM17" i="20" a="1"/>
  <c r="MM17" i="20" s="1"/>
  <c r="MM16" i="20" a="1"/>
  <c r="MM16" i="20" s="1"/>
  <c r="MM15" i="20" a="1"/>
  <c r="MM15" i="20" s="1"/>
  <c r="MM14" i="20" a="1"/>
  <c r="MM14" i="20" s="1"/>
  <c r="MM13" i="20" a="1"/>
  <c r="MM13" i="20" s="1"/>
  <c r="MM12" i="20" a="1"/>
  <c r="MM12" i="20" s="1"/>
  <c r="MM11" i="20" a="1"/>
  <c r="MM11" i="20" s="1"/>
  <c r="MM10" i="20" a="1"/>
  <c r="MM10" i="20" s="1"/>
  <c r="MM9" i="20" a="1"/>
  <c r="MM9" i="20"/>
  <c r="MM8" i="20" a="1"/>
  <c r="MM8" i="20"/>
  <c r="MM7" i="20" a="1"/>
  <c r="MM7" i="20"/>
  <c r="MM6" i="20" a="1"/>
  <c r="MM6" i="20"/>
  <c r="MM5" i="20" a="1"/>
  <c r="MM5" i="20" s="1"/>
  <c r="MM4" i="20" a="1"/>
  <c r="MM4" i="20" s="1"/>
  <c r="MM3" i="20" a="1"/>
  <c r="MM3" i="20" s="1"/>
  <c r="MK33" i="20" a="1"/>
  <c r="MK33" i="20" s="1"/>
  <c r="MK32" i="20" a="1"/>
  <c r="MK32" i="20"/>
  <c r="MK31" i="20" a="1"/>
  <c r="MK31" i="20" s="1"/>
  <c r="MK30" i="20" a="1"/>
  <c r="MK30" i="20"/>
  <c r="MK29" i="20" a="1"/>
  <c r="MK29" i="20"/>
  <c r="MK28" i="20" a="1"/>
  <c r="MK28" i="20"/>
  <c r="MK27" i="20" a="1"/>
  <c r="MK27" i="20"/>
  <c r="MK26" i="20" a="1"/>
  <c r="MK26" i="20"/>
  <c r="MK25" i="20" a="1"/>
  <c r="MK25" i="20"/>
  <c r="MK24" i="20" a="1"/>
  <c r="MK24" i="20"/>
  <c r="MK23" i="20" a="1"/>
  <c r="MK23" i="20"/>
  <c r="MK22" i="20" a="1"/>
  <c r="MK22" i="20"/>
  <c r="MK21" i="20" a="1"/>
  <c r="MK21" i="20"/>
  <c r="MK20" i="20" a="1"/>
  <c r="MK20" i="20"/>
  <c r="MK19" i="20" a="1"/>
  <c r="MK19" i="20"/>
  <c r="MK18" i="20" a="1"/>
  <c r="MK18" i="20"/>
  <c r="MK17" i="20" a="1"/>
  <c r="MK17" i="20"/>
  <c r="MK16" i="20" a="1"/>
  <c r="MK16" i="20"/>
  <c r="MK15" i="20" a="1"/>
  <c r="MK15" i="20"/>
  <c r="MK14" i="20" a="1"/>
  <c r="MK14" i="20"/>
  <c r="MK13" i="20" a="1"/>
  <c r="MK13" i="20"/>
  <c r="MK12" i="20" a="1"/>
  <c r="MK12" i="20"/>
  <c r="MK11" i="20" a="1"/>
  <c r="MK11" i="20"/>
  <c r="MK10" i="20" a="1"/>
  <c r="MK10" i="20"/>
  <c r="MK9" i="20" a="1"/>
  <c r="MK9" i="20"/>
  <c r="MK8" i="20" a="1"/>
  <c r="MK8" i="20"/>
  <c r="MK7" i="20" a="1"/>
  <c r="MK7" i="20"/>
  <c r="MK6" i="20" a="1"/>
  <c r="MK6" i="20"/>
  <c r="MK5" i="20" a="1"/>
  <c r="MK5" i="20"/>
  <c r="MK4" i="20" a="1"/>
  <c r="MK4" i="20"/>
  <c r="MK3" i="20" a="1"/>
  <c r="MK3" i="20"/>
  <c r="MI32" i="20" a="1"/>
  <c r="MI32" i="20"/>
  <c r="MI31" i="20" a="1"/>
  <c r="MI31" i="20"/>
  <c r="MI30" i="20" a="1"/>
  <c r="MI30" i="20"/>
  <c r="MI29" i="20" a="1"/>
  <c r="MI29" i="20"/>
  <c r="MI28" i="20" a="1"/>
  <c r="MI28" i="20"/>
  <c r="MI27" i="20" a="1"/>
  <c r="MI27" i="20"/>
  <c r="MI26" i="20" a="1"/>
  <c r="MI26" i="20"/>
  <c r="MI25" i="20" a="1"/>
  <c r="MI25" i="20"/>
  <c r="MI24" i="20" a="1"/>
  <c r="MI24" i="20"/>
  <c r="MI23" i="20" a="1"/>
  <c r="MI23" i="20"/>
  <c r="MI22" i="20" a="1"/>
  <c r="MI22" i="20"/>
  <c r="MI21" i="20" a="1"/>
  <c r="MI21" i="20"/>
  <c r="MI20" i="20" a="1"/>
  <c r="MI20" i="20"/>
  <c r="MI19" i="20" a="1"/>
  <c r="MI19" i="20"/>
  <c r="MI18" i="20" a="1"/>
  <c r="MI18" i="20"/>
  <c r="MI17" i="20" a="1"/>
  <c r="MI17" i="20"/>
  <c r="MI16" i="20" a="1"/>
  <c r="MI16" i="20"/>
  <c r="MI15" i="20" a="1"/>
  <c r="MI15" i="20"/>
  <c r="MI14" i="20" a="1"/>
  <c r="MI14" i="20"/>
  <c r="MI13" i="20" a="1"/>
  <c r="MI13" i="20"/>
  <c r="MI12" i="20" a="1"/>
  <c r="MI12" i="20"/>
  <c r="MI11" i="20" a="1"/>
  <c r="MI11" i="20"/>
  <c r="MI10" i="20" a="1"/>
  <c r="MI10" i="20"/>
  <c r="MI9" i="20" a="1"/>
  <c r="MI9" i="20"/>
  <c r="MI8" i="20" a="1"/>
  <c r="MI8" i="20"/>
  <c r="MI7" i="20" a="1"/>
  <c r="MI7" i="20"/>
  <c r="MI6" i="20" a="1"/>
  <c r="MI6" i="20"/>
  <c r="MI5" i="20" a="1"/>
  <c r="MI5" i="20"/>
  <c r="MI4" i="20" a="1"/>
  <c r="MI4" i="20"/>
  <c r="MI3" i="20" a="1"/>
  <c r="MI3" i="20"/>
  <c r="MI34" i="20" s="1"/>
  <c r="MI35" i="20" s="1"/>
  <c r="MG33" i="20" a="1"/>
  <c r="MG33" i="20"/>
  <c r="MG32" i="20" a="1"/>
  <c r="MG32" i="20"/>
  <c r="MG31" i="20" a="1"/>
  <c r="MG31" i="20"/>
  <c r="MG30" i="20" a="1"/>
  <c r="MG30" i="20"/>
  <c r="MG29" i="20" a="1"/>
  <c r="MG29" i="20"/>
  <c r="MG28" i="20" a="1"/>
  <c r="MG28" i="20"/>
  <c r="MG27" i="20" a="1"/>
  <c r="MG27" i="20"/>
  <c r="MG26" i="20" a="1"/>
  <c r="MG26" i="20"/>
  <c r="MG25" i="20" a="1"/>
  <c r="MG25" i="20"/>
  <c r="MG24" i="20" a="1"/>
  <c r="MG24" i="20"/>
  <c r="MG23" i="20" a="1"/>
  <c r="MG23" i="20"/>
  <c r="MG22" i="20" a="1"/>
  <c r="MG22" i="20"/>
  <c r="MG21" i="20" a="1"/>
  <c r="MG21" i="20"/>
  <c r="MG20" i="20" a="1"/>
  <c r="MG20" i="20"/>
  <c r="MG19" i="20" a="1"/>
  <c r="MG19" i="20"/>
  <c r="MG18" i="20" a="1"/>
  <c r="MG18" i="20"/>
  <c r="MG17" i="20" a="1"/>
  <c r="MG17" i="20"/>
  <c r="MG16" i="20" a="1"/>
  <c r="MG16" i="20"/>
  <c r="MG15" i="20" a="1"/>
  <c r="MG15" i="20"/>
  <c r="MG14" i="20" a="1"/>
  <c r="MG14" i="20"/>
  <c r="MG13" i="20" a="1"/>
  <c r="MG13" i="20"/>
  <c r="MG12" i="20" a="1"/>
  <c r="MG12" i="20"/>
  <c r="MG11" i="20" a="1"/>
  <c r="MG11" i="20"/>
  <c r="MG10" i="20" a="1"/>
  <c r="MG10" i="20"/>
  <c r="MG9" i="20" a="1"/>
  <c r="MG9" i="20"/>
  <c r="MG8" i="20" a="1"/>
  <c r="MG8" i="20"/>
  <c r="MG7" i="20" a="1"/>
  <c r="MG7" i="20"/>
  <c r="MG6" i="20" a="1"/>
  <c r="MG6" i="20"/>
  <c r="MG5" i="20" a="1"/>
  <c r="MG5" i="20"/>
  <c r="MG4" i="20" a="1"/>
  <c r="MG4" i="20"/>
  <c r="MG3" i="20" a="1"/>
  <c r="MG3" i="20"/>
  <c r="MG34" i="20" s="1"/>
  <c r="MG35" i="20" s="1"/>
  <c r="ME33" i="20" a="1"/>
  <c r="ME33" i="20"/>
  <c r="ME32" i="20" a="1"/>
  <c r="ME32" i="20"/>
  <c r="ME31" i="20" a="1"/>
  <c r="ME31" i="20"/>
  <c r="ME30" i="20" a="1"/>
  <c r="ME30" i="20"/>
  <c r="ME29" i="20" a="1"/>
  <c r="ME29" i="20"/>
  <c r="ME28" i="20" a="1"/>
  <c r="ME28" i="20"/>
  <c r="ME27" i="20" a="1"/>
  <c r="ME27" i="20"/>
  <c r="ME26" i="20" a="1"/>
  <c r="ME26" i="20"/>
  <c r="ME25" i="20" a="1"/>
  <c r="ME25" i="20"/>
  <c r="ME24" i="20" a="1"/>
  <c r="ME24" i="20"/>
  <c r="ME23" i="20" a="1"/>
  <c r="ME23" i="20"/>
  <c r="ME22" i="20" a="1"/>
  <c r="ME22" i="20"/>
  <c r="ME21" i="20" a="1"/>
  <c r="ME21" i="20" s="1"/>
  <c r="ME20" i="20" a="1"/>
  <c r="ME20" i="20"/>
  <c r="ME19" i="20" a="1"/>
  <c r="ME19" i="20"/>
  <c r="ME18" i="20" a="1"/>
  <c r="ME18" i="20"/>
  <c r="ME17" i="20" a="1"/>
  <c r="ME17" i="20"/>
  <c r="ME16" i="20" a="1"/>
  <c r="ME16" i="20"/>
  <c r="ME15" i="20" a="1"/>
  <c r="ME15" i="20" s="1"/>
  <c r="ME14" i="20" a="1"/>
  <c r="ME14" i="20" s="1"/>
  <c r="ME13" i="20" a="1"/>
  <c r="ME13" i="20"/>
  <c r="ME12" i="20" a="1"/>
  <c r="ME12" i="20"/>
  <c r="ME11" i="20" a="1"/>
  <c r="ME11" i="20"/>
  <c r="ME10" i="20" a="1"/>
  <c r="ME10" i="20"/>
  <c r="ME9" i="20" a="1"/>
  <c r="ME9" i="20"/>
  <c r="ME8" i="20" a="1"/>
  <c r="ME8" i="20"/>
  <c r="ME7" i="20" a="1"/>
  <c r="ME7" i="20"/>
  <c r="ME6" i="20" a="1"/>
  <c r="ME6" i="20"/>
  <c r="ME5" i="20" a="1"/>
  <c r="ME5" i="20"/>
  <c r="ME4" i="20" a="1"/>
  <c r="ME4" i="20"/>
  <c r="ME3" i="20" a="1"/>
  <c r="ME3" i="20"/>
  <c r="MC32" i="20" a="1"/>
  <c r="MC32" i="20"/>
  <c r="MC31" i="20" a="1"/>
  <c r="MC31" i="20"/>
  <c r="MC30" i="20" a="1"/>
  <c r="MC30" i="20"/>
  <c r="MC29" i="20" a="1"/>
  <c r="MC29" i="20"/>
  <c r="MC28" i="20" a="1"/>
  <c r="MC28" i="20"/>
  <c r="MC27" i="20" a="1"/>
  <c r="MC27" i="20"/>
  <c r="MC26" i="20" a="1"/>
  <c r="MC26" i="20"/>
  <c r="MC25" i="20" a="1"/>
  <c r="MC25" i="20"/>
  <c r="MC24" i="20" a="1"/>
  <c r="MC24" i="20"/>
  <c r="MC23" i="20" a="1"/>
  <c r="MC23" i="20"/>
  <c r="MC22" i="20" a="1"/>
  <c r="MC22" i="20"/>
  <c r="MC21" i="20" a="1"/>
  <c r="MC21" i="20"/>
  <c r="MC20" i="20" a="1"/>
  <c r="MC20" i="20"/>
  <c r="MC19" i="20" a="1"/>
  <c r="MC19" i="20"/>
  <c r="MC18" i="20" a="1"/>
  <c r="MC18" i="20"/>
  <c r="MC17" i="20" a="1"/>
  <c r="MC17" i="20"/>
  <c r="MC16" i="20" a="1"/>
  <c r="MC16" i="20"/>
  <c r="MC15" i="20" a="1"/>
  <c r="MC15" i="20"/>
  <c r="MC14" i="20" a="1"/>
  <c r="MC14" i="20"/>
  <c r="MC13" i="20" a="1"/>
  <c r="MC13" i="20"/>
  <c r="MC12" i="20" a="1"/>
  <c r="MC12" i="20"/>
  <c r="MC11" i="20" a="1"/>
  <c r="MC11" i="20"/>
  <c r="MC10" i="20" a="1"/>
  <c r="MC10" i="20"/>
  <c r="MC9" i="20" a="1"/>
  <c r="MC9" i="20"/>
  <c r="MC8" i="20" a="1"/>
  <c r="MC8" i="20"/>
  <c r="MC7" i="20" a="1"/>
  <c r="MC7" i="20"/>
  <c r="MC6" i="20" a="1"/>
  <c r="MC6" i="20"/>
  <c r="MC5" i="20" a="1"/>
  <c r="MC5" i="20"/>
  <c r="MC4" i="20" a="1"/>
  <c r="MC4" i="20"/>
  <c r="MC3" i="20" a="1"/>
  <c r="MC3" i="20"/>
  <c r="LO132" i="20" a="1"/>
  <c r="LO132" i="20"/>
  <c r="LO131" i="20" a="1"/>
  <c r="LO131" i="20"/>
  <c r="LO130" i="20" a="1"/>
  <c r="LO130" i="20"/>
  <c r="LO129" i="20" a="1"/>
  <c r="LO129" i="20"/>
  <c r="LO128" i="20" a="1"/>
  <c r="LO128" i="20"/>
  <c r="LO127" i="20" a="1"/>
  <c r="LO127" i="20"/>
  <c r="LO126" i="20" a="1"/>
  <c r="LO126" i="20"/>
  <c r="LO125" i="20" a="1"/>
  <c r="LO125" i="20"/>
  <c r="LO124" i="20" a="1"/>
  <c r="LO124" i="20"/>
  <c r="LO123" i="20" a="1"/>
  <c r="LO123" i="20"/>
  <c r="LO122" i="20" a="1"/>
  <c r="LO122" i="20"/>
  <c r="LO121" i="20" a="1"/>
  <c r="LO121" i="20"/>
  <c r="LO120" i="20" a="1"/>
  <c r="LO120" i="20"/>
  <c r="LO119" i="20" a="1"/>
  <c r="LO119" i="20"/>
  <c r="LO118" i="20" a="1"/>
  <c r="LO118" i="20"/>
  <c r="LO117" i="20" a="1"/>
  <c r="LO117" i="20"/>
  <c r="LO116" i="20" a="1"/>
  <c r="LO116" i="20"/>
  <c r="LO115" i="20" a="1"/>
  <c r="LO115" i="20"/>
  <c r="LO114" i="20" a="1"/>
  <c r="LO114" i="20"/>
  <c r="LO113" i="20" a="1"/>
  <c r="LO113" i="20"/>
  <c r="LO112" i="20" a="1"/>
  <c r="LO112" i="20"/>
  <c r="LO111" i="20" a="1"/>
  <c r="LO111" i="20"/>
  <c r="LO110" i="20" a="1"/>
  <c r="LO110" i="20"/>
  <c r="LO109" i="20" a="1"/>
  <c r="LO109" i="20"/>
  <c r="LO108" i="20" a="1"/>
  <c r="LO108" i="20"/>
  <c r="LO107" i="20" a="1"/>
  <c r="LO107" i="20"/>
  <c r="LO106" i="20" a="1"/>
  <c r="LO106" i="20"/>
  <c r="LO105" i="20" a="1"/>
  <c r="LO105" i="20"/>
  <c r="LO104" i="20" a="1"/>
  <c r="LO104" i="20"/>
  <c r="LO103" i="20" a="1"/>
  <c r="LO103" i="20"/>
  <c r="LO102" i="20" a="1"/>
  <c r="LO102" i="20"/>
  <c r="LN102" i="20" a="1"/>
  <c r="LN102" i="20"/>
  <c r="LM97" i="20" a="1"/>
  <c r="LM97" i="20" s="1"/>
  <c r="LP96" i="20" a="1"/>
  <c r="LP96" i="20" s="1"/>
  <c r="LM96" i="20" a="1"/>
  <c r="LM96" i="20" s="1"/>
  <c r="LM98" i="20" s="1"/>
  <c r="LN39" i="20"/>
  <c r="LN40" i="20"/>
  <c r="LN42" i="20"/>
  <c r="LN43" i="20"/>
  <c r="LN45" i="20"/>
  <c r="LN46" i="20"/>
  <c r="LN48" i="20"/>
  <c r="LN49" i="20"/>
  <c r="LN51" i="20"/>
  <c r="LN52" i="20"/>
  <c r="LN54" i="20"/>
  <c r="LN55" i="20"/>
  <c r="LN57" i="20"/>
  <c r="LN58" i="20"/>
  <c r="LN60" i="20"/>
  <c r="LN61" i="20"/>
  <c r="LN63" i="20"/>
  <c r="LN64" i="20"/>
  <c r="LN66" i="20"/>
  <c r="LN67" i="20"/>
  <c r="LN69" i="20"/>
  <c r="LN70" i="20"/>
  <c r="LN72" i="20"/>
  <c r="LN73" i="20"/>
  <c r="LN75" i="20"/>
  <c r="LN76" i="20"/>
  <c r="LN78" i="20"/>
  <c r="LN79" i="20"/>
  <c r="LN81" i="20"/>
  <c r="LN82" i="20"/>
  <c r="LN84" i="20"/>
  <c r="LN85" i="20"/>
  <c r="LN87" i="20"/>
  <c r="LN88" i="20"/>
  <c r="LN90" i="20"/>
  <c r="LN91" i="20"/>
  <c r="LN93" i="20"/>
  <c r="LN94" i="20"/>
  <c r="LN36" i="20"/>
  <c r="LN37" i="20"/>
  <c r="LN33" i="20"/>
  <c r="LN34" i="20"/>
  <c r="LN30" i="20"/>
  <c r="LN31" i="20"/>
  <c r="LN27" i="20"/>
  <c r="LN28" i="20"/>
  <c r="LN24" i="20"/>
  <c r="LN25" i="20"/>
  <c r="LN21" i="20"/>
  <c r="LN22" i="20"/>
  <c r="LN18" i="20"/>
  <c r="LN19" i="20"/>
  <c r="LN15" i="20"/>
  <c r="LN16" i="20"/>
  <c r="LN12" i="20"/>
  <c r="LN13" i="20"/>
  <c r="LN9" i="20"/>
  <c r="LN10" i="20"/>
  <c r="LN6" i="20"/>
  <c r="LN7" i="20"/>
  <c r="LN3" i="20"/>
  <c r="LN4" i="20"/>
  <c r="KQ132" i="20" a="1"/>
  <c r="KQ132" i="20" s="1"/>
  <c r="KQ131" i="20" a="1"/>
  <c r="KQ131" i="20" s="1"/>
  <c r="KQ130" i="20" a="1"/>
  <c r="KQ130" i="20" s="1"/>
  <c r="KQ129" i="20" a="1"/>
  <c r="KQ129" i="20" s="1"/>
  <c r="KQ128" i="20" a="1"/>
  <c r="KQ128" i="20" s="1"/>
  <c r="KQ127" i="20" a="1"/>
  <c r="KQ127" i="20" s="1"/>
  <c r="KQ126" i="20" a="1"/>
  <c r="KQ126" i="20" s="1"/>
  <c r="KQ125" i="20" a="1"/>
  <c r="KQ125" i="20" s="1"/>
  <c r="KQ124" i="20" a="1"/>
  <c r="KQ124" i="20" s="1"/>
  <c r="KQ123" i="20" a="1"/>
  <c r="KQ123" i="20" s="1"/>
  <c r="KQ122" i="20" a="1"/>
  <c r="KQ122" i="20"/>
  <c r="KQ121" i="20" a="1"/>
  <c r="KQ121" i="20"/>
  <c r="KQ120" i="20" a="1"/>
  <c r="KQ120" i="20"/>
  <c r="KQ119" i="20" a="1"/>
  <c r="KQ119" i="20"/>
  <c r="KQ118" i="20" a="1"/>
  <c r="KQ118" i="20"/>
  <c r="KQ117" i="20" a="1"/>
  <c r="KQ117" i="20"/>
  <c r="KQ116" i="20" a="1"/>
  <c r="KQ116" i="20"/>
  <c r="KQ115" i="20" a="1"/>
  <c r="KQ115" i="20"/>
  <c r="KQ114" i="20" a="1"/>
  <c r="KQ114" i="20"/>
  <c r="KQ113" i="20" a="1"/>
  <c r="KQ113" i="20"/>
  <c r="KQ112" i="20" a="1"/>
  <c r="KQ112" i="20"/>
  <c r="KQ111" i="20" a="1"/>
  <c r="KQ111" i="20"/>
  <c r="KQ110" i="20" a="1"/>
  <c r="KQ110" i="20"/>
  <c r="KQ109" i="20" a="1"/>
  <c r="KQ109" i="20"/>
  <c r="KQ108" i="20" a="1"/>
  <c r="KQ108" i="20"/>
  <c r="KQ107" i="20" a="1"/>
  <c r="KQ107" i="20"/>
  <c r="KQ106" i="20" a="1"/>
  <c r="KQ106" i="20"/>
  <c r="KQ105" i="20" a="1"/>
  <c r="KQ105" i="20"/>
  <c r="KQ104" i="20" a="1"/>
  <c r="KQ104" i="20"/>
  <c r="KQ103" i="20" a="1"/>
  <c r="KQ103" i="20"/>
  <c r="KQ102" i="20" a="1"/>
  <c r="KQ102" i="20"/>
  <c r="KP102" i="20" a="1"/>
  <c r="KP102" i="20"/>
  <c r="KO97" i="20" a="1"/>
  <c r="KO97" i="20"/>
  <c r="KR96" i="20" a="1"/>
  <c r="KR96" i="20"/>
  <c r="KO96" i="20" a="1"/>
  <c r="KO96" i="20" s="1"/>
  <c r="KO98" i="20" s="1"/>
  <c r="KP39" i="20"/>
  <c r="KP40" i="20"/>
  <c r="KP42" i="20"/>
  <c r="KP43" i="20"/>
  <c r="KP45" i="20"/>
  <c r="KP46" i="20"/>
  <c r="KP48" i="20"/>
  <c r="KP49" i="20"/>
  <c r="KP51" i="20"/>
  <c r="KP52" i="20"/>
  <c r="KP54" i="20"/>
  <c r="KP55" i="20"/>
  <c r="KP57" i="20"/>
  <c r="KP58" i="20"/>
  <c r="KP60" i="20"/>
  <c r="KP61" i="20"/>
  <c r="KP63" i="20"/>
  <c r="KP64" i="20"/>
  <c r="KP66" i="20"/>
  <c r="KP67" i="20"/>
  <c r="KP69" i="20"/>
  <c r="KP70" i="20"/>
  <c r="KP72" i="20"/>
  <c r="KP73" i="20"/>
  <c r="KP75" i="20"/>
  <c r="KP76" i="20"/>
  <c r="KP78" i="20"/>
  <c r="KP79" i="20"/>
  <c r="KP81" i="20"/>
  <c r="KP82" i="20"/>
  <c r="KP84" i="20"/>
  <c r="KP85" i="20"/>
  <c r="KP87" i="20"/>
  <c r="KP88" i="20"/>
  <c r="KP90" i="20"/>
  <c r="KP91" i="20"/>
  <c r="KP93" i="20"/>
  <c r="KP94" i="20"/>
  <c r="KP36" i="20"/>
  <c r="KP37" i="20"/>
  <c r="KP33" i="20"/>
  <c r="KP34" i="20"/>
  <c r="KP30" i="20"/>
  <c r="KP31" i="20"/>
  <c r="KP27" i="20"/>
  <c r="KP28" i="20"/>
  <c r="KP24" i="20"/>
  <c r="KP25" i="20"/>
  <c r="KP21" i="20"/>
  <c r="KP22" i="20"/>
  <c r="KP18" i="20"/>
  <c r="KP19" i="20"/>
  <c r="KP15" i="20"/>
  <c r="KP16" i="20"/>
  <c r="KP12" i="20"/>
  <c r="KP13" i="20"/>
  <c r="KP9" i="20"/>
  <c r="KP10" i="20"/>
  <c r="KP6" i="20"/>
  <c r="KP7" i="20"/>
  <c r="KP3" i="20"/>
  <c r="KP4" i="20"/>
  <c r="JS132" i="20" a="1"/>
  <c r="JS132" i="20" s="1"/>
  <c r="JS131" i="20" a="1"/>
  <c r="JS131" i="20" s="1"/>
  <c r="JS130" i="20" a="1"/>
  <c r="JS130" i="20" s="1"/>
  <c r="JS129" i="20" a="1"/>
  <c r="JS129" i="20" s="1"/>
  <c r="JS128" i="20" a="1"/>
  <c r="JS128" i="20" s="1"/>
  <c r="JS127" i="20" a="1"/>
  <c r="JS127" i="20" s="1"/>
  <c r="JS126" i="20" a="1"/>
  <c r="JS126" i="20" s="1"/>
  <c r="JS125" i="20" a="1"/>
  <c r="JS125" i="20" s="1"/>
  <c r="JS124" i="20" a="1"/>
  <c r="JS124" i="20" s="1"/>
  <c r="JS123" i="20" a="1"/>
  <c r="JS123" i="20" s="1"/>
  <c r="JS122" i="20" a="1"/>
  <c r="JS122" i="20" s="1"/>
  <c r="JS121" i="20" a="1"/>
  <c r="JS121" i="20" s="1"/>
  <c r="JS120" i="20" a="1"/>
  <c r="JS120" i="20" s="1"/>
  <c r="JS119" i="20" a="1"/>
  <c r="JS119" i="20" s="1"/>
  <c r="JS118" i="20" a="1"/>
  <c r="JS118" i="20" s="1"/>
  <c r="JS117" i="20" a="1"/>
  <c r="JS117" i="20" s="1"/>
  <c r="JS116" i="20" a="1"/>
  <c r="JS116" i="20" s="1"/>
  <c r="JS115" i="20" a="1"/>
  <c r="JS115" i="20" s="1"/>
  <c r="JS114" i="20" a="1"/>
  <c r="JS114" i="20" s="1"/>
  <c r="JS113" i="20" a="1"/>
  <c r="JS113" i="20" s="1"/>
  <c r="JS112" i="20" a="1"/>
  <c r="JS112" i="20" s="1"/>
  <c r="JS111" i="20" a="1"/>
  <c r="JS111" i="20" s="1"/>
  <c r="JS110" i="20" a="1"/>
  <c r="JS110" i="20" s="1"/>
  <c r="JS109" i="20" a="1"/>
  <c r="JS109" i="20" s="1"/>
  <c r="JS108" i="20" a="1"/>
  <c r="JS108" i="20" s="1"/>
  <c r="JS107" i="20" a="1"/>
  <c r="JS107" i="20" s="1"/>
  <c r="JS106" i="20" a="1"/>
  <c r="JS106" i="20" s="1"/>
  <c r="JS105" i="20" a="1"/>
  <c r="JS105" i="20" s="1"/>
  <c r="JS104" i="20" a="1"/>
  <c r="JS104" i="20" s="1"/>
  <c r="JS103" i="20" a="1"/>
  <c r="JS103" i="20" s="1"/>
  <c r="JS102" i="20" a="1"/>
  <c r="JS102" i="20" s="1"/>
  <c r="JR102" i="20" a="1"/>
  <c r="JR102" i="20" s="1"/>
  <c r="JQ97" i="20" a="1"/>
  <c r="JQ97" i="20" s="1"/>
  <c r="JT96" i="20" a="1"/>
  <c r="JT96" i="20" s="1"/>
  <c r="JQ96" i="20" a="1"/>
  <c r="JQ96" i="20" s="1"/>
  <c r="JQ98" i="20" s="1"/>
  <c r="JR39" i="20"/>
  <c r="JR40" i="20"/>
  <c r="JR42" i="20"/>
  <c r="JR43" i="20"/>
  <c r="JR45" i="20"/>
  <c r="JR46" i="20"/>
  <c r="JR48" i="20"/>
  <c r="JR49" i="20"/>
  <c r="JR51" i="20"/>
  <c r="JR52" i="20"/>
  <c r="JR54" i="20"/>
  <c r="JR55" i="20"/>
  <c r="JR57" i="20"/>
  <c r="JR58" i="20"/>
  <c r="JR60" i="20"/>
  <c r="JR61" i="20"/>
  <c r="JR63" i="20"/>
  <c r="JR64" i="20"/>
  <c r="JR66" i="20"/>
  <c r="JR67" i="20"/>
  <c r="JR69" i="20"/>
  <c r="JR70" i="20"/>
  <c r="JR72" i="20"/>
  <c r="JR73" i="20"/>
  <c r="JR75" i="20"/>
  <c r="JR76" i="20"/>
  <c r="JR78" i="20"/>
  <c r="JR79" i="20"/>
  <c r="JR81" i="20"/>
  <c r="JR82" i="20"/>
  <c r="JR84" i="20"/>
  <c r="JR85" i="20"/>
  <c r="JR87" i="20"/>
  <c r="JR88" i="20"/>
  <c r="JR90" i="20"/>
  <c r="JR91" i="20"/>
  <c r="JR93" i="20"/>
  <c r="JR94" i="20"/>
  <c r="JR36" i="20"/>
  <c r="JR37" i="20"/>
  <c r="JR33" i="20"/>
  <c r="JR34" i="20"/>
  <c r="JR30" i="20"/>
  <c r="JR31" i="20"/>
  <c r="JR27" i="20"/>
  <c r="JR28" i="20"/>
  <c r="JR24" i="20"/>
  <c r="JR25" i="20"/>
  <c r="JR21" i="20"/>
  <c r="JR22" i="20"/>
  <c r="JR18" i="20"/>
  <c r="JR19" i="20"/>
  <c r="JR15" i="20"/>
  <c r="JR16" i="20"/>
  <c r="JR12" i="20"/>
  <c r="JR13" i="20"/>
  <c r="JR9" i="20"/>
  <c r="JR10" i="20"/>
  <c r="JR6" i="20"/>
  <c r="JR7" i="20"/>
  <c r="JR3" i="20"/>
  <c r="JR4" i="20"/>
  <c r="IU132" i="20" a="1"/>
  <c r="IU132" i="20"/>
  <c r="IU131" i="20" a="1"/>
  <c r="IU131" i="20"/>
  <c r="IU130" i="20" a="1"/>
  <c r="IU130" i="20"/>
  <c r="IU129" i="20" a="1"/>
  <c r="IU129" i="20"/>
  <c r="IU128" i="20" a="1"/>
  <c r="IU128" i="20"/>
  <c r="IU127" i="20" a="1"/>
  <c r="IU127" i="20"/>
  <c r="IU126" i="20" a="1"/>
  <c r="IU126" i="20"/>
  <c r="IU125" i="20" a="1"/>
  <c r="IU125" i="20"/>
  <c r="IU124" i="20" a="1"/>
  <c r="IU124" i="20"/>
  <c r="IU123" i="20" a="1"/>
  <c r="IU123" i="20"/>
  <c r="IU122" i="20" a="1"/>
  <c r="IU122" i="20"/>
  <c r="IU121" i="20" a="1"/>
  <c r="IU121" i="20"/>
  <c r="IU120" i="20" a="1"/>
  <c r="IU120" i="20"/>
  <c r="IU119" i="20" a="1"/>
  <c r="IU119" i="20"/>
  <c r="IU118" i="20" a="1"/>
  <c r="IU118" i="20" s="1"/>
  <c r="IU117" i="20" a="1"/>
  <c r="IU117" i="20" s="1"/>
  <c r="IU116" i="20" a="1"/>
  <c r="IU116" i="20" s="1"/>
  <c r="IU115" i="20" a="1"/>
  <c r="IU115" i="20" s="1"/>
  <c r="IU114" i="20" a="1"/>
  <c r="IU114" i="20" s="1"/>
  <c r="IU113" i="20" a="1"/>
  <c r="IU113" i="20" s="1"/>
  <c r="IU112" i="20" a="1"/>
  <c r="IU112" i="20" s="1"/>
  <c r="IU111" i="20" a="1"/>
  <c r="IU111" i="20" s="1"/>
  <c r="IU110" i="20" a="1"/>
  <c r="IU110" i="20" s="1"/>
  <c r="IU109" i="20" a="1"/>
  <c r="IU109" i="20" s="1"/>
  <c r="IU108" i="20" a="1"/>
  <c r="IU108" i="20" s="1"/>
  <c r="IU107" i="20" a="1"/>
  <c r="IU107" i="20" s="1"/>
  <c r="IU106" i="20" a="1"/>
  <c r="IU106" i="20" s="1"/>
  <c r="IU105" i="20" a="1"/>
  <c r="IU105" i="20" s="1"/>
  <c r="IU104" i="20" a="1"/>
  <c r="IU104" i="20" s="1"/>
  <c r="IU103" i="20" a="1"/>
  <c r="IU103" i="20" s="1"/>
  <c r="IU102" i="20" a="1"/>
  <c r="IU102" i="20" s="1"/>
  <c r="IT102" i="20" a="1"/>
  <c r="IT102" i="20" s="1"/>
  <c r="IS97" i="20" a="1"/>
  <c r="IS97" i="20" s="1"/>
  <c r="IV96" i="20" a="1"/>
  <c r="IV96" i="20" s="1"/>
  <c r="IS96" i="20" a="1"/>
  <c r="IS96" i="20" s="1"/>
  <c r="IT39" i="20"/>
  <c r="IT40" i="20"/>
  <c r="IT42" i="20"/>
  <c r="IT43" i="20"/>
  <c r="IT45" i="20"/>
  <c r="IT46" i="20"/>
  <c r="IT48" i="20"/>
  <c r="IT49" i="20"/>
  <c r="IT51" i="20"/>
  <c r="IT52" i="20"/>
  <c r="IT54" i="20"/>
  <c r="IT55" i="20"/>
  <c r="IT57" i="20"/>
  <c r="IT58" i="20"/>
  <c r="IT60" i="20"/>
  <c r="IT61" i="20"/>
  <c r="IT63" i="20"/>
  <c r="IT64" i="20"/>
  <c r="IT66" i="20"/>
  <c r="IT67" i="20"/>
  <c r="IT69" i="20"/>
  <c r="IT70" i="20"/>
  <c r="IT72" i="20"/>
  <c r="IT73" i="20"/>
  <c r="IT75" i="20"/>
  <c r="IT76" i="20"/>
  <c r="IT78" i="20"/>
  <c r="IT79" i="20"/>
  <c r="IT81" i="20"/>
  <c r="IT82" i="20"/>
  <c r="IT84" i="20"/>
  <c r="IT85" i="20"/>
  <c r="IT87" i="20"/>
  <c r="IT88" i="20"/>
  <c r="IT90" i="20"/>
  <c r="IT91" i="20"/>
  <c r="IT93" i="20"/>
  <c r="IT94" i="20"/>
  <c r="IT36" i="20"/>
  <c r="IT37" i="20"/>
  <c r="IT33" i="20"/>
  <c r="IT34" i="20"/>
  <c r="IT30" i="20"/>
  <c r="IT31" i="20"/>
  <c r="IT27" i="20"/>
  <c r="IT28" i="20"/>
  <c r="IT24" i="20"/>
  <c r="IT25" i="20"/>
  <c r="IT21" i="20"/>
  <c r="IT22" i="20"/>
  <c r="IT18" i="20"/>
  <c r="IT19" i="20"/>
  <c r="IT15" i="20"/>
  <c r="IT16" i="20"/>
  <c r="IT12" i="20"/>
  <c r="IT13" i="20"/>
  <c r="IT9" i="20"/>
  <c r="IT10" i="20"/>
  <c r="IT6" i="20"/>
  <c r="IT7" i="20"/>
  <c r="IT3" i="20"/>
  <c r="IT4" i="20"/>
  <c r="HW132" i="20" a="1"/>
  <c r="HW132" i="20" s="1"/>
  <c r="HW131" i="20" a="1"/>
  <c r="HW131" i="20" s="1"/>
  <c r="HW130" i="20" a="1"/>
  <c r="HW130" i="20" s="1"/>
  <c r="HW129" i="20" a="1"/>
  <c r="HW129" i="20" s="1"/>
  <c r="HW128" i="20" a="1"/>
  <c r="HW128" i="20" s="1"/>
  <c r="HW127" i="20" a="1"/>
  <c r="HW127" i="20" s="1"/>
  <c r="HW126" i="20" a="1"/>
  <c r="HW126" i="20" s="1"/>
  <c r="HW125" i="20" a="1"/>
  <c r="HW125" i="20" s="1"/>
  <c r="HW124" i="20" a="1"/>
  <c r="HW124" i="20" s="1"/>
  <c r="HW123" i="20" a="1"/>
  <c r="HW123" i="20" s="1"/>
  <c r="HW122" i="20" a="1"/>
  <c r="HW122" i="20" s="1"/>
  <c r="HW121" i="20" a="1"/>
  <c r="HW121" i="20" s="1"/>
  <c r="HW120" i="20" a="1"/>
  <c r="HW120" i="20" s="1"/>
  <c r="HW119" i="20" a="1"/>
  <c r="HW119" i="20" s="1"/>
  <c r="HW118" i="20" a="1"/>
  <c r="HW118" i="20" s="1"/>
  <c r="HW117" i="20" a="1"/>
  <c r="HW117" i="20" s="1"/>
  <c r="HW116" i="20" a="1"/>
  <c r="HW116" i="20" s="1"/>
  <c r="HW115" i="20" a="1"/>
  <c r="HW115" i="20" s="1"/>
  <c r="HW114" i="20" a="1"/>
  <c r="HW114" i="20" s="1"/>
  <c r="HW113" i="20" a="1"/>
  <c r="HW113" i="20" s="1"/>
  <c r="HW112" i="20" a="1"/>
  <c r="HW112" i="20" s="1"/>
  <c r="HW111" i="20" a="1"/>
  <c r="HW111" i="20" s="1"/>
  <c r="HW110" i="20" a="1"/>
  <c r="HW110" i="20" s="1"/>
  <c r="HW109" i="20" a="1"/>
  <c r="HW109" i="20" s="1"/>
  <c r="HW108" i="20" a="1"/>
  <c r="HW108" i="20" s="1"/>
  <c r="HW107" i="20" a="1"/>
  <c r="HW107" i="20" s="1"/>
  <c r="HW106" i="20" a="1"/>
  <c r="HW106" i="20" s="1"/>
  <c r="HW105" i="20" a="1"/>
  <c r="HW105" i="20" s="1"/>
  <c r="HW104" i="20" a="1"/>
  <c r="HW104" i="20" s="1"/>
  <c r="HW103" i="20" a="1"/>
  <c r="HW103" i="20" s="1"/>
  <c r="HW102" i="20" a="1"/>
  <c r="HW102" i="20" s="1"/>
  <c r="HV102" i="20" a="1"/>
  <c r="HV102" i="20" s="1"/>
  <c r="HU97" i="20" a="1"/>
  <c r="HU97" i="20" s="1"/>
  <c r="HX96" i="20" a="1"/>
  <c r="HX96" i="20" s="1"/>
  <c r="HU96" i="20" a="1"/>
  <c r="HU96" i="20" s="1"/>
  <c r="HV39" i="20"/>
  <c r="HV40" i="20"/>
  <c r="HV42" i="20"/>
  <c r="HV43" i="20"/>
  <c r="HV45" i="20"/>
  <c r="HV46" i="20"/>
  <c r="HV48" i="20"/>
  <c r="HV49" i="20"/>
  <c r="HV51" i="20"/>
  <c r="HV52" i="20"/>
  <c r="HV54" i="20"/>
  <c r="HV55" i="20"/>
  <c r="HV57" i="20"/>
  <c r="HV58" i="20"/>
  <c r="HV60" i="20"/>
  <c r="HV61" i="20"/>
  <c r="HV63" i="20"/>
  <c r="HV64" i="20"/>
  <c r="HV66" i="20"/>
  <c r="HV67" i="20"/>
  <c r="HV69" i="20"/>
  <c r="HV70" i="20"/>
  <c r="HV72" i="20"/>
  <c r="HV73" i="20"/>
  <c r="HV75" i="20"/>
  <c r="HV76" i="20"/>
  <c r="HV78" i="20"/>
  <c r="HV79" i="20"/>
  <c r="HV81" i="20"/>
  <c r="HV82" i="20"/>
  <c r="HV84" i="20"/>
  <c r="HV85" i="20"/>
  <c r="HV87" i="20"/>
  <c r="HV88" i="20"/>
  <c r="HV90" i="20"/>
  <c r="HV91" i="20"/>
  <c r="HV93" i="20"/>
  <c r="HV94" i="20"/>
  <c r="HV36" i="20"/>
  <c r="HV37" i="20"/>
  <c r="HV33" i="20"/>
  <c r="HV34" i="20"/>
  <c r="HV30" i="20"/>
  <c r="HV31" i="20"/>
  <c r="HV27" i="20"/>
  <c r="HV28" i="20"/>
  <c r="HV24" i="20"/>
  <c r="HV25" i="20"/>
  <c r="HV21" i="20"/>
  <c r="HV22" i="20"/>
  <c r="HV18" i="20"/>
  <c r="HV19" i="20"/>
  <c r="HV15" i="20"/>
  <c r="HV16" i="20"/>
  <c r="HV12" i="20"/>
  <c r="HV13" i="20"/>
  <c r="HV9" i="20"/>
  <c r="HV10" i="20"/>
  <c r="HV6" i="20"/>
  <c r="HV7" i="20"/>
  <c r="HV3" i="20"/>
  <c r="HV4" i="20"/>
  <c r="GY132" i="20" a="1"/>
  <c r="GY132" i="20" s="1"/>
  <c r="GY131" i="20" a="1"/>
  <c r="GY131" i="20" s="1"/>
  <c r="GY130" i="20" a="1"/>
  <c r="GY130" i="20" s="1"/>
  <c r="GY129" i="20" a="1"/>
  <c r="GY129" i="20" s="1"/>
  <c r="GY128" i="20" a="1"/>
  <c r="GY128" i="20" s="1"/>
  <c r="GY127" i="20" a="1"/>
  <c r="GY127" i="20" s="1"/>
  <c r="GY126" i="20" a="1"/>
  <c r="GY126" i="20" s="1"/>
  <c r="GY125" i="20" a="1"/>
  <c r="GY125" i="20" s="1"/>
  <c r="GY124" i="20" a="1"/>
  <c r="GY124" i="20" s="1"/>
  <c r="GY123" i="20" a="1"/>
  <c r="GY123" i="20" s="1"/>
  <c r="GY122" i="20" a="1"/>
  <c r="GY122" i="20" s="1"/>
  <c r="GY121" i="20" a="1"/>
  <c r="GY121" i="20" s="1"/>
  <c r="GY120" i="20" a="1"/>
  <c r="GY120" i="20" s="1"/>
  <c r="GY119" i="20" a="1"/>
  <c r="GY119" i="20" s="1"/>
  <c r="GY118" i="20" a="1"/>
  <c r="GY118" i="20" s="1"/>
  <c r="GY117" i="20" a="1"/>
  <c r="GY117" i="20" s="1"/>
  <c r="GY116" i="20" a="1"/>
  <c r="GY116" i="20" s="1"/>
  <c r="GY115" i="20" a="1"/>
  <c r="GY115" i="20" s="1"/>
  <c r="GY114" i="20" a="1"/>
  <c r="GY114" i="20" s="1"/>
  <c r="GY113" i="20" a="1"/>
  <c r="GY113" i="20" s="1"/>
  <c r="GY112" i="20" a="1"/>
  <c r="GY112" i="20" s="1"/>
  <c r="GY111" i="20" a="1"/>
  <c r="GY111" i="20" s="1"/>
  <c r="GY110" i="20" a="1"/>
  <c r="GY110" i="20" s="1"/>
  <c r="GY109" i="20" a="1"/>
  <c r="GY109" i="20" s="1"/>
  <c r="GY108" i="20" a="1"/>
  <c r="GY108" i="20" s="1"/>
  <c r="GY107" i="20" a="1"/>
  <c r="GY107" i="20" s="1"/>
  <c r="GY106" i="20" a="1"/>
  <c r="GY106" i="20" s="1"/>
  <c r="GY105" i="20" a="1"/>
  <c r="GY105" i="20" s="1"/>
  <c r="GY104" i="20" a="1"/>
  <c r="GY104" i="20" s="1"/>
  <c r="GY103" i="20" a="1"/>
  <c r="GY103" i="20" s="1"/>
  <c r="GY102" i="20" a="1"/>
  <c r="GY102" i="20" s="1"/>
  <c r="GX102" i="20" a="1"/>
  <c r="GX102" i="20" s="1"/>
  <c r="GW97" i="20" a="1"/>
  <c r="GW97" i="20" s="1"/>
  <c r="GZ96" i="20" a="1"/>
  <c r="GZ96" i="20" s="1"/>
  <c r="GW96" i="20" a="1"/>
  <c r="GW96" i="20" s="1"/>
  <c r="GW98" i="20" s="1"/>
  <c r="GX39" i="20"/>
  <c r="GX40" i="20"/>
  <c r="GX42" i="20"/>
  <c r="GX43" i="20"/>
  <c r="GX45" i="20"/>
  <c r="GX46" i="20"/>
  <c r="GX48" i="20"/>
  <c r="GX49" i="20"/>
  <c r="GX51" i="20"/>
  <c r="GX52" i="20"/>
  <c r="GX54" i="20"/>
  <c r="GX55" i="20"/>
  <c r="GX57" i="20"/>
  <c r="GX58" i="20"/>
  <c r="GX60" i="20"/>
  <c r="GX61" i="20"/>
  <c r="GX63" i="20"/>
  <c r="GX64" i="20"/>
  <c r="GX66" i="20"/>
  <c r="GX67" i="20"/>
  <c r="GX69" i="20"/>
  <c r="GX70" i="20"/>
  <c r="GX72" i="20"/>
  <c r="GX73" i="20"/>
  <c r="GX75" i="20"/>
  <c r="GX76" i="20"/>
  <c r="GX78" i="20"/>
  <c r="GX79" i="20"/>
  <c r="GX81" i="20"/>
  <c r="GX82" i="20"/>
  <c r="GX84" i="20"/>
  <c r="GX85" i="20"/>
  <c r="GX87" i="20"/>
  <c r="GX88" i="20"/>
  <c r="GX90" i="20"/>
  <c r="GX91" i="20"/>
  <c r="GX93" i="20"/>
  <c r="GX94" i="20"/>
  <c r="GX36" i="20"/>
  <c r="GX37" i="20"/>
  <c r="GX33" i="20"/>
  <c r="GX34" i="20"/>
  <c r="GX30" i="20"/>
  <c r="GX31" i="20"/>
  <c r="GX27" i="20"/>
  <c r="GX28" i="20"/>
  <c r="GX24" i="20"/>
  <c r="GX25" i="20"/>
  <c r="GX21" i="20"/>
  <c r="GX22" i="20"/>
  <c r="GX18" i="20"/>
  <c r="GX19" i="20"/>
  <c r="GX15" i="20"/>
  <c r="GX16" i="20"/>
  <c r="GX12" i="20"/>
  <c r="GX13" i="20"/>
  <c r="GX9" i="20"/>
  <c r="GX10" i="20"/>
  <c r="GX6" i="20"/>
  <c r="GX7" i="20"/>
  <c r="GX3" i="20"/>
  <c r="GX4" i="20"/>
  <c r="GA132" i="20" a="1"/>
  <c r="GA132" i="20" s="1"/>
  <c r="GA131" i="20" a="1"/>
  <c r="GA131" i="20" s="1"/>
  <c r="GA130" i="20" a="1"/>
  <c r="GA130" i="20" s="1"/>
  <c r="GA129" i="20" a="1"/>
  <c r="GA129" i="20" s="1"/>
  <c r="GA128" i="20" a="1"/>
  <c r="GA128" i="20" s="1"/>
  <c r="GA127" i="20" a="1"/>
  <c r="GA127" i="20" s="1"/>
  <c r="GA126" i="20" a="1"/>
  <c r="GA126" i="20" s="1"/>
  <c r="GA125" i="20" a="1"/>
  <c r="GA125" i="20" s="1"/>
  <c r="GA124" i="20" a="1"/>
  <c r="GA124" i="20" s="1"/>
  <c r="GA123" i="20" a="1"/>
  <c r="GA123" i="20" s="1"/>
  <c r="GA122" i="20" a="1"/>
  <c r="GA122" i="20" s="1"/>
  <c r="GA121" i="20" a="1"/>
  <c r="GA121" i="20" s="1"/>
  <c r="GA120" i="20" a="1"/>
  <c r="GA120" i="20" s="1"/>
  <c r="GA119" i="20" a="1"/>
  <c r="GA119" i="20" s="1"/>
  <c r="GA118" i="20" a="1"/>
  <c r="GA118" i="20" s="1"/>
  <c r="GA117" i="20" a="1"/>
  <c r="GA117" i="20" s="1"/>
  <c r="GA116" i="20" a="1"/>
  <c r="GA116" i="20" s="1"/>
  <c r="GA115" i="20" a="1"/>
  <c r="GA115" i="20" s="1"/>
  <c r="GA114" i="20" a="1"/>
  <c r="GA114" i="20" s="1"/>
  <c r="GA113" i="20" a="1"/>
  <c r="GA113" i="20" s="1"/>
  <c r="GA112" i="20" a="1"/>
  <c r="GA112" i="20" s="1"/>
  <c r="GA111" i="20" a="1"/>
  <c r="GA111" i="20" s="1"/>
  <c r="GA110" i="20" a="1"/>
  <c r="GA110" i="20" s="1"/>
  <c r="GA109" i="20" a="1"/>
  <c r="GA109" i="20" s="1"/>
  <c r="GA108" i="20" a="1"/>
  <c r="GA108" i="20" s="1"/>
  <c r="GA107" i="20" a="1"/>
  <c r="GA107" i="20" s="1"/>
  <c r="GA106" i="20" a="1"/>
  <c r="GA106" i="20" s="1"/>
  <c r="GA105" i="20" a="1"/>
  <c r="GA105" i="20" s="1"/>
  <c r="GA104" i="20" a="1"/>
  <c r="GA104" i="20" s="1"/>
  <c r="GA103" i="20" a="1"/>
  <c r="GA103" i="20" s="1"/>
  <c r="GA102" i="20" a="1"/>
  <c r="GA102" i="20"/>
  <c r="FZ102" i="20" a="1"/>
  <c r="FZ102" i="20"/>
  <c r="FY97" i="20" a="1"/>
  <c r="FY97" i="20" s="1"/>
  <c r="GB96" i="20" a="1"/>
  <c r="GB96" i="20" s="1"/>
  <c r="FY96" i="20" a="1"/>
  <c r="FY96" i="20" s="1"/>
  <c r="FZ39" i="20"/>
  <c r="FZ40" i="20"/>
  <c r="FZ42" i="20"/>
  <c r="FZ43" i="20"/>
  <c r="FZ45" i="20"/>
  <c r="FZ46" i="20"/>
  <c r="FZ48" i="20"/>
  <c r="FZ49" i="20"/>
  <c r="FZ51" i="20"/>
  <c r="FZ52" i="20"/>
  <c r="FZ54" i="20"/>
  <c r="FZ55" i="20"/>
  <c r="FZ57" i="20"/>
  <c r="FZ58" i="20"/>
  <c r="FZ60" i="20"/>
  <c r="FZ61" i="20"/>
  <c r="FZ63" i="20"/>
  <c r="FZ64" i="20"/>
  <c r="FZ66" i="20"/>
  <c r="FZ67" i="20"/>
  <c r="FZ69" i="20"/>
  <c r="FZ70" i="20"/>
  <c r="FZ72" i="20"/>
  <c r="FZ73" i="20"/>
  <c r="FZ75" i="20"/>
  <c r="FZ76" i="20"/>
  <c r="FZ78" i="20"/>
  <c r="FZ79" i="20"/>
  <c r="FZ81" i="20"/>
  <c r="FZ82" i="20"/>
  <c r="FZ84" i="20"/>
  <c r="FZ85" i="20"/>
  <c r="FZ87" i="20"/>
  <c r="FZ88" i="20"/>
  <c r="FZ90" i="20"/>
  <c r="FZ91" i="20"/>
  <c r="FZ93" i="20"/>
  <c r="FZ94" i="20"/>
  <c r="FZ36" i="20"/>
  <c r="FZ37" i="20"/>
  <c r="FZ33" i="20"/>
  <c r="FZ34" i="20"/>
  <c r="FZ30" i="20"/>
  <c r="FZ31" i="20"/>
  <c r="FZ27" i="20"/>
  <c r="FZ28" i="20"/>
  <c r="FZ24" i="20"/>
  <c r="FZ25" i="20"/>
  <c r="FZ21" i="20"/>
  <c r="FZ22" i="20"/>
  <c r="FZ18" i="20"/>
  <c r="FZ19" i="20"/>
  <c r="FZ15" i="20"/>
  <c r="FZ16" i="20"/>
  <c r="FZ12" i="20"/>
  <c r="FZ13" i="20"/>
  <c r="FZ9" i="20"/>
  <c r="FZ10" i="20"/>
  <c r="FZ6" i="20"/>
  <c r="FZ7" i="20"/>
  <c r="FZ3" i="20"/>
  <c r="FZ4" i="20"/>
  <c r="FC132" i="20" a="1"/>
  <c r="FC132" i="20" s="1"/>
  <c r="FC131" i="20" a="1"/>
  <c r="FC131" i="20" s="1"/>
  <c r="FC130" i="20" a="1"/>
  <c r="FC130" i="20" s="1"/>
  <c r="FC129" i="20" a="1"/>
  <c r="FC129" i="20" s="1"/>
  <c r="FC128" i="20" a="1"/>
  <c r="FC128" i="20" s="1"/>
  <c r="FC127" i="20" a="1"/>
  <c r="FC127" i="20" s="1"/>
  <c r="FC126" i="20" a="1"/>
  <c r="FC126" i="20" s="1"/>
  <c r="FC125" i="20" a="1"/>
  <c r="FC125" i="20" s="1"/>
  <c r="FC124" i="20" a="1"/>
  <c r="FC124" i="20" s="1"/>
  <c r="FC123" i="20" a="1"/>
  <c r="FC123" i="20" s="1"/>
  <c r="FC122" i="20" a="1"/>
  <c r="FC122" i="20" s="1"/>
  <c r="FC121" i="20" a="1"/>
  <c r="FC121" i="20"/>
  <c r="FC120" i="20" a="1"/>
  <c r="FC120" i="20"/>
  <c r="FC119" i="20" a="1"/>
  <c r="FC119" i="20"/>
  <c r="FC118" i="20" a="1"/>
  <c r="FC118" i="20"/>
  <c r="FC117" i="20" a="1"/>
  <c r="FC117" i="20"/>
  <c r="FC116" i="20" a="1"/>
  <c r="FC116" i="20" s="1"/>
  <c r="FC115" i="20" a="1"/>
  <c r="FC115" i="20" s="1"/>
  <c r="FC114" i="20" a="1"/>
  <c r="FC114" i="20" s="1"/>
  <c r="FC113" i="20" a="1"/>
  <c r="FC113" i="20" s="1"/>
  <c r="FC112" i="20" a="1"/>
  <c r="FC112" i="20" s="1"/>
  <c r="FC111" i="20" a="1"/>
  <c r="FC111" i="20" s="1"/>
  <c r="FC110" i="20" a="1"/>
  <c r="FC110" i="20" s="1"/>
  <c r="FC109" i="20" a="1"/>
  <c r="FC109" i="20" s="1"/>
  <c r="FC108" i="20" a="1"/>
  <c r="FC108" i="20" s="1"/>
  <c r="FC107" i="20" a="1"/>
  <c r="FC107" i="20" s="1"/>
  <c r="FC106" i="20" a="1"/>
  <c r="FC106" i="20" s="1"/>
  <c r="FC105" i="20" a="1"/>
  <c r="FC105" i="20" s="1"/>
  <c r="FC104" i="20" a="1"/>
  <c r="FC104" i="20" s="1"/>
  <c r="FC103" i="20" a="1"/>
  <c r="FC103" i="20" s="1"/>
  <c r="FC102" i="20" a="1"/>
  <c r="FC102" i="20" s="1"/>
  <c r="FB102" i="20" a="1"/>
  <c r="FB102" i="20" s="1"/>
  <c r="FA97" i="20" a="1"/>
  <c r="FA97" i="20" s="1"/>
  <c r="FD96" i="20" a="1"/>
  <c r="FD96" i="20" s="1"/>
  <c r="FA96" i="20" a="1"/>
  <c r="FA96" i="20" s="1"/>
  <c r="FA98" i="20" s="1"/>
  <c r="FB39" i="20"/>
  <c r="FB40" i="20"/>
  <c r="FB42" i="20"/>
  <c r="FB43" i="20"/>
  <c r="FB45" i="20"/>
  <c r="FB46" i="20"/>
  <c r="FB48" i="20"/>
  <c r="FB49" i="20"/>
  <c r="FB51" i="20"/>
  <c r="FB52" i="20"/>
  <c r="FB54" i="20"/>
  <c r="FB55" i="20"/>
  <c r="FB57" i="20"/>
  <c r="FB58" i="20"/>
  <c r="FB60" i="20"/>
  <c r="FB61" i="20"/>
  <c r="FB63" i="20"/>
  <c r="FB64" i="20"/>
  <c r="FB66" i="20"/>
  <c r="FB67" i="20"/>
  <c r="FB69" i="20"/>
  <c r="FB70" i="20"/>
  <c r="FB72" i="20"/>
  <c r="FB73" i="20"/>
  <c r="FB75" i="20"/>
  <c r="FB76" i="20"/>
  <c r="FB78" i="20"/>
  <c r="FB79" i="20"/>
  <c r="FB81" i="20"/>
  <c r="FB82" i="20"/>
  <c r="FB84" i="20"/>
  <c r="FB85" i="20"/>
  <c r="FB87" i="20"/>
  <c r="FB88" i="20"/>
  <c r="FB90" i="20"/>
  <c r="FB91" i="20"/>
  <c r="FB93" i="20"/>
  <c r="FB94" i="20"/>
  <c r="FB36" i="20"/>
  <c r="FB37" i="20"/>
  <c r="FB33" i="20"/>
  <c r="FB34" i="20"/>
  <c r="FB30" i="20"/>
  <c r="FB31" i="20"/>
  <c r="FB27" i="20"/>
  <c r="FB28" i="20"/>
  <c r="FB24" i="20"/>
  <c r="FB25" i="20"/>
  <c r="FB21" i="20"/>
  <c r="FB22" i="20"/>
  <c r="FB18" i="20"/>
  <c r="FB19" i="20"/>
  <c r="FB15" i="20"/>
  <c r="FB16" i="20"/>
  <c r="FB12" i="20"/>
  <c r="FB13" i="20"/>
  <c r="FB9" i="20"/>
  <c r="FB10" i="20"/>
  <c r="FB6" i="20"/>
  <c r="FB7" i="20"/>
  <c r="FB3" i="20"/>
  <c r="FB4" i="20"/>
  <c r="EE132" i="20" a="1"/>
  <c r="EE132" i="20" s="1"/>
  <c r="EE131" i="20" a="1"/>
  <c r="EE131" i="20" s="1"/>
  <c r="EE130" i="20" a="1"/>
  <c r="EE130" i="20" s="1"/>
  <c r="EE129" i="20" a="1"/>
  <c r="EE129" i="20" s="1"/>
  <c r="EE128" i="20" a="1"/>
  <c r="EE128" i="20" s="1"/>
  <c r="EE127" i="20" a="1"/>
  <c r="EE127" i="20" s="1"/>
  <c r="EE126" i="20" a="1"/>
  <c r="EE126" i="20" s="1"/>
  <c r="EE125" i="20" a="1"/>
  <c r="EE125" i="20" s="1"/>
  <c r="EE124" i="20" a="1"/>
  <c r="EE124" i="20" s="1"/>
  <c r="EE123" i="20" a="1"/>
  <c r="EE123" i="20" s="1"/>
  <c r="EE122" i="20" a="1"/>
  <c r="EE122" i="20" s="1"/>
  <c r="EE121" i="20" a="1"/>
  <c r="EE121" i="20" s="1"/>
  <c r="EE120" i="20" a="1"/>
  <c r="EE120" i="20" s="1"/>
  <c r="EE119" i="20" a="1"/>
  <c r="EE119" i="20" s="1"/>
  <c r="EE118" i="20" a="1"/>
  <c r="EE118" i="20" s="1"/>
  <c r="EE117" i="20" a="1"/>
  <c r="EE117" i="20" s="1"/>
  <c r="EE116" i="20" a="1"/>
  <c r="EE116" i="20" s="1"/>
  <c r="EE115" i="20" a="1"/>
  <c r="EE115" i="20" s="1"/>
  <c r="EE114" i="20" a="1"/>
  <c r="EE114" i="20" s="1"/>
  <c r="EE113" i="20" a="1"/>
  <c r="EE113" i="20" s="1"/>
  <c r="EE112" i="20" a="1"/>
  <c r="EE112" i="20" s="1"/>
  <c r="EE111" i="20" a="1"/>
  <c r="EE111" i="20" s="1"/>
  <c r="EE110" i="20" a="1"/>
  <c r="EE110" i="20" s="1"/>
  <c r="EE109" i="20" a="1"/>
  <c r="EE109" i="20" s="1"/>
  <c r="EE108" i="20" a="1"/>
  <c r="EE108" i="20" s="1"/>
  <c r="EE107" i="20" a="1"/>
  <c r="EE107" i="20" s="1"/>
  <c r="EE106" i="20" a="1"/>
  <c r="EE106" i="20" s="1"/>
  <c r="EE105" i="20" a="1"/>
  <c r="EE105" i="20" s="1"/>
  <c r="EE104" i="20" a="1"/>
  <c r="EE104" i="20" s="1"/>
  <c r="EE103" i="20" a="1"/>
  <c r="EE103" i="20" s="1"/>
  <c r="EE102" i="20" a="1"/>
  <c r="EE102" i="20" s="1"/>
  <c r="ED102" i="20" a="1"/>
  <c r="ED102" i="20" s="1"/>
  <c r="EC97" i="20" a="1"/>
  <c r="EC97" i="20" s="1"/>
  <c r="EF96" i="20" a="1"/>
  <c r="EF96" i="20" s="1"/>
  <c r="EC96" i="20" a="1"/>
  <c r="EC96" i="20" s="1"/>
  <c r="EC98" i="20" s="1"/>
  <c r="ED39" i="20"/>
  <c r="ED40" i="20"/>
  <c r="ED42" i="20"/>
  <c r="ED43" i="20"/>
  <c r="ED45" i="20"/>
  <c r="ED46" i="20"/>
  <c r="ED48" i="20"/>
  <c r="ED49" i="20"/>
  <c r="ED51" i="20"/>
  <c r="ED52" i="20"/>
  <c r="ED54" i="20"/>
  <c r="ED55" i="20"/>
  <c r="ED57" i="20"/>
  <c r="ED58" i="20"/>
  <c r="ED60" i="20"/>
  <c r="ED61" i="20"/>
  <c r="ED63" i="20"/>
  <c r="ED64" i="20"/>
  <c r="ED66" i="20"/>
  <c r="ED67" i="20"/>
  <c r="ED69" i="20"/>
  <c r="ED70" i="20"/>
  <c r="ED72" i="20"/>
  <c r="ED73" i="20"/>
  <c r="ED75" i="20"/>
  <c r="ED76" i="20"/>
  <c r="ED78" i="20"/>
  <c r="ED79" i="20"/>
  <c r="ED81" i="20"/>
  <c r="ED82" i="20"/>
  <c r="ED84" i="20"/>
  <c r="ED85" i="20"/>
  <c r="ED87" i="20"/>
  <c r="ED88" i="20"/>
  <c r="ED90" i="20"/>
  <c r="ED91" i="20"/>
  <c r="ED93" i="20"/>
  <c r="ED94" i="20"/>
  <c r="ED36" i="20"/>
  <c r="ED37" i="20"/>
  <c r="ED33" i="20"/>
  <c r="ED34" i="20"/>
  <c r="ED30" i="20"/>
  <c r="ED31" i="20"/>
  <c r="ED27" i="20"/>
  <c r="ED28" i="20"/>
  <c r="ED24" i="20"/>
  <c r="ED25" i="20"/>
  <c r="ED21" i="20"/>
  <c r="ED22" i="20"/>
  <c r="ED18" i="20"/>
  <c r="ED19" i="20"/>
  <c r="ED15" i="20"/>
  <c r="ED16" i="20"/>
  <c r="ED12" i="20"/>
  <c r="ED13" i="20"/>
  <c r="ED9" i="20"/>
  <c r="ED10" i="20"/>
  <c r="ED6" i="20"/>
  <c r="ED7" i="20"/>
  <c r="ED3" i="20"/>
  <c r="ED4" i="20"/>
  <c r="CH105" i="20" a="1"/>
  <c r="CH105" i="20" s="1"/>
  <c r="CH104" i="20" a="1"/>
  <c r="CH104" i="20" s="1"/>
  <c r="DF102" i="20" a="1"/>
  <c r="DF102" i="20" s="1"/>
  <c r="DF3" i="20"/>
  <c r="DG132" i="20" a="1"/>
  <c r="DG132" i="20" s="1"/>
  <c r="DG131" i="20" a="1"/>
  <c r="DG131" i="20" s="1"/>
  <c r="DG130" i="20" a="1"/>
  <c r="DG130" i="20" s="1"/>
  <c r="DG129" i="20" a="1"/>
  <c r="DG129" i="20" s="1"/>
  <c r="DG128" i="20" a="1"/>
  <c r="DG128" i="20" s="1"/>
  <c r="DG127" i="20" a="1"/>
  <c r="DG127" i="20" s="1"/>
  <c r="DG126" i="20" a="1"/>
  <c r="DG126" i="20" s="1"/>
  <c r="DG125" i="20" a="1"/>
  <c r="DG125" i="20" s="1"/>
  <c r="DG124" i="20" a="1"/>
  <c r="DG124" i="20" s="1"/>
  <c r="DG123" i="20" a="1"/>
  <c r="DG123" i="20" s="1"/>
  <c r="DG122" i="20" a="1"/>
  <c r="DG122" i="20" s="1"/>
  <c r="DG121" i="20" a="1"/>
  <c r="DG121" i="20" s="1"/>
  <c r="DG120" i="20" a="1"/>
  <c r="DG120" i="20" s="1"/>
  <c r="DG119" i="20" a="1"/>
  <c r="DG119" i="20" s="1"/>
  <c r="DG118" i="20" a="1"/>
  <c r="DG118" i="20" s="1"/>
  <c r="DG117" i="20" a="1"/>
  <c r="DG117" i="20" s="1"/>
  <c r="DG116" i="20" a="1"/>
  <c r="DG116" i="20" s="1"/>
  <c r="DG115" i="20" a="1"/>
  <c r="DG115" i="20" s="1"/>
  <c r="DG114" i="20" a="1"/>
  <c r="DG114" i="20" s="1"/>
  <c r="DG113" i="20" a="1"/>
  <c r="DG113" i="20" s="1"/>
  <c r="DG112" i="20" a="1"/>
  <c r="DG112" i="20" s="1"/>
  <c r="DG111" i="20" a="1"/>
  <c r="DG111" i="20" s="1"/>
  <c r="DG110" i="20" a="1"/>
  <c r="DG110" i="20" s="1"/>
  <c r="DG109" i="20" a="1"/>
  <c r="DG109" i="20" s="1"/>
  <c r="DG108" i="20" a="1"/>
  <c r="DG108" i="20" s="1"/>
  <c r="DG107" i="20" a="1"/>
  <c r="DG107" i="20" s="1"/>
  <c r="DG106" i="20" a="1"/>
  <c r="DG106" i="20" s="1"/>
  <c r="DG105" i="20" a="1"/>
  <c r="DG105" i="20" s="1"/>
  <c r="DG104" i="20" a="1"/>
  <c r="DG104" i="20" s="1"/>
  <c r="DG103" i="20" a="1"/>
  <c r="DG103" i="20" s="1"/>
  <c r="DG102" i="20" a="1"/>
  <c r="DG102" i="20" s="1"/>
  <c r="DE97" i="20" a="1"/>
  <c r="DE97" i="20" s="1"/>
  <c r="DH96" i="20" a="1"/>
  <c r="DH96" i="20" s="1"/>
  <c r="DE96" i="20" a="1"/>
  <c r="DE96" i="20" s="1"/>
  <c r="DE98" i="20" s="1"/>
  <c r="DF51" i="20"/>
  <c r="DF52" i="20"/>
  <c r="DF54" i="20"/>
  <c r="DF55" i="20"/>
  <c r="DF57" i="20"/>
  <c r="DF58" i="20"/>
  <c r="DF60" i="20"/>
  <c r="DF61" i="20"/>
  <c r="DF63" i="20"/>
  <c r="DF64" i="20"/>
  <c r="DF66" i="20"/>
  <c r="DF67" i="20"/>
  <c r="DF69" i="20"/>
  <c r="DF70" i="20"/>
  <c r="DF72" i="20"/>
  <c r="DF73" i="20"/>
  <c r="DF75" i="20"/>
  <c r="DF76" i="20"/>
  <c r="DF78" i="20"/>
  <c r="DF79" i="20"/>
  <c r="DF81" i="20"/>
  <c r="DF82" i="20"/>
  <c r="DF84" i="20"/>
  <c r="DF85" i="20"/>
  <c r="DF87" i="20"/>
  <c r="DF88" i="20"/>
  <c r="DF90" i="20"/>
  <c r="DF91" i="20"/>
  <c r="DF93" i="20"/>
  <c r="DF94" i="20"/>
  <c r="DF48" i="20"/>
  <c r="DF49" i="20"/>
  <c r="DF45" i="20"/>
  <c r="DF46" i="20"/>
  <c r="DF42" i="20"/>
  <c r="DF43" i="20"/>
  <c r="DF39" i="20"/>
  <c r="DF40" i="20"/>
  <c r="DF36" i="20"/>
  <c r="DF37" i="20"/>
  <c r="DF33" i="20"/>
  <c r="DF34" i="20"/>
  <c r="DF30" i="20"/>
  <c r="DF31" i="20"/>
  <c r="DF27" i="20"/>
  <c r="DF28" i="20"/>
  <c r="DF24" i="20"/>
  <c r="DF25" i="20"/>
  <c r="DF21" i="20"/>
  <c r="DF22" i="20"/>
  <c r="DF18" i="20"/>
  <c r="DF19" i="20"/>
  <c r="DF4" i="20"/>
  <c r="DF6" i="20"/>
  <c r="DF7" i="20"/>
  <c r="DF9" i="20"/>
  <c r="DF10" i="20"/>
  <c r="DF12" i="20"/>
  <c r="DF13" i="20"/>
  <c r="DF15" i="20"/>
  <c r="DF16" i="20"/>
  <c r="CJ96" i="20" a="1"/>
  <c r="CJ96" i="20" s="1"/>
  <c r="BI97" i="20" a="1"/>
  <c r="BI97" i="20" s="1"/>
  <c r="BI96" i="20" a="1"/>
  <c r="BI96" i="20" s="1"/>
  <c r="AK97" i="20" a="1"/>
  <c r="AK97" i="20" s="1"/>
  <c r="AK96" i="20" a="1"/>
  <c r="AK96" i="20" s="1"/>
  <c r="AK98" i="20" s="1"/>
  <c r="BV14" i="20"/>
  <c r="BT14" i="20"/>
  <c r="BS14" i="20"/>
  <c r="CG13" i="20"/>
  <c r="CG10" i="20"/>
  <c r="BZ11" i="20"/>
  <c r="BV11" i="20"/>
  <c r="BW11" i="20"/>
  <c r="BT11" i="20"/>
  <c r="BS11" i="20"/>
  <c r="BP11" i="20"/>
  <c r="BQ14" i="20"/>
  <c r="BW14" i="20"/>
  <c r="BY14" i="20"/>
  <c r="BZ14" i="20"/>
  <c r="BQ11" i="20"/>
  <c r="BY11" i="20"/>
  <c r="CC11" i="20"/>
  <c r="AA834" i="11"/>
  <c r="Z834" i="11"/>
  <c r="Y834" i="11"/>
  <c r="X834" i="11"/>
  <c r="W834" i="11"/>
  <c r="V834" i="11"/>
  <c r="AA833" i="11"/>
  <c r="Z833" i="11"/>
  <c r="Y833" i="11"/>
  <c r="X833" i="11"/>
  <c r="W833" i="11"/>
  <c r="V833" i="11"/>
  <c r="AA832" i="11"/>
  <c r="Z832" i="11"/>
  <c r="Y832" i="11"/>
  <c r="X832" i="11"/>
  <c r="W832" i="11"/>
  <c r="V832" i="11"/>
  <c r="AA831" i="11"/>
  <c r="Z831" i="11"/>
  <c r="Y831" i="11"/>
  <c r="X831" i="11"/>
  <c r="W831" i="11"/>
  <c r="V831" i="11"/>
  <c r="AA830" i="11"/>
  <c r="Z830" i="11"/>
  <c r="Y830" i="11"/>
  <c r="X830" i="11"/>
  <c r="W830" i="11"/>
  <c r="V830" i="11"/>
  <c r="AA829" i="11"/>
  <c r="Z829" i="11"/>
  <c r="Y829" i="11"/>
  <c r="X829" i="11"/>
  <c r="W829" i="11"/>
  <c r="V829" i="11"/>
  <c r="AA828" i="11"/>
  <c r="Z828" i="11"/>
  <c r="Y828" i="11"/>
  <c r="X828" i="11"/>
  <c r="W828" i="11"/>
  <c r="V828" i="11"/>
  <c r="AA827" i="11"/>
  <c r="Z827" i="11"/>
  <c r="Y827" i="11"/>
  <c r="X827" i="11"/>
  <c r="W827" i="11"/>
  <c r="V827" i="11"/>
  <c r="AA826" i="11"/>
  <c r="Z826" i="11"/>
  <c r="Y826" i="11"/>
  <c r="X826" i="11"/>
  <c r="W826" i="11"/>
  <c r="V826" i="11"/>
  <c r="AA825" i="11"/>
  <c r="Z825" i="11"/>
  <c r="Y825" i="11"/>
  <c r="X825" i="11"/>
  <c r="W825" i="11"/>
  <c r="V825" i="11"/>
  <c r="AA824" i="11"/>
  <c r="Z824" i="11"/>
  <c r="Y824" i="11"/>
  <c r="X824" i="11"/>
  <c r="W824" i="11"/>
  <c r="V824" i="11"/>
  <c r="AA823" i="11"/>
  <c r="Z823" i="11"/>
  <c r="Y823" i="11"/>
  <c r="X823" i="11"/>
  <c r="W823" i="11"/>
  <c r="V823" i="11"/>
  <c r="AA822" i="11"/>
  <c r="Z822" i="11"/>
  <c r="Y822" i="11"/>
  <c r="X822" i="11"/>
  <c r="W822" i="11"/>
  <c r="V822" i="11"/>
  <c r="AA821" i="11"/>
  <c r="Z821" i="11"/>
  <c r="Y821" i="11"/>
  <c r="X821" i="11"/>
  <c r="W821" i="11"/>
  <c r="V821" i="11"/>
  <c r="AA820" i="11"/>
  <c r="Z820" i="11"/>
  <c r="Y820" i="11"/>
  <c r="X820" i="11"/>
  <c r="W820" i="11"/>
  <c r="V820" i="11"/>
  <c r="AA819" i="11"/>
  <c r="Z819" i="11"/>
  <c r="Y819" i="11"/>
  <c r="X819" i="11"/>
  <c r="W819" i="11"/>
  <c r="V819" i="11"/>
  <c r="AA818" i="11"/>
  <c r="Z818" i="11"/>
  <c r="Y818" i="11"/>
  <c r="X818" i="11"/>
  <c r="W818" i="11"/>
  <c r="V818" i="11"/>
  <c r="AA814" i="11"/>
  <c r="Z814" i="11"/>
  <c r="Y814" i="11"/>
  <c r="X814" i="11"/>
  <c r="W814" i="11"/>
  <c r="V814" i="11"/>
  <c r="AA813" i="11"/>
  <c r="Z813" i="11"/>
  <c r="Y813" i="11"/>
  <c r="X813" i="11"/>
  <c r="W813" i="11"/>
  <c r="V813" i="11"/>
  <c r="AA812" i="11"/>
  <c r="Z812" i="11"/>
  <c r="Y812" i="11"/>
  <c r="X812" i="11"/>
  <c r="W812" i="11"/>
  <c r="V812" i="11"/>
  <c r="AA811" i="11"/>
  <c r="Z811" i="11"/>
  <c r="Y811" i="11"/>
  <c r="X811" i="11"/>
  <c r="W811" i="11"/>
  <c r="V811" i="11"/>
  <c r="AA810" i="11"/>
  <c r="Z810" i="11"/>
  <c r="Y810" i="11"/>
  <c r="X810" i="11"/>
  <c r="W810" i="11"/>
  <c r="V810" i="11"/>
  <c r="AA809" i="11"/>
  <c r="Z809" i="11"/>
  <c r="Y809" i="11"/>
  <c r="X809" i="11"/>
  <c r="W809" i="11"/>
  <c r="V809" i="11"/>
  <c r="AA808" i="11"/>
  <c r="Z808" i="11"/>
  <c r="Y808" i="11"/>
  <c r="X808" i="11"/>
  <c r="W808" i="11"/>
  <c r="V808" i="11"/>
  <c r="AA807" i="11"/>
  <c r="Z807" i="11"/>
  <c r="Y807" i="11"/>
  <c r="X807" i="11"/>
  <c r="W807" i="11"/>
  <c r="V807" i="11"/>
  <c r="AA806" i="11"/>
  <c r="Z806" i="11"/>
  <c r="Y806" i="11"/>
  <c r="X806" i="11"/>
  <c r="W806" i="11"/>
  <c r="V806" i="11"/>
  <c r="AA805" i="11"/>
  <c r="Z805" i="11"/>
  <c r="Y805" i="11"/>
  <c r="X805" i="11"/>
  <c r="W805" i="11"/>
  <c r="V805" i="11"/>
  <c r="AA804" i="11"/>
  <c r="Z804" i="11"/>
  <c r="Y804" i="11"/>
  <c r="X804" i="11"/>
  <c r="W804" i="11"/>
  <c r="V804" i="11"/>
  <c r="AA803" i="11"/>
  <c r="Z803" i="11"/>
  <c r="Y803" i="11"/>
  <c r="X803" i="11"/>
  <c r="W803" i="11"/>
  <c r="V803" i="11"/>
  <c r="AA802" i="11"/>
  <c r="Z802" i="11"/>
  <c r="Y802" i="11"/>
  <c r="X802" i="11"/>
  <c r="W802" i="11"/>
  <c r="V802" i="11"/>
  <c r="AA801" i="11"/>
  <c r="Z801" i="11"/>
  <c r="Y801" i="11"/>
  <c r="X801" i="11"/>
  <c r="W801" i="11"/>
  <c r="V801" i="11"/>
  <c r="LY32" i="20" a="1"/>
  <c r="LY32" i="20" s="1"/>
  <c r="LY31" i="20" a="1"/>
  <c r="LY31" i="20" s="1"/>
  <c r="LY30" i="20" a="1"/>
  <c r="LY30" i="20" s="1"/>
  <c r="LY29" i="20" a="1"/>
  <c r="LY29" i="20" s="1"/>
  <c r="LY28" i="20" a="1"/>
  <c r="LY28" i="20" s="1"/>
  <c r="LY27" i="20" a="1"/>
  <c r="LY27" i="20" s="1"/>
  <c r="LY26" i="20" a="1"/>
  <c r="LY26" i="20" s="1"/>
  <c r="LY25" i="20" a="1"/>
  <c r="LY25" i="20" s="1"/>
  <c r="LY24" i="20" a="1"/>
  <c r="LY24" i="20" s="1"/>
  <c r="LY23" i="20" a="1"/>
  <c r="LY23" i="20" s="1"/>
  <c r="LY22" i="20" a="1"/>
  <c r="LY22" i="20" s="1"/>
  <c r="LY21" i="20" a="1"/>
  <c r="LY21" i="20" s="1"/>
  <c r="LY20" i="20" a="1"/>
  <c r="LY20" i="20" s="1"/>
  <c r="LY19" i="20" a="1"/>
  <c r="LY19" i="20" s="1"/>
  <c r="LY18" i="20" a="1"/>
  <c r="LY18" i="20" s="1"/>
  <c r="LY17" i="20" a="1"/>
  <c r="LY17" i="20" s="1"/>
  <c r="LY16" i="20" a="1"/>
  <c r="LY16" i="20" s="1"/>
  <c r="LY15" i="20" a="1"/>
  <c r="LY15" i="20" s="1"/>
  <c r="LY14" i="20" a="1"/>
  <c r="LY14" i="20" s="1"/>
  <c r="LY13" i="20" a="1"/>
  <c r="LY13" i="20" s="1"/>
  <c r="LY12" i="20" a="1"/>
  <c r="LY12" i="20" s="1"/>
  <c r="LY11" i="20" a="1"/>
  <c r="LY11" i="20" s="1"/>
  <c r="LY10" i="20" a="1"/>
  <c r="LY10" i="20" s="1"/>
  <c r="LY9" i="20" a="1"/>
  <c r="LY9" i="20" s="1"/>
  <c r="LY8" i="20" a="1"/>
  <c r="LY8" i="20" s="1"/>
  <c r="LY7" i="20" a="1"/>
  <c r="LY7" i="20" s="1"/>
  <c r="LY6" i="20" a="1"/>
  <c r="LY6" i="20" s="1"/>
  <c r="LY5" i="20" a="1"/>
  <c r="LY5" i="20" s="1"/>
  <c r="LY4" i="20" a="1"/>
  <c r="LY4" i="20" s="1"/>
  <c r="LY3" i="20" a="1"/>
  <c r="LY3" i="20" s="1"/>
  <c r="MA33" i="20" a="1"/>
  <c r="MA33" i="20" s="1"/>
  <c r="MA32" i="20" a="1"/>
  <c r="MA32" i="20" s="1"/>
  <c r="MA31" i="20" a="1"/>
  <c r="MA31" i="20" s="1"/>
  <c r="MA30" i="20" a="1"/>
  <c r="MA30" i="20" s="1"/>
  <c r="MA29" i="20" a="1"/>
  <c r="MA29" i="20" s="1"/>
  <c r="MA28" i="20" a="1"/>
  <c r="MA28" i="20" s="1"/>
  <c r="MA27" i="20" a="1"/>
  <c r="MA27" i="20" s="1"/>
  <c r="MA26" i="20" a="1"/>
  <c r="MA26" i="20" s="1"/>
  <c r="MA25" i="20" a="1"/>
  <c r="MA25" i="20" s="1"/>
  <c r="MA24" i="20" a="1"/>
  <c r="MA24" i="20" s="1"/>
  <c r="MA23" i="20" a="1"/>
  <c r="MA23" i="20" s="1"/>
  <c r="MA22" i="20" a="1"/>
  <c r="MA22" i="20" s="1"/>
  <c r="MA21" i="20" a="1"/>
  <c r="MA21" i="20" s="1"/>
  <c r="MA20" i="20" a="1"/>
  <c r="MA20" i="20" s="1"/>
  <c r="MA19" i="20" a="1"/>
  <c r="MA19" i="20" s="1"/>
  <c r="MA18" i="20" a="1"/>
  <c r="MA18" i="20" s="1"/>
  <c r="MA17" i="20" a="1"/>
  <c r="MA17" i="20" s="1"/>
  <c r="MA16" i="20" a="1"/>
  <c r="MA16" i="20" s="1"/>
  <c r="MA15" i="20" a="1"/>
  <c r="MA15" i="20" s="1"/>
  <c r="MA14" i="20" a="1"/>
  <c r="MA14" i="20" s="1"/>
  <c r="MA13" i="20" a="1"/>
  <c r="MA13" i="20" s="1"/>
  <c r="MA12" i="20" a="1"/>
  <c r="MA12" i="20" s="1"/>
  <c r="MA11" i="20" a="1"/>
  <c r="MA11" i="20" s="1"/>
  <c r="MA10" i="20" a="1"/>
  <c r="MA10" i="20" s="1"/>
  <c r="MA9" i="20" a="1"/>
  <c r="MA9" i="20" s="1"/>
  <c r="MA7" i="20" a="1"/>
  <c r="MA7" i="20" s="1"/>
  <c r="MA6" i="20" a="1"/>
  <c r="MA6" i="20" s="1"/>
  <c r="MA5" i="20" a="1"/>
  <c r="MA5" i="20" s="1"/>
  <c r="MA4" i="20" a="1"/>
  <c r="MA4" i="20" s="1"/>
  <c r="MA3" i="20" a="1"/>
  <c r="MA3" i="20" s="1"/>
  <c r="CH94" i="20"/>
  <c r="CH93" i="20"/>
  <c r="CH91" i="20"/>
  <c r="CH90" i="20"/>
  <c r="CH88" i="20"/>
  <c r="CH87" i="20"/>
  <c r="CH82" i="20"/>
  <c r="CH81" i="20"/>
  <c r="CH79" i="20"/>
  <c r="CH78" i="20"/>
  <c r="CH76" i="20"/>
  <c r="CH75" i="20"/>
  <c r="CH73" i="20"/>
  <c r="CH72" i="20"/>
  <c r="CH70" i="20"/>
  <c r="CH69" i="20"/>
  <c r="CH67" i="20"/>
  <c r="CH66" i="20"/>
  <c r="CH64" i="20"/>
  <c r="CH63" i="20"/>
  <c r="CH61" i="20"/>
  <c r="CH60" i="20"/>
  <c r="CH58" i="20"/>
  <c r="CH57" i="20"/>
  <c r="CH54" i="20"/>
  <c r="CH51" i="20"/>
  <c r="CH48" i="20"/>
  <c r="CH45" i="20"/>
  <c r="CH43" i="20"/>
  <c r="CH42" i="20"/>
  <c r="CH39" i="20"/>
  <c r="CH36" i="20"/>
  <c r="CH34" i="20"/>
  <c r="CH33" i="20"/>
  <c r="CH31" i="20"/>
  <c r="CH30" i="20"/>
  <c r="CH28" i="20"/>
  <c r="CH27" i="20"/>
  <c r="CH25" i="20"/>
  <c r="CH24" i="20"/>
  <c r="CH21" i="20"/>
  <c r="CH19" i="20"/>
  <c r="CH18" i="20"/>
  <c r="CH15" i="20"/>
  <c r="CH12" i="20"/>
  <c r="CH9" i="20"/>
  <c r="CH6" i="20"/>
  <c r="CH3" i="20"/>
  <c r="AL94" i="20"/>
  <c r="AL93" i="20"/>
  <c r="AL90" i="20"/>
  <c r="AL87" i="20"/>
  <c r="AL84" i="20"/>
  <c r="AL81" i="20"/>
  <c r="AL78" i="20"/>
  <c r="AL75" i="20"/>
  <c r="AL73" i="20"/>
  <c r="AL72" i="20"/>
  <c r="AL69" i="20"/>
  <c r="AL66" i="20"/>
  <c r="AL63" i="20"/>
  <c r="AL60" i="20"/>
  <c r="AL57" i="20"/>
  <c r="AL54" i="20"/>
  <c r="AL52" i="20"/>
  <c r="AL51" i="20"/>
  <c r="AL48" i="20"/>
  <c r="AL45" i="20"/>
  <c r="AL42" i="20"/>
  <c r="AL40" i="20"/>
  <c r="AL39" i="20"/>
  <c r="AL36" i="20"/>
  <c r="AL33" i="20"/>
  <c r="AL31" i="20"/>
  <c r="AL30" i="20"/>
  <c r="AL27" i="20"/>
  <c r="AL25" i="20"/>
  <c r="AL24" i="20"/>
  <c r="AL21" i="20"/>
  <c r="AL18" i="20"/>
  <c r="AL15" i="20"/>
  <c r="AL13" i="20"/>
  <c r="AL12" i="20"/>
  <c r="AL10" i="20"/>
  <c r="AL9" i="20"/>
  <c r="AL7" i="20"/>
  <c r="AL6" i="20"/>
  <c r="AL4" i="20"/>
  <c r="AL3" i="20"/>
  <c r="BJ66" i="20"/>
  <c r="BJ69" i="20"/>
  <c r="BJ72" i="20"/>
  <c r="BJ75" i="20"/>
  <c r="BJ78" i="20"/>
  <c r="BJ81" i="20"/>
  <c r="BJ84" i="20"/>
  <c r="BJ85" i="20"/>
  <c r="BJ87" i="20"/>
  <c r="BJ88" i="20"/>
  <c r="BJ90" i="20"/>
  <c r="BJ91" i="20"/>
  <c r="BJ93" i="20"/>
  <c r="BJ94" i="20"/>
  <c r="BJ102" i="20" a="1"/>
  <c r="BJ102" i="20" s="1"/>
  <c r="BJ103" i="20" a="1"/>
  <c r="BJ103" i="20" s="1"/>
  <c r="BJ104" i="20" a="1"/>
  <c r="BJ104" i="20" s="1"/>
  <c r="BJ105" i="20" a="1"/>
  <c r="BJ105" i="20" s="1"/>
  <c r="BJ106" i="20" a="1"/>
  <c r="BJ106" i="20" s="1"/>
  <c r="BJ107" i="20" a="1"/>
  <c r="BJ107" i="20" s="1"/>
  <c r="BJ109" i="20" a="1"/>
  <c r="BJ109" i="20" s="1"/>
  <c r="BJ45" i="20"/>
  <c r="BJ48" i="20"/>
  <c r="BJ51" i="20"/>
  <c r="BJ54" i="20"/>
  <c r="BJ57" i="20"/>
  <c r="BJ60" i="20"/>
  <c r="BJ63" i="20"/>
  <c r="BJ64" i="20"/>
  <c r="BJ27" i="20"/>
  <c r="BJ30" i="20"/>
  <c r="BJ33" i="20"/>
  <c r="BJ36" i="20"/>
  <c r="BJ39" i="20"/>
  <c r="BJ42" i="20"/>
  <c r="BJ43" i="20"/>
  <c r="BJ9" i="20"/>
  <c r="BJ12" i="20"/>
  <c r="BJ15" i="20"/>
  <c r="BJ18" i="20"/>
  <c r="BJ21" i="20"/>
  <c r="BJ22" i="20"/>
  <c r="BJ24" i="20"/>
  <c r="BJ6" i="20"/>
  <c r="BK127" i="20" a="1"/>
  <c r="BK127" i="20" s="1"/>
  <c r="BK126" i="20" a="1"/>
  <c r="BK126" i="20" s="1"/>
  <c r="BK125" i="20" a="1"/>
  <c r="BK125" i="20" s="1"/>
  <c r="BK124" i="20" a="1"/>
  <c r="BK124" i="20" s="1"/>
  <c r="BK123" i="20" a="1"/>
  <c r="BK123" i="20" s="1"/>
  <c r="BK122" i="20" a="1"/>
  <c r="BK122" i="20" s="1"/>
  <c r="BK121" i="20" a="1"/>
  <c r="BK121" i="20" s="1"/>
  <c r="BK120" i="20" a="1"/>
  <c r="BK120" i="20" s="1"/>
  <c r="BK119" i="20" a="1"/>
  <c r="BK119" i="20" s="1"/>
  <c r="BK118" i="20" a="1"/>
  <c r="BK118" i="20" s="1"/>
  <c r="BK117" i="20" a="1"/>
  <c r="BK117" i="20" s="1"/>
  <c r="BK116" i="20" a="1"/>
  <c r="BK116" i="20" s="1"/>
  <c r="BK115" i="20" a="1"/>
  <c r="BK115" i="20" s="1"/>
  <c r="BK114" i="20" a="1"/>
  <c r="BK114" i="20" s="1"/>
  <c r="BK113" i="20" a="1"/>
  <c r="BK113" i="20" s="1"/>
  <c r="BK112" i="20" a="1"/>
  <c r="BK112" i="20" s="1"/>
  <c r="BK111" i="20" a="1"/>
  <c r="BK111" i="20" s="1"/>
  <c r="BK110" i="20" a="1"/>
  <c r="BK110" i="20" s="1"/>
  <c r="BK109" i="20" a="1"/>
  <c r="BK109" i="20" s="1"/>
  <c r="BK108" i="20" a="1"/>
  <c r="BK108" i="20" s="1"/>
  <c r="BK107" i="20" a="1"/>
  <c r="BK107" i="20" s="1"/>
  <c r="BK106" i="20" a="1"/>
  <c r="BK106" i="20" s="1"/>
  <c r="BK105" i="20" a="1"/>
  <c r="BK105" i="20" s="1"/>
  <c r="BK104" i="20" a="1"/>
  <c r="BK104" i="20" s="1"/>
  <c r="BK103" i="20" a="1"/>
  <c r="BK103" i="20" s="1"/>
  <c r="BK102" i="20" a="1"/>
  <c r="BK102" i="20" s="1"/>
  <c r="AB950" i="11" l="1"/>
  <c r="AB957" i="11" s="1"/>
  <c r="AB959" i="11" s="1"/>
  <c r="AB969" i="11"/>
  <c r="Z972" i="11"/>
  <c r="AB972" i="11"/>
  <c r="Z892" i="11"/>
  <c r="AB892" i="11"/>
  <c r="Z894" i="11"/>
  <c r="AB894" i="11"/>
  <c r="W892" i="11"/>
  <c r="X892" i="11"/>
  <c r="W894" i="11"/>
  <c r="Y894" i="11"/>
  <c r="Y901" i="11" s="1"/>
  <c r="AA894" i="11"/>
  <c r="AA892" i="11"/>
  <c r="W972" i="11"/>
  <c r="X972" i="11"/>
  <c r="Y972" i="11"/>
  <c r="X894" i="11"/>
  <c r="W1096" i="11"/>
  <c r="Y1096" i="11"/>
  <c r="AA1096" i="11"/>
  <c r="X1096" i="11"/>
  <c r="Z1096" i="11"/>
  <c r="CH55" i="20"/>
  <c r="X1074" i="11"/>
  <c r="Z1074" i="11"/>
  <c r="Y1074" i="11"/>
  <c r="W1074" i="11"/>
  <c r="AA1074" i="11"/>
  <c r="CH52" i="20"/>
  <c r="Z1055" i="11"/>
  <c r="Y1055" i="11"/>
  <c r="W1055" i="11"/>
  <c r="AA1055" i="11"/>
  <c r="X1055" i="11"/>
  <c r="AA1037" i="11"/>
  <c r="Z1037" i="11"/>
  <c r="Y1037" i="11"/>
  <c r="X1037" i="11"/>
  <c r="W1037" i="11"/>
  <c r="Z1018" i="11"/>
  <c r="AA1018" i="11"/>
  <c r="X1018" i="11"/>
  <c r="Y1018" i="11"/>
  <c r="W1018" i="11"/>
  <c r="AA1005" i="11"/>
  <c r="Z1005" i="11"/>
  <c r="Y1005" i="11"/>
  <c r="X1005" i="11"/>
  <c r="W1005" i="11"/>
  <c r="AA928" i="11"/>
  <c r="AA939" i="11" s="1"/>
  <c r="Z928" i="11"/>
  <c r="Z939" i="11" s="1"/>
  <c r="Y928" i="11"/>
  <c r="Y939" i="11" s="1"/>
  <c r="X928" i="11"/>
  <c r="X939" i="11" s="1"/>
  <c r="W928" i="11"/>
  <c r="W939" i="11" s="1"/>
  <c r="AA910" i="11"/>
  <c r="Z910" i="11"/>
  <c r="Y910" i="11"/>
  <c r="X910" i="11"/>
  <c r="W910" i="11"/>
  <c r="AA950" i="11"/>
  <c r="AA957" i="11" s="1"/>
  <c r="Z950" i="11"/>
  <c r="Z957" i="11" s="1"/>
  <c r="Y950" i="11"/>
  <c r="Y957" i="11" s="1"/>
  <c r="X950" i="11"/>
  <c r="X957" i="11" s="1"/>
  <c r="W950" i="11"/>
  <c r="W957" i="11" s="1"/>
  <c r="AA969" i="11"/>
  <c r="Z969" i="11"/>
  <c r="Y969" i="11"/>
  <c r="X969" i="11"/>
  <c r="W969" i="11"/>
  <c r="X988" i="11"/>
  <c r="X993" i="11" s="1"/>
  <c r="Z988" i="11"/>
  <c r="Z993" i="11" s="1"/>
  <c r="W988" i="11"/>
  <c r="W993" i="11" s="1"/>
  <c r="Y988" i="11"/>
  <c r="Y993" i="11" s="1"/>
  <c r="AA988" i="11"/>
  <c r="AA993" i="11" s="1"/>
  <c r="AA968" i="11"/>
  <c r="Z968" i="11"/>
  <c r="Y968" i="11"/>
  <c r="X968" i="11"/>
  <c r="W968" i="11"/>
  <c r="AA861" i="11"/>
  <c r="AA869" i="11" s="1"/>
  <c r="Z861" i="11"/>
  <c r="Z869" i="11" s="1"/>
  <c r="Y861" i="11"/>
  <c r="Y869" i="11" s="1"/>
  <c r="X861" i="11"/>
  <c r="X869" i="11" s="1"/>
  <c r="W861" i="11"/>
  <c r="W869" i="11" s="1"/>
  <c r="AA909" i="11"/>
  <c r="Z909" i="11"/>
  <c r="Y909" i="11"/>
  <c r="X909" i="11"/>
  <c r="W909" i="11"/>
  <c r="AA907" i="11"/>
  <c r="Z907" i="11"/>
  <c r="Y907" i="11"/>
  <c r="X907" i="11"/>
  <c r="W907" i="11"/>
  <c r="AA904" i="11"/>
  <c r="Z904" i="11"/>
  <c r="Y904" i="11"/>
  <c r="X904" i="11"/>
  <c r="W904" i="11"/>
  <c r="Z901" i="11"/>
  <c r="AA880" i="11"/>
  <c r="AA885" i="11" s="1"/>
  <c r="Z880" i="11"/>
  <c r="Z885" i="11" s="1"/>
  <c r="Y880" i="11"/>
  <c r="Y885" i="11" s="1"/>
  <c r="X880" i="11"/>
  <c r="X885" i="11" s="1"/>
  <c r="W880" i="11"/>
  <c r="W885" i="11" s="1"/>
  <c r="MQ34" i="20"/>
  <c r="MQ35" i="20" s="1"/>
  <c r="JR97" i="20" a="1"/>
  <c r="JR97" i="20" s="1"/>
  <c r="IS98" i="20"/>
  <c r="FY98" i="20"/>
  <c r="MM34" i="20"/>
  <c r="MM35" i="20" s="1"/>
  <c r="MK34" i="20"/>
  <c r="MK35" i="20" s="1"/>
  <c r="JR96" i="20" a="1"/>
  <c r="JR96" i="20" s="1"/>
  <c r="ME34" i="20"/>
  <c r="ME35" i="20" s="1"/>
  <c r="BI98" i="20"/>
  <c r="CH10" i="20"/>
  <c r="CH13" i="20"/>
  <c r="LY34" i="20"/>
  <c r="LY35" i="20" s="1"/>
  <c r="GX96" i="20" a="1"/>
  <c r="GX96" i="20" s="1"/>
  <c r="GX97" i="20" a="1"/>
  <c r="GX97" i="20" s="1"/>
  <c r="ED97" i="20" a="1"/>
  <c r="ED97" i="20" s="1"/>
  <c r="ED96" i="20" a="1"/>
  <c r="ED96" i="20" s="1"/>
  <c r="HU98" i="20"/>
  <c r="AA850" i="11"/>
  <c r="Z850" i="11"/>
  <c r="Y850" i="11"/>
  <c r="X850" i="11"/>
  <c r="W850" i="11"/>
  <c r="LN96" i="20" a="1"/>
  <c r="LN96" i="20" s="1"/>
  <c r="LN97" i="20" a="1"/>
  <c r="LN97" i="20" s="1"/>
  <c r="KP97" i="20" a="1"/>
  <c r="KP97" i="20" s="1"/>
  <c r="KP98" i="20" s="1"/>
  <c r="KP96" i="20" a="1"/>
  <c r="KP96" i="20" s="1"/>
  <c r="IT97" i="20" a="1"/>
  <c r="IT97" i="20" s="1"/>
  <c r="IT96" i="20" a="1"/>
  <c r="IT96" i="20" s="1"/>
  <c r="HV97" i="20" a="1"/>
  <c r="HV97" i="20" s="1"/>
  <c r="HV98" i="20" s="1"/>
  <c r="HV96" i="20" a="1"/>
  <c r="HV96" i="20" s="1"/>
  <c r="FZ96" i="20" a="1"/>
  <c r="FZ96" i="20" s="1"/>
  <c r="FZ97" i="20" a="1"/>
  <c r="FZ97" i="20" s="1"/>
  <c r="FB96" i="20" a="1"/>
  <c r="FB96" i="20" s="1"/>
  <c r="FB97" i="20" a="1"/>
  <c r="FB97" i="20" s="1"/>
  <c r="FB98" i="20" s="1"/>
  <c r="DF97" i="20" a="1"/>
  <c r="DF97" i="20" s="1"/>
  <c r="DF96" i="20" a="1"/>
  <c r="DF96" i="20" s="1"/>
  <c r="MA34" i="20"/>
  <c r="MA35" i="20" s="1"/>
  <c r="Y835" i="11"/>
  <c r="AA835" i="11"/>
  <c r="W835" i="11"/>
  <c r="Z835" i="11"/>
  <c r="X835" i="11"/>
  <c r="AA815" i="11"/>
  <c r="X815" i="11"/>
  <c r="Z815" i="11"/>
  <c r="W815" i="11"/>
  <c r="Y815" i="11"/>
  <c r="CI132" i="20" a="1"/>
  <c r="CI132" i="20" s="1"/>
  <c r="AM132" i="20" a="1"/>
  <c r="AM132" i="20" s="1"/>
  <c r="CI131" i="20" a="1"/>
  <c r="CI131" i="20" s="1"/>
  <c r="AM131" i="20" a="1"/>
  <c r="AM131" i="20" s="1"/>
  <c r="AL131" i="20" a="1"/>
  <c r="AL131" i="20" s="1"/>
  <c r="CI130" i="20" a="1"/>
  <c r="CI130" i="20" s="1"/>
  <c r="AM130" i="20" a="1"/>
  <c r="AM130" i="20" s="1"/>
  <c r="AL130" i="20" a="1"/>
  <c r="AL130" i="20" s="1"/>
  <c r="CI129" i="20" a="1"/>
  <c r="CI129" i="20" s="1"/>
  <c r="BK129" i="20" a="1"/>
  <c r="BK129" i="20" s="1"/>
  <c r="AM129" i="20" a="1"/>
  <c r="AM129" i="20" s="1"/>
  <c r="AL129" i="20" a="1"/>
  <c r="AL129" i="20" s="1"/>
  <c r="CI128" i="20" a="1"/>
  <c r="CI128" i="20" s="1"/>
  <c r="BK128" i="20" a="1"/>
  <c r="BK128" i="20" s="1"/>
  <c r="BJ128" i="20" a="1"/>
  <c r="BJ128" i="20" s="1"/>
  <c r="AM128" i="20" a="1"/>
  <c r="AM128" i="20" s="1"/>
  <c r="AL128" i="20" a="1"/>
  <c r="AL128" i="20" s="1"/>
  <c r="CI127" i="20" a="1"/>
  <c r="CI127" i="20" s="1"/>
  <c r="BJ127" i="20" a="1"/>
  <c r="BJ127" i="20" s="1"/>
  <c r="AM127" i="20" a="1"/>
  <c r="AM127" i="20" s="1"/>
  <c r="AL127" i="20" a="1"/>
  <c r="AL127" i="20" s="1"/>
  <c r="CI126" i="20" a="1"/>
  <c r="CI126" i="20" s="1"/>
  <c r="BJ126" i="20" a="1"/>
  <c r="BJ126" i="20" s="1"/>
  <c r="AM126" i="20" a="1"/>
  <c r="AM126" i="20" s="1"/>
  <c r="AL126" i="20" a="1"/>
  <c r="AL126" i="20" s="1"/>
  <c r="CI125" i="20" a="1"/>
  <c r="CI125" i="20" s="1"/>
  <c r="AM125" i="20" a="1"/>
  <c r="AM125" i="20" s="1"/>
  <c r="CI124" i="20" a="1"/>
  <c r="CI124" i="20" s="1"/>
  <c r="BJ124" i="20" a="1"/>
  <c r="BJ124" i="20" s="1"/>
  <c r="AM124" i="20" a="1"/>
  <c r="AM124" i="20" s="1"/>
  <c r="AL124" i="20" a="1"/>
  <c r="AL124" i="20" s="1"/>
  <c r="CI123" i="20" a="1"/>
  <c r="CI123" i="20" s="1"/>
  <c r="BJ123" i="20" a="1"/>
  <c r="BJ123" i="20" s="1"/>
  <c r="AM123" i="20" a="1"/>
  <c r="AM123" i="20" s="1"/>
  <c r="AL123" i="20" a="1"/>
  <c r="AL123" i="20" s="1"/>
  <c r="CI122" i="20" a="1"/>
  <c r="CI122" i="20" s="1"/>
  <c r="AM122" i="20" a="1"/>
  <c r="AM122" i="20" s="1"/>
  <c r="AL122" i="20" a="1"/>
  <c r="AL122" i="20" s="1"/>
  <c r="CI121" i="20" a="1"/>
  <c r="CI121" i="20" s="1"/>
  <c r="BJ121" i="20" a="1"/>
  <c r="BJ121" i="20" s="1"/>
  <c r="AM121" i="20" a="1"/>
  <c r="AM121" i="20" s="1"/>
  <c r="AL121" i="20" a="1"/>
  <c r="AL121" i="20" s="1"/>
  <c r="CI120" i="20" a="1"/>
  <c r="CI120" i="20" s="1"/>
  <c r="BJ120" i="20" a="1"/>
  <c r="BJ120" i="20" s="1"/>
  <c r="AM120" i="20" a="1"/>
  <c r="AM120" i="20" s="1"/>
  <c r="AL120" i="20" a="1"/>
  <c r="AL120" i="20" s="1"/>
  <c r="CI119" i="20" a="1"/>
  <c r="CI119" i="20" s="1"/>
  <c r="BJ119" i="20" a="1"/>
  <c r="BJ119" i="20" s="1"/>
  <c r="AM119" i="20" a="1"/>
  <c r="AM119" i="20" s="1"/>
  <c r="AL119" i="20" a="1"/>
  <c r="AL119" i="20" s="1"/>
  <c r="CI118" i="20" a="1"/>
  <c r="CI118" i="20" s="1"/>
  <c r="BJ118" i="20" a="1"/>
  <c r="BJ118" i="20" s="1"/>
  <c r="AM118" i="20" a="1"/>
  <c r="AM118" i="20" s="1"/>
  <c r="CI117" i="20" a="1"/>
  <c r="CI117" i="20" s="1"/>
  <c r="BJ117" i="20" a="1"/>
  <c r="BJ117" i="20" s="1"/>
  <c r="AM117" i="20" a="1"/>
  <c r="AM117" i="20" s="1"/>
  <c r="AL117" i="20" a="1"/>
  <c r="AL117" i="20" s="1"/>
  <c r="CI116" i="20" a="1"/>
  <c r="CI116" i="20" s="1"/>
  <c r="BJ116" i="20" a="1"/>
  <c r="BJ116" i="20" s="1"/>
  <c r="AM116" i="20" a="1"/>
  <c r="AM116" i="20" s="1"/>
  <c r="AL116" i="20" a="1"/>
  <c r="AL116" i="20" s="1"/>
  <c r="CI115" i="20" a="1"/>
  <c r="CI115" i="20" s="1"/>
  <c r="AM115" i="20" a="1"/>
  <c r="AM115" i="20" s="1"/>
  <c r="AL115" i="20" a="1"/>
  <c r="AL115" i="20" s="1"/>
  <c r="CI114" i="20" a="1"/>
  <c r="CI114" i="20" s="1"/>
  <c r="BJ114" i="20" a="1"/>
  <c r="BJ114" i="20" s="1"/>
  <c r="AM114" i="20" a="1"/>
  <c r="AM114" i="20" s="1"/>
  <c r="CI113" i="20" a="1"/>
  <c r="CI113" i="20" s="1"/>
  <c r="BJ113" i="20" a="1"/>
  <c r="BJ113" i="20" s="1"/>
  <c r="AM113" i="20" a="1"/>
  <c r="AM113" i="20" s="1"/>
  <c r="AL113" i="20" a="1"/>
  <c r="AL113" i="20" s="1"/>
  <c r="CI112" i="20" a="1"/>
  <c r="CI112" i="20" s="1"/>
  <c r="BJ112" i="20" a="1"/>
  <c r="BJ112" i="20" s="1"/>
  <c r="AM112" i="20" a="1"/>
  <c r="AM112" i="20" s="1"/>
  <c r="AL112" i="20" a="1"/>
  <c r="AL112" i="20" s="1"/>
  <c r="CI111" i="20" a="1"/>
  <c r="CI111" i="20" s="1"/>
  <c r="BJ111" i="20" a="1"/>
  <c r="BJ111" i="20" s="1"/>
  <c r="AM111" i="20" a="1"/>
  <c r="AM111" i="20" s="1"/>
  <c r="CI110" i="20" a="1"/>
  <c r="CI110" i="20" s="1"/>
  <c r="BJ110" i="20" a="1"/>
  <c r="BJ110" i="20" s="1"/>
  <c r="AM110" i="20" a="1"/>
  <c r="AM110" i="20" s="1"/>
  <c r="AL110" i="20" a="1"/>
  <c r="AL110" i="20" s="1"/>
  <c r="CI109" i="20" a="1"/>
  <c r="CI109" i="20" s="1"/>
  <c r="AM109" i="20" a="1"/>
  <c r="AM109" i="20" s="1"/>
  <c r="CI108" i="20" a="1"/>
  <c r="CI108" i="20" s="1"/>
  <c r="AM108" i="20" a="1"/>
  <c r="AM108" i="20" s="1"/>
  <c r="AL108" i="20" a="1"/>
  <c r="AL108" i="20" s="1"/>
  <c r="CI107" i="20" a="1"/>
  <c r="CI107" i="20" s="1"/>
  <c r="AM107" i="20" a="1"/>
  <c r="AM107" i="20" s="1"/>
  <c r="AL107" i="20" a="1"/>
  <c r="AL107" i="20" s="1"/>
  <c r="CI106" i="20" a="1"/>
  <c r="CI106" i="20" s="1"/>
  <c r="AM106" i="20" a="1"/>
  <c r="AM106" i="20" s="1"/>
  <c r="AL106" i="20" a="1"/>
  <c r="AL106" i="20" s="1"/>
  <c r="CI105" i="20" a="1"/>
  <c r="CI105" i="20" s="1"/>
  <c r="AM105" i="20" a="1"/>
  <c r="AM105" i="20" s="1"/>
  <c r="CI104" i="20" a="1"/>
  <c r="CI104" i="20" s="1"/>
  <c r="AM104" i="20" a="1"/>
  <c r="AM104" i="20" s="1"/>
  <c r="CI103" i="20" a="1"/>
  <c r="CI103" i="20" s="1"/>
  <c r="CH103" i="20" a="1"/>
  <c r="CH103" i="20" s="1"/>
  <c r="AM103" i="20" a="1"/>
  <c r="AM103" i="20" s="1"/>
  <c r="CI102" i="20" a="1"/>
  <c r="CI102" i="20" s="1"/>
  <c r="CH102" i="20" a="1"/>
  <c r="CH102" i="20" s="1"/>
  <c r="AM102" i="20" a="1"/>
  <c r="AM102" i="20" s="1"/>
  <c r="AL102" i="20" a="1"/>
  <c r="AL102" i="20" s="1"/>
  <c r="AN93" i="20"/>
  <c r="AL132" i="20" s="1" a="1"/>
  <c r="AL132" i="20" s="1"/>
  <c r="AD92" i="20"/>
  <c r="AC92" i="20"/>
  <c r="AA92" i="20"/>
  <c r="X92" i="20"/>
  <c r="W92" i="20"/>
  <c r="U92" i="20"/>
  <c r="T92" i="20"/>
  <c r="AG89" i="20"/>
  <c r="AF89" i="20"/>
  <c r="AD89" i="20"/>
  <c r="AC89" i="20"/>
  <c r="AA89" i="20"/>
  <c r="Z89" i="20"/>
  <c r="X89" i="20"/>
  <c r="W89" i="20"/>
  <c r="U89" i="20"/>
  <c r="T89" i="20"/>
  <c r="AD86" i="20"/>
  <c r="AC86" i="20"/>
  <c r="AA86" i="20"/>
  <c r="Z86" i="20"/>
  <c r="X86" i="20"/>
  <c r="W86" i="20"/>
  <c r="U86" i="20"/>
  <c r="T86" i="20"/>
  <c r="BL84" i="20"/>
  <c r="BL96" i="20" s="1" a="1"/>
  <c r="BL96" i="20" s="1"/>
  <c r="BE83" i="20"/>
  <c r="BD83" i="20"/>
  <c r="BB83" i="20"/>
  <c r="BA83" i="20"/>
  <c r="AY83" i="20"/>
  <c r="AX83" i="20"/>
  <c r="AV83" i="20"/>
  <c r="AU83" i="20"/>
  <c r="AS83" i="20"/>
  <c r="AR83" i="20"/>
  <c r="U83" i="20"/>
  <c r="AL82" i="20" s="1"/>
  <c r="BE80" i="20"/>
  <c r="BD80" i="20"/>
  <c r="BB80" i="20"/>
  <c r="BA80" i="20"/>
  <c r="AY80" i="20"/>
  <c r="AX80" i="20"/>
  <c r="AV80" i="20"/>
  <c r="AU80" i="20"/>
  <c r="AS80" i="20"/>
  <c r="AR80" i="20"/>
  <c r="AG80" i="20"/>
  <c r="AF80" i="20"/>
  <c r="AD80" i="20"/>
  <c r="AC80" i="20"/>
  <c r="AA80" i="20"/>
  <c r="Z80" i="20"/>
  <c r="X80" i="20"/>
  <c r="U80" i="20"/>
  <c r="T80" i="20"/>
  <c r="BB77" i="20"/>
  <c r="BA77" i="20"/>
  <c r="AY77" i="20"/>
  <c r="AX77" i="20"/>
  <c r="AV77" i="20"/>
  <c r="AS77" i="20"/>
  <c r="AR77" i="20"/>
  <c r="AG77" i="20"/>
  <c r="AF77" i="20"/>
  <c r="AD77" i="20"/>
  <c r="AC77" i="20"/>
  <c r="AA77" i="20"/>
  <c r="Z77" i="20"/>
  <c r="X77" i="20"/>
  <c r="U77" i="20"/>
  <c r="T77" i="20"/>
  <c r="BL72" i="20"/>
  <c r="BJ125" i="20" s="1" a="1"/>
  <c r="BJ125" i="20" s="1"/>
  <c r="AN72" i="20"/>
  <c r="AL125" i="20" s="1" a="1"/>
  <c r="AL125" i="20" s="1"/>
  <c r="BE71" i="20"/>
  <c r="BD71" i="20"/>
  <c r="BB71" i="20"/>
  <c r="BA71" i="20"/>
  <c r="AY71" i="20"/>
  <c r="AV71" i="20"/>
  <c r="AS71" i="20"/>
  <c r="AR71" i="20"/>
  <c r="AD71" i="20"/>
  <c r="AC71" i="20"/>
  <c r="AA71" i="20"/>
  <c r="Z71" i="20"/>
  <c r="X71" i="20"/>
  <c r="W71" i="20"/>
  <c r="U71" i="20"/>
  <c r="T71" i="20"/>
  <c r="BE68" i="20"/>
  <c r="BD68" i="20"/>
  <c r="BB68" i="20"/>
  <c r="BA68" i="20"/>
  <c r="AY68" i="20"/>
  <c r="AX68" i="20"/>
  <c r="AV68" i="20"/>
  <c r="AU68" i="20"/>
  <c r="AS68" i="20"/>
  <c r="AR68" i="20"/>
  <c r="AG68" i="20"/>
  <c r="AF68" i="20"/>
  <c r="AD68" i="20"/>
  <c r="AC68" i="20"/>
  <c r="AA68" i="20"/>
  <c r="Z68" i="20"/>
  <c r="X68" i="20"/>
  <c r="W68" i="20"/>
  <c r="U68" i="20"/>
  <c r="T68" i="20"/>
  <c r="AD65" i="20"/>
  <c r="AC65" i="20"/>
  <c r="AA65" i="20"/>
  <c r="Z65" i="20"/>
  <c r="X65" i="20"/>
  <c r="W65" i="20"/>
  <c r="U65" i="20"/>
  <c r="T65" i="20"/>
  <c r="BL63" i="20"/>
  <c r="BJ122" i="20" s="1" a="1"/>
  <c r="BJ122" i="20" s="1"/>
  <c r="BE62" i="20"/>
  <c r="BD62" i="20"/>
  <c r="BB62" i="20"/>
  <c r="BA62" i="20"/>
  <c r="AY62" i="20"/>
  <c r="AX62" i="20"/>
  <c r="AV62" i="20"/>
  <c r="AS62" i="20"/>
  <c r="U62" i="20"/>
  <c r="AL61" i="20" s="1"/>
  <c r="BE59" i="20"/>
  <c r="BD59" i="20"/>
  <c r="BB59" i="20"/>
  <c r="BA59" i="20"/>
  <c r="AY59" i="20"/>
  <c r="AX59" i="20"/>
  <c r="AV59" i="20"/>
  <c r="AU59" i="20"/>
  <c r="AS59" i="20"/>
  <c r="AR59" i="20"/>
  <c r="AG59" i="20"/>
  <c r="AF59" i="20"/>
  <c r="AD59" i="20"/>
  <c r="AC59" i="20"/>
  <c r="AA59" i="20"/>
  <c r="Z59" i="20"/>
  <c r="X59" i="20"/>
  <c r="U59" i="20"/>
  <c r="T59" i="20"/>
  <c r="BB56" i="20"/>
  <c r="BA56" i="20"/>
  <c r="AY56" i="20"/>
  <c r="AV56" i="20"/>
  <c r="AU56" i="20"/>
  <c r="AS56" i="20"/>
  <c r="AR56" i="20"/>
  <c r="AG56" i="20"/>
  <c r="AF56" i="20"/>
  <c r="AD56" i="20"/>
  <c r="AC56" i="20"/>
  <c r="AA56" i="20"/>
  <c r="Z56" i="20"/>
  <c r="X56" i="20"/>
  <c r="W56" i="20"/>
  <c r="U56" i="20"/>
  <c r="T56" i="20"/>
  <c r="AS53" i="20"/>
  <c r="BJ52" i="20" s="1"/>
  <c r="AN51" i="20"/>
  <c r="AN96" i="20" s="1" a="1"/>
  <c r="AN96" i="20" s="1"/>
  <c r="BE50" i="20"/>
  <c r="BD50" i="20"/>
  <c r="BB50" i="20"/>
  <c r="BA50" i="20"/>
  <c r="AY50" i="20"/>
  <c r="AX50" i="20"/>
  <c r="AV50" i="20"/>
  <c r="AU50" i="20"/>
  <c r="AS50" i="20"/>
  <c r="AR50" i="20"/>
  <c r="AD50" i="20"/>
  <c r="AC50" i="20"/>
  <c r="AA50" i="20"/>
  <c r="Z50" i="20"/>
  <c r="X50" i="20"/>
  <c r="W50" i="20"/>
  <c r="U50" i="20"/>
  <c r="T50" i="20"/>
  <c r="BE47" i="20"/>
  <c r="BD47" i="20"/>
  <c r="BB47" i="20"/>
  <c r="AY47" i="20"/>
  <c r="AX47" i="20"/>
  <c r="AV47" i="20"/>
  <c r="AU47" i="20"/>
  <c r="AS47" i="20"/>
  <c r="AR47" i="20"/>
  <c r="AG47" i="20"/>
  <c r="AF47" i="20"/>
  <c r="AD47" i="20"/>
  <c r="AC47" i="20"/>
  <c r="AA47" i="20"/>
  <c r="Z47" i="20"/>
  <c r="X47" i="20"/>
  <c r="U47" i="20"/>
  <c r="T47" i="20"/>
  <c r="AD44" i="20"/>
  <c r="AC44" i="20"/>
  <c r="AA44" i="20"/>
  <c r="Z44" i="20"/>
  <c r="X44" i="20"/>
  <c r="W44" i="20"/>
  <c r="U44" i="20"/>
  <c r="T44" i="20"/>
  <c r="BL42" i="20"/>
  <c r="BJ115" i="20" s="1" a="1"/>
  <c r="BJ115" i="20" s="1"/>
  <c r="BB41" i="20"/>
  <c r="BA41" i="20"/>
  <c r="AY41" i="20"/>
  <c r="AX41" i="20"/>
  <c r="AV41" i="20"/>
  <c r="AS41" i="20"/>
  <c r="AR41" i="20"/>
  <c r="AN39" i="20"/>
  <c r="AL114" i="20" s="1" a="1"/>
  <c r="AL114" i="20" s="1"/>
  <c r="BE38" i="20"/>
  <c r="BD38" i="20"/>
  <c r="BB38" i="20"/>
  <c r="BA38" i="20"/>
  <c r="AY38" i="20"/>
  <c r="AV38" i="20"/>
  <c r="AU38" i="20"/>
  <c r="AS38" i="20"/>
  <c r="AR38" i="20"/>
  <c r="AD38" i="20"/>
  <c r="AC38" i="20"/>
  <c r="AA38" i="20"/>
  <c r="X38" i="20"/>
  <c r="W38" i="20"/>
  <c r="U38" i="20"/>
  <c r="T38" i="20"/>
  <c r="BB35" i="20"/>
  <c r="BA35" i="20"/>
  <c r="AY35" i="20"/>
  <c r="AV35" i="20"/>
  <c r="AU35" i="20"/>
  <c r="AS35" i="20"/>
  <c r="AJ35" i="20"/>
  <c r="AG35" i="20"/>
  <c r="AF35" i="20"/>
  <c r="AD35" i="20"/>
  <c r="AA35" i="20"/>
  <c r="X35" i="20"/>
  <c r="U35" i="20"/>
  <c r="T35" i="20"/>
  <c r="LW33" i="20" a="1"/>
  <c r="LW33" i="20" s="1"/>
  <c r="LU33" i="20" a="1"/>
  <c r="LU33" i="20" s="1"/>
  <c r="LS33" i="20" a="1"/>
  <c r="LS33" i="20" s="1"/>
  <c r="LW32" i="20" a="1"/>
  <c r="LW32" i="20" s="1"/>
  <c r="LU32" i="20" a="1"/>
  <c r="LU32" i="20" s="1"/>
  <c r="LS32" i="20" a="1"/>
  <c r="LS32" i="20" s="1"/>
  <c r="AS32" i="20"/>
  <c r="BJ31" i="20" s="1"/>
  <c r="LW31" i="20" a="1"/>
  <c r="LW31" i="20" s="1"/>
  <c r="LU31" i="20" a="1"/>
  <c r="LU31" i="20" s="1"/>
  <c r="LS31" i="20" a="1"/>
  <c r="LS31" i="20" s="1"/>
  <c r="LW30" i="20" a="1"/>
  <c r="LW30" i="20" s="1"/>
  <c r="LU30" i="20" a="1"/>
  <c r="LU30" i="20" s="1"/>
  <c r="LS30" i="20" a="1"/>
  <c r="LS30" i="20" s="1"/>
  <c r="AN30" i="20"/>
  <c r="AL111" i="20" s="1" a="1"/>
  <c r="AL111" i="20" s="1"/>
  <c r="LW29" i="20" a="1"/>
  <c r="LW29" i="20" s="1"/>
  <c r="LU29" i="20" a="1"/>
  <c r="LU29" i="20" s="1"/>
  <c r="LS29" i="20" a="1"/>
  <c r="LS29" i="20" s="1"/>
  <c r="BE29" i="20"/>
  <c r="BD29" i="20"/>
  <c r="BB29" i="20"/>
  <c r="BA29" i="20"/>
  <c r="AY29" i="20"/>
  <c r="AX29" i="20"/>
  <c r="AV29" i="20"/>
  <c r="AS29" i="20"/>
  <c r="AR29" i="20"/>
  <c r="X29" i="20"/>
  <c r="W29" i="20"/>
  <c r="U29" i="20"/>
  <c r="T29" i="20"/>
  <c r="LW28" i="20" a="1"/>
  <c r="LW28" i="20" s="1"/>
  <c r="LU28" i="20" a="1"/>
  <c r="LU28" i="20" s="1"/>
  <c r="LS28" i="20" a="1"/>
  <c r="LS28" i="20" s="1"/>
  <c r="LW27" i="20" a="1"/>
  <c r="LW27" i="20" s="1"/>
  <c r="LU27" i="20" a="1"/>
  <c r="LU27" i="20" s="1"/>
  <c r="LS27" i="20" a="1"/>
  <c r="LS27" i="20" s="1"/>
  <c r="LW26" i="20" a="1"/>
  <c r="LW26" i="20" s="1"/>
  <c r="LU26" i="20" a="1"/>
  <c r="LU26" i="20" s="1"/>
  <c r="LS26" i="20" a="1"/>
  <c r="LS26" i="20" s="1"/>
  <c r="BE26" i="20"/>
  <c r="BD26" i="20"/>
  <c r="BB26" i="20"/>
  <c r="BA26" i="20"/>
  <c r="AY26" i="20"/>
  <c r="AX26" i="20"/>
  <c r="AV26" i="20"/>
  <c r="AU26" i="20"/>
  <c r="AS26" i="20"/>
  <c r="AR26" i="20"/>
  <c r="LW25" i="20" a="1"/>
  <c r="LW25" i="20" s="1"/>
  <c r="LU25" i="20" a="1"/>
  <c r="LU25" i="20" s="1"/>
  <c r="LS25" i="20" a="1"/>
  <c r="LS25" i="20" s="1"/>
  <c r="LW24" i="20" a="1"/>
  <c r="LW24" i="20" s="1"/>
  <c r="LU24" i="20" a="1"/>
  <c r="LU24" i="20" s="1"/>
  <c r="LS24" i="20" a="1"/>
  <c r="LS24" i="20" s="1"/>
  <c r="AN24" i="20"/>
  <c r="AL109" i="20" s="1" a="1"/>
  <c r="AL109" i="20" s="1"/>
  <c r="LW23" i="20" a="1"/>
  <c r="LW23" i="20" s="1"/>
  <c r="LU23" i="20" a="1"/>
  <c r="LU23" i="20" s="1"/>
  <c r="LS23" i="20" a="1"/>
  <c r="LS23" i="20" s="1"/>
  <c r="AD23" i="20"/>
  <c r="AC23" i="20"/>
  <c r="AA23" i="20"/>
  <c r="Z23" i="20"/>
  <c r="X23" i="20"/>
  <c r="W23" i="20"/>
  <c r="U23" i="20"/>
  <c r="T23" i="20"/>
  <c r="LW22" i="20" a="1"/>
  <c r="LW22" i="20" s="1"/>
  <c r="LU22" i="20" a="1"/>
  <c r="LU22" i="20" s="1"/>
  <c r="LS22" i="20" a="1"/>
  <c r="LS22" i="20" s="1"/>
  <c r="LW21" i="20" a="1"/>
  <c r="LW21" i="20" s="1"/>
  <c r="LU21" i="20" a="1"/>
  <c r="LU21" i="20" s="1"/>
  <c r="LS21" i="20" a="1"/>
  <c r="LS21" i="20" s="1"/>
  <c r="BL21" i="20"/>
  <c r="BJ108" i="20" s="1" a="1"/>
  <c r="BJ108" i="20" s="1"/>
  <c r="LW20" i="20" a="1"/>
  <c r="LW20" i="20" s="1"/>
  <c r="LU20" i="20" a="1"/>
  <c r="LU20" i="20" s="1"/>
  <c r="LS20" i="20" a="1"/>
  <c r="LS20" i="20" s="1"/>
  <c r="BB20" i="20"/>
  <c r="BA20" i="20"/>
  <c r="AY20" i="20"/>
  <c r="AX20" i="20"/>
  <c r="AV20" i="20"/>
  <c r="AS20" i="20"/>
  <c r="AR20" i="20"/>
  <c r="U20" i="20"/>
  <c r="AL19" i="20" s="1"/>
  <c r="LW19" i="20" a="1"/>
  <c r="LW19" i="20" s="1"/>
  <c r="LU19" i="20" a="1"/>
  <c r="LU19" i="20" s="1"/>
  <c r="LS19" i="20" a="1"/>
  <c r="LS19" i="20" s="1"/>
  <c r="LW18" i="20" a="1"/>
  <c r="LW18" i="20" s="1"/>
  <c r="LU18" i="20" a="1"/>
  <c r="LU18" i="20" s="1"/>
  <c r="LS18" i="20" a="1"/>
  <c r="LS18" i="20" s="1"/>
  <c r="LW17" i="20" a="1"/>
  <c r="LW17" i="20" s="1"/>
  <c r="LU17" i="20" a="1"/>
  <c r="LU17" i="20" s="1"/>
  <c r="LS17" i="20" a="1"/>
  <c r="LS17" i="20" s="1"/>
  <c r="BE17" i="20"/>
  <c r="BD17" i="20"/>
  <c r="BB17" i="20"/>
  <c r="AY17" i="20"/>
  <c r="AV17" i="20"/>
  <c r="AU17" i="20"/>
  <c r="AS17" i="20"/>
  <c r="AR17" i="20"/>
  <c r="AD17" i="20"/>
  <c r="AC17" i="20"/>
  <c r="X17" i="20"/>
  <c r="W17" i="20"/>
  <c r="U17" i="20"/>
  <c r="T17" i="20"/>
  <c r="O17" i="20"/>
  <c r="LW16" i="20" a="1"/>
  <c r="LW16" i="20" s="1"/>
  <c r="LU16" i="20" a="1"/>
  <c r="LU16" i="20" s="1"/>
  <c r="LS16" i="20" a="1"/>
  <c r="LS16" i="20" s="1"/>
  <c r="O16" i="20"/>
  <c r="LW15" i="20" a="1"/>
  <c r="LW15" i="20" s="1"/>
  <c r="LU15" i="20" a="1"/>
  <c r="LU15" i="20" s="1"/>
  <c r="LS15" i="20" a="1"/>
  <c r="LS15" i="20" s="1"/>
  <c r="O15" i="20"/>
  <c r="LW14" i="20" a="1"/>
  <c r="LW14" i="20" s="1"/>
  <c r="LU14" i="20" a="1"/>
  <c r="LU14" i="20" s="1"/>
  <c r="LS14" i="20" a="1"/>
  <c r="LS14" i="20" s="1"/>
  <c r="BB14" i="20"/>
  <c r="BA14" i="20"/>
  <c r="AY14" i="20"/>
  <c r="AX14" i="20"/>
  <c r="AV14" i="20"/>
  <c r="AU14" i="20"/>
  <c r="AS14" i="20"/>
  <c r="AR14" i="20"/>
  <c r="O14" i="20"/>
  <c r="LW13" i="20" a="1"/>
  <c r="LW13" i="20" s="1"/>
  <c r="LU13" i="20" a="1"/>
  <c r="LU13" i="20" s="1"/>
  <c r="LS13" i="20" a="1"/>
  <c r="LS13" i="20" s="1"/>
  <c r="O13" i="20"/>
  <c r="LW12" i="20" a="1"/>
  <c r="LW12" i="20" s="1"/>
  <c r="LU12" i="20" a="1"/>
  <c r="LU12" i="20" s="1"/>
  <c r="LS12" i="20" a="1"/>
  <c r="LS12" i="20" s="1"/>
  <c r="O12" i="20"/>
  <c r="LW11" i="20" a="1"/>
  <c r="LW11" i="20" s="1"/>
  <c r="LU11" i="20" a="1"/>
  <c r="LU11" i="20" s="1"/>
  <c r="LS11" i="20" a="1"/>
  <c r="LS11" i="20" s="1"/>
  <c r="AS11" i="20"/>
  <c r="BJ10" i="20" s="1"/>
  <c r="O11" i="20"/>
  <c r="LW10" i="20" a="1"/>
  <c r="LW10" i="20" s="1"/>
  <c r="LU10" i="20" a="1"/>
  <c r="LU10" i="20" s="1"/>
  <c r="LS10" i="20" a="1"/>
  <c r="LS10" i="20" s="1"/>
  <c r="O10" i="20"/>
  <c r="LW9" i="20" a="1"/>
  <c r="LW9" i="20" s="1"/>
  <c r="LU9" i="20" a="1"/>
  <c r="LU9" i="20" s="1"/>
  <c r="LS9" i="20" a="1"/>
  <c r="LS9" i="20" s="1"/>
  <c r="O9" i="20"/>
  <c r="P9" i="20" s="1"/>
  <c r="LW8" i="20" a="1"/>
  <c r="LW8" i="20" s="1"/>
  <c r="LU8" i="20" a="1"/>
  <c r="LU8" i="20" s="1"/>
  <c r="LS8" i="20" a="1"/>
  <c r="LS8" i="20" s="1"/>
  <c r="BQ8" i="20"/>
  <c r="CH7" i="20" s="1"/>
  <c r="BE8" i="20"/>
  <c r="BD8" i="20"/>
  <c r="BB8" i="20"/>
  <c r="BA8" i="20"/>
  <c r="AY8" i="20"/>
  <c r="AX8" i="20"/>
  <c r="AV8" i="20"/>
  <c r="AU8" i="20"/>
  <c r="AS8" i="20"/>
  <c r="AR8" i="20"/>
  <c r="O8" i="20"/>
  <c r="LW7" i="20" a="1"/>
  <c r="LW7" i="20" s="1"/>
  <c r="LU7" i="20" a="1"/>
  <c r="LU7" i="20" s="1"/>
  <c r="LS7" i="20" a="1"/>
  <c r="LS7" i="20" s="1"/>
  <c r="O7" i="20"/>
  <c r="LW6" i="20" a="1"/>
  <c r="LW6" i="20" s="1"/>
  <c r="LU6" i="20" a="1"/>
  <c r="LU6" i="20" s="1"/>
  <c r="LS6" i="20" a="1"/>
  <c r="LS6" i="20" s="1"/>
  <c r="AN6" i="20"/>
  <c r="AL103" i="20" s="1" a="1"/>
  <c r="AL103" i="20" s="1"/>
  <c r="O6" i="20"/>
  <c r="LW5" i="20" a="1"/>
  <c r="LW5" i="20" s="1"/>
  <c r="LU5" i="20" a="1"/>
  <c r="LU5" i="20" s="1"/>
  <c r="LS5" i="20" a="1"/>
  <c r="LS5" i="20" s="1"/>
  <c r="CC5" i="20"/>
  <c r="CB5" i="20"/>
  <c r="BZ5" i="20"/>
  <c r="BW5" i="20"/>
  <c r="BV5" i="20"/>
  <c r="BT5" i="20"/>
  <c r="BS5" i="20"/>
  <c r="BQ5" i="20"/>
  <c r="BP5" i="20"/>
  <c r="BE5" i="20"/>
  <c r="BD5" i="20"/>
  <c r="BB5" i="20"/>
  <c r="BA5" i="20"/>
  <c r="AY5" i="20"/>
  <c r="AX5" i="20"/>
  <c r="AV5" i="20"/>
  <c r="AU5" i="20"/>
  <c r="O5" i="20"/>
  <c r="LW4" i="20" a="1"/>
  <c r="LW4" i="20" s="1"/>
  <c r="LU4" i="20" a="1"/>
  <c r="LU4" i="20" s="1"/>
  <c r="LS4" i="20" a="1"/>
  <c r="LS4" i="20" s="1"/>
  <c r="CG4" i="20"/>
  <c r="O4" i="20"/>
  <c r="LW3" i="20" a="1"/>
  <c r="LW3" i="20" s="1"/>
  <c r="LU3" i="20" a="1"/>
  <c r="LU3" i="20" s="1"/>
  <c r="LS3" i="20" a="1"/>
  <c r="LS3" i="20" s="1"/>
  <c r="O3" i="20"/>
  <c r="BH97" i="13" a="1"/>
  <c r="BH97" i="13" s="1"/>
  <c r="AK97" i="13" a="1"/>
  <c r="AK97" i="13" s="1"/>
  <c r="CF101" i="13" a="1"/>
  <c r="CF101" i="13"/>
  <c r="CF100" i="13" a="1"/>
  <c r="CF100" i="13" s="1"/>
  <c r="BH96" i="13" a="1"/>
  <c r="BH96" i="13" s="1"/>
  <c r="BH98" i="13" s="1"/>
  <c r="AK96" i="13" a="1"/>
  <c r="AK96" i="13" s="1"/>
  <c r="AK98" i="13" s="1"/>
  <c r="CN4" i="13" a="1"/>
  <c r="CN4" i="13" s="1"/>
  <c r="CN5" i="13" a="1"/>
  <c r="CN5" i="13"/>
  <c r="CN6" i="13" a="1"/>
  <c r="CN6" i="13" s="1"/>
  <c r="CN7" i="13" a="1"/>
  <c r="CN7" i="13" s="1"/>
  <c r="CN8" i="13" a="1"/>
  <c r="CN8" i="13" s="1"/>
  <c r="CN9" i="13" a="1"/>
  <c r="CN9" i="13"/>
  <c r="CN10" i="13" a="1"/>
  <c r="CN10" i="13" s="1"/>
  <c r="CN11" i="13" a="1"/>
  <c r="CN11" i="13" s="1"/>
  <c r="CN12" i="13" a="1"/>
  <c r="CN12" i="13" s="1"/>
  <c r="CN13" i="13" a="1"/>
  <c r="CN13" i="13" s="1"/>
  <c r="CN14" i="13" a="1"/>
  <c r="CN14" i="13" s="1"/>
  <c r="CN15" i="13" a="1"/>
  <c r="CN15" i="13" s="1"/>
  <c r="CN16" i="13" a="1"/>
  <c r="CN16" i="13" s="1"/>
  <c r="CN17" i="13" a="1"/>
  <c r="CN17" i="13" s="1"/>
  <c r="CN18" i="13" a="1"/>
  <c r="CN18" i="13" s="1"/>
  <c r="CN19" i="13" a="1"/>
  <c r="CN19" i="13" s="1"/>
  <c r="CN20" i="13" a="1"/>
  <c r="CN20" i="13" s="1"/>
  <c r="CN21" i="13" a="1"/>
  <c r="CN21" i="13" s="1"/>
  <c r="CN22" i="13" a="1"/>
  <c r="CN22" i="13" s="1"/>
  <c r="CN23" i="13" a="1"/>
  <c r="CN23" i="13" s="1"/>
  <c r="CN24" i="13" a="1"/>
  <c r="CN24" i="13" s="1"/>
  <c r="CN25" i="13" a="1"/>
  <c r="CN25" i="13" s="1"/>
  <c r="CN26" i="13" a="1"/>
  <c r="CN26" i="13" s="1"/>
  <c r="CN27" i="13" a="1"/>
  <c r="CN27" i="13" s="1"/>
  <c r="CN28" i="13" a="1"/>
  <c r="CN28" i="13" s="1"/>
  <c r="CN29" i="13" a="1"/>
  <c r="CN29" i="13" s="1"/>
  <c r="CN30" i="13" a="1"/>
  <c r="CN30" i="13" s="1"/>
  <c r="CN31" i="13" a="1"/>
  <c r="CN31" i="13" s="1"/>
  <c r="CN32" i="13" a="1"/>
  <c r="CN32" i="13" s="1"/>
  <c r="CN33" i="13" a="1"/>
  <c r="CN33" i="13" s="1"/>
  <c r="CN3" i="13" a="1"/>
  <c r="CN3" i="13" s="1"/>
  <c r="BT5" i="13"/>
  <c r="BU5" i="13"/>
  <c r="BN5" i="13"/>
  <c r="BO5" i="13"/>
  <c r="CE4" i="13"/>
  <c r="CA5" i="13"/>
  <c r="BZ5" i="13"/>
  <c r="BO8" i="13"/>
  <c r="BX5" i="13"/>
  <c r="BR5" i="13"/>
  <c r="BQ5" i="13"/>
  <c r="CG128" i="13" a="1"/>
  <c r="CG128" i="13" s="1"/>
  <c r="CG129" i="13" a="1"/>
  <c r="CG129" i="13" s="1"/>
  <c r="CG130" i="13" a="1"/>
  <c r="CG130" i="13" s="1"/>
  <c r="CG127" i="13" a="1"/>
  <c r="CG127" i="13" s="1"/>
  <c r="CG126" i="13" a="1"/>
  <c r="CG126" i="13" s="1"/>
  <c r="CG125" i="13" a="1"/>
  <c r="CG125" i="13" s="1"/>
  <c r="CG124" i="13" a="1"/>
  <c r="CG124" i="13" s="1"/>
  <c r="CG123" i="13" a="1"/>
  <c r="CG123" i="13" s="1"/>
  <c r="CG122" i="13" a="1"/>
  <c r="CG122" i="13" s="1"/>
  <c r="CG121" i="13" a="1"/>
  <c r="CG121" i="13" s="1"/>
  <c r="CG120" i="13" a="1"/>
  <c r="CG120" i="13" s="1"/>
  <c r="CG119" i="13" a="1"/>
  <c r="CG119" i="13" s="1"/>
  <c r="CG118" i="13" a="1"/>
  <c r="CG118" i="13" s="1"/>
  <c r="CG117" i="13" a="1"/>
  <c r="CG117" i="13" s="1"/>
  <c r="CG116" i="13" a="1"/>
  <c r="CG116" i="13" s="1"/>
  <c r="CG115" i="13" a="1"/>
  <c r="CG115" i="13" s="1"/>
  <c r="CG114" i="13" a="1"/>
  <c r="CG114" i="13" s="1"/>
  <c r="CG113" i="13" a="1"/>
  <c r="CG113" i="13" s="1"/>
  <c r="CG112" i="13" a="1"/>
  <c r="CG112" i="13" s="1"/>
  <c r="CG111" i="13" a="1"/>
  <c r="CG111" i="13" s="1"/>
  <c r="CG110" i="13" a="1"/>
  <c r="CG110" i="13" s="1"/>
  <c r="CG109" i="13" a="1"/>
  <c r="CG109" i="13" s="1"/>
  <c r="CG108" i="13" a="1"/>
  <c r="CG108" i="13" s="1"/>
  <c r="CG107" i="13" a="1"/>
  <c r="CG107" i="13" s="1"/>
  <c r="CG106" i="13" a="1"/>
  <c r="CG106" i="13" s="1"/>
  <c r="CG105" i="13" a="1"/>
  <c r="CG105" i="13" s="1"/>
  <c r="CG104" i="13" a="1"/>
  <c r="CG104" i="13" s="1"/>
  <c r="CG103" i="13" a="1"/>
  <c r="CG103" i="13" s="1"/>
  <c r="CG102" i="13" a="1"/>
  <c r="CG102" i="13" s="1"/>
  <c r="CG101" i="13" a="1"/>
  <c r="CG101" i="13" s="1"/>
  <c r="CG100" i="13" a="1"/>
  <c r="CG100" i="13" s="1"/>
  <c r="CF95" i="13"/>
  <c r="CF93" i="13"/>
  <c r="CF92" i="13"/>
  <c r="CF90" i="13"/>
  <c r="CF89" i="13"/>
  <c r="CF87" i="13"/>
  <c r="CF86" i="13"/>
  <c r="CG96" i="13" a="1"/>
  <c r="CG96" i="13" s="1"/>
  <c r="CF84" i="13"/>
  <c r="CF81" i="13"/>
  <c r="CF78" i="13"/>
  <c r="CF77" i="13"/>
  <c r="CF75" i="13"/>
  <c r="CF72" i="13"/>
  <c r="CF69" i="13"/>
  <c r="CF68" i="13"/>
  <c r="CF66" i="13"/>
  <c r="CF65" i="13"/>
  <c r="CF63" i="13"/>
  <c r="CF60" i="13"/>
  <c r="CF57" i="13"/>
  <c r="CF54" i="13"/>
  <c r="CF53" i="13"/>
  <c r="CF51" i="13"/>
  <c r="CF48" i="13"/>
  <c r="CF45" i="13"/>
  <c r="CF44" i="13"/>
  <c r="CF42" i="13"/>
  <c r="CF39" i="13"/>
  <c r="CF38" i="13"/>
  <c r="CF36" i="13"/>
  <c r="CF33" i="13"/>
  <c r="CF32" i="13"/>
  <c r="CF30" i="13"/>
  <c r="CF27" i="13"/>
  <c r="CF26" i="13"/>
  <c r="CF24" i="13"/>
  <c r="CF23" i="13"/>
  <c r="CF21" i="13"/>
  <c r="CF18" i="13"/>
  <c r="CF15" i="13"/>
  <c r="CF12" i="13"/>
  <c r="CF11" i="13"/>
  <c r="CF9" i="13"/>
  <c r="CF6" i="13"/>
  <c r="CF3" i="13"/>
  <c r="CJ3" i="13" a="1"/>
  <c r="CJ3" i="13" s="1"/>
  <c r="CL3" i="13" a="1"/>
  <c r="CL3" i="13" s="1"/>
  <c r="CJ4" i="13" a="1"/>
  <c r="CJ4" i="13" s="1"/>
  <c r="CL4" i="13" a="1"/>
  <c r="CL4" i="13" s="1"/>
  <c r="CJ5" i="13" a="1"/>
  <c r="CJ5" i="13" s="1"/>
  <c r="CL5" i="13" a="1"/>
  <c r="CL5" i="13" s="1"/>
  <c r="CJ6" i="13" a="1"/>
  <c r="CJ6" i="13" s="1"/>
  <c r="CL6" i="13" a="1"/>
  <c r="CL6" i="13" s="1"/>
  <c r="CJ7" i="13" a="1"/>
  <c r="CJ7" i="13" s="1"/>
  <c r="CL7" i="13" a="1"/>
  <c r="CL7" i="13" s="1"/>
  <c r="CJ8" i="13" a="1"/>
  <c r="CJ8" i="13" s="1"/>
  <c r="CL8" i="13" a="1"/>
  <c r="CL8" i="13"/>
  <c r="CJ9" i="13" a="1"/>
  <c r="CJ9" i="13" s="1"/>
  <c r="CL9" i="13" a="1"/>
  <c r="CL9" i="13" s="1"/>
  <c r="CJ10" i="13" a="1"/>
  <c r="CJ10" i="13" s="1"/>
  <c r="CL10" i="13" a="1"/>
  <c r="CL10" i="13" s="1"/>
  <c r="CJ11" i="13" a="1"/>
  <c r="CJ11" i="13" s="1"/>
  <c r="CL11" i="13" a="1"/>
  <c r="CL11" i="13"/>
  <c r="CJ12" i="13" a="1"/>
  <c r="CJ12" i="13" s="1"/>
  <c r="CL12" i="13" a="1"/>
  <c r="CL12" i="13" s="1"/>
  <c r="CJ13" i="13" a="1"/>
  <c r="CJ13" i="13" s="1"/>
  <c r="CL13" i="13" a="1"/>
  <c r="CL13" i="13"/>
  <c r="CJ14" i="13" a="1"/>
  <c r="CJ14" i="13" s="1"/>
  <c r="CL14" i="13" a="1"/>
  <c r="CL14" i="13" s="1"/>
  <c r="CJ15" i="13" a="1"/>
  <c r="CJ15" i="13" s="1"/>
  <c r="CL15" i="13" a="1"/>
  <c r="CL15" i="13" s="1"/>
  <c r="CJ16" i="13" a="1"/>
  <c r="CJ16" i="13" s="1"/>
  <c r="CL16" i="13" a="1"/>
  <c r="CL16" i="13"/>
  <c r="CJ17" i="13" a="1"/>
  <c r="CJ17" i="13" s="1"/>
  <c r="CL17" i="13" a="1"/>
  <c r="CL17" i="13" s="1"/>
  <c r="CJ18" i="13" a="1"/>
  <c r="CJ18" i="13" s="1"/>
  <c r="CL18" i="13" a="1"/>
  <c r="CL18" i="13" s="1"/>
  <c r="CJ19" i="13" a="1"/>
  <c r="CJ19" i="13" s="1"/>
  <c r="CL19" i="13" a="1"/>
  <c r="CL19" i="13" s="1"/>
  <c r="CJ20" i="13" a="1"/>
  <c r="CJ20" i="13" s="1"/>
  <c r="CL20" i="13" a="1"/>
  <c r="CL20" i="13" s="1"/>
  <c r="CJ21" i="13" a="1"/>
  <c r="CJ21" i="13" s="1"/>
  <c r="CL21" i="13" a="1"/>
  <c r="CL21" i="13"/>
  <c r="CJ22" i="13" a="1"/>
  <c r="CJ22" i="13" s="1"/>
  <c r="CL22" i="13" a="1"/>
  <c r="CL22" i="13" s="1"/>
  <c r="CJ23" i="13" a="1"/>
  <c r="CJ23" i="13" s="1"/>
  <c r="CL23" i="13" a="1"/>
  <c r="CL23" i="13" s="1"/>
  <c r="CJ24" i="13" a="1"/>
  <c r="CJ24" i="13" s="1"/>
  <c r="CL24" i="13" a="1"/>
  <c r="CL24" i="13" s="1"/>
  <c r="CJ25" i="13" a="1"/>
  <c r="CJ25" i="13" s="1"/>
  <c r="CL25" i="13" a="1"/>
  <c r="CL25" i="13" s="1"/>
  <c r="CJ26" i="13" a="1"/>
  <c r="CJ26" i="13" s="1"/>
  <c r="CL26" i="13" a="1"/>
  <c r="CL26" i="13" s="1"/>
  <c r="CJ27" i="13" a="1"/>
  <c r="CJ27" i="13" s="1"/>
  <c r="CL27" i="13" a="1"/>
  <c r="CL27" i="13"/>
  <c r="CJ28" i="13" a="1"/>
  <c r="CJ28" i="13" s="1"/>
  <c r="CL28" i="13" a="1"/>
  <c r="CL28" i="13" s="1"/>
  <c r="CJ29" i="13" a="1"/>
  <c r="CJ29" i="13" s="1"/>
  <c r="CL29" i="13" a="1"/>
  <c r="CL29" i="13" s="1"/>
  <c r="CJ30" i="13" a="1"/>
  <c r="CJ30" i="13" s="1"/>
  <c r="CL30" i="13" a="1"/>
  <c r="CL30" i="13" s="1"/>
  <c r="CJ31" i="13" a="1"/>
  <c r="CJ31" i="13" s="1"/>
  <c r="CL31" i="13" a="1"/>
  <c r="CL31" i="13" s="1"/>
  <c r="CJ32" i="13" a="1"/>
  <c r="CJ32" i="13" s="1"/>
  <c r="CL32" i="13" a="1"/>
  <c r="CL32" i="13"/>
  <c r="CJ33" i="13" a="1"/>
  <c r="CJ33" i="13" s="1"/>
  <c r="CL33" i="13" a="1"/>
  <c r="CL33" i="13" s="1"/>
  <c r="V786" i="11"/>
  <c r="W786" i="11"/>
  <c r="X786" i="11"/>
  <c r="Y786" i="11"/>
  <c r="Z786" i="11"/>
  <c r="AA786" i="11"/>
  <c r="V787" i="11"/>
  <c r="W787" i="11"/>
  <c r="X787" i="11"/>
  <c r="Y787" i="11"/>
  <c r="Z787" i="11"/>
  <c r="AA787" i="11"/>
  <c r="V788" i="11"/>
  <c r="W788" i="11"/>
  <c r="X788" i="11"/>
  <c r="Y788" i="11"/>
  <c r="Z788" i="11"/>
  <c r="AA788" i="11"/>
  <c r="V789" i="11"/>
  <c r="W789" i="11"/>
  <c r="X789" i="11"/>
  <c r="Y789" i="11"/>
  <c r="Z789" i="11"/>
  <c r="AA789" i="11"/>
  <c r="V790" i="11"/>
  <c r="W790" i="11"/>
  <c r="X790" i="11"/>
  <c r="Y790" i="11"/>
  <c r="Z790" i="11"/>
  <c r="AA790" i="11"/>
  <c r="V791" i="11"/>
  <c r="W791" i="11"/>
  <c r="X791" i="11"/>
  <c r="Y791" i="11"/>
  <c r="Z791" i="11"/>
  <c r="AA791" i="11"/>
  <c r="V792" i="11"/>
  <c r="W792" i="11"/>
  <c r="X792" i="11"/>
  <c r="Y792" i="11"/>
  <c r="Z792" i="11"/>
  <c r="AA792" i="11"/>
  <c r="V793" i="11"/>
  <c r="W793" i="11"/>
  <c r="X793" i="11"/>
  <c r="Y793" i="11"/>
  <c r="Z793" i="11"/>
  <c r="AA793" i="11"/>
  <c r="V794" i="11"/>
  <c r="W794" i="11"/>
  <c r="X794" i="11"/>
  <c r="Y794" i="11"/>
  <c r="Z794" i="11"/>
  <c r="AA794" i="11"/>
  <c r="V795" i="11"/>
  <c r="W795" i="11"/>
  <c r="X795" i="11"/>
  <c r="Y795" i="11"/>
  <c r="Z795" i="11"/>
  <c r="AA795" i="11"/>
  <c r="V796" i="11"/>
  <c r="W796" i="11"/>
  <c r="X796" i="11"/>
  <c r="Y796" i="11"/>
  <c r="Z796" i="11"/>
  <c r="AA796" i="11"/>
  <c r="V797" i="11"/>
  <c r="W797" i="11"/>
  <c r="X797" i="11"/>
  <c r="Y797" i="11"/>
  <c r="Z797" i="11"/>
  <c r="AA797" i="11"/>
  <c r="V768" i="11"/>
  <c r="W768" i="11"/>
  <c r="X768" i="11"/>
  <c r="Y768" i="11"/>
  <c r="Z768" i="11"/>
  <c r="AA768" i="11"/>
  <c r="V755" i="11"/>
  <c r="W755" i="11"/>
  <c r="X755" i="11"/>
  <c r="Y755" i="11"/>
  <c r="Z755" i="11"/>
  <c r="AA755" i="11"/>
  <c r="V756" i="11"/>
  <c r="W756" i="11"/>
  <c r="X756" i="11"/>
  <c r="Y756" i="11"/>
  <c r="Z756" i="11"/>
  <c r="AA756" i="11"/>
  <c r="V757" i="11"/>
  <c r="W757" i="11"/>
  <c r="X757" i="11"/>
  <c r="Y757" i="11"/>
  <c r="Z757" i="11"/>
  <c r="AA757" i="11"/>
  <c r="V758" i="11"/>
  <c r="W758" i="11"/>
  <c r="X758" i="11"/>
  <c r="Y758" i="11"/>
  <c r="Z758" i="11"/>
  <c r="AA758" i="11"/>
  <c r="V759" i="11"/>
  <c r="W759" i="11"/>
  <c r="X759" i="11"/>
  <c r="Y759" i="11"/>
  <c r="Z759" i="11"/>
  <c r="AA759" i="11"/>
  <c r="V760" i="11"/>
  <c r="W760" i="11"/>
  <c r="X760" i="11"/>
  <c r="Y760" i="11"/>
  <c r="Z760" i="11"/>
  <c r="AA760" i="11"/>
  <c r="V761" i="11"/>
  <c r="X761" i="11"/>
  <c r="Y761" i="11"/>
  <c r="Z761" i="11"/>
  <c r="AA761" i="11"/>
  <c r="V762" i="11"/>
  <c r="W762" i="11"/>
  <c r="X762" i="11"/>
  <c r="Y762" i="11"/>
  <c r="Z762" i="11"/>
  <c r="AA762" i="11"/>
  <c r="V763" i="11"/>
  <c r="W763" i="11"/>
  <c r="X763" i="11"/>
  <c r="Y763" i="11"/>
  <c r="Z763" i="11"/>
  <c r="AA763" i="11"/>
  <c r="V764" i="11"/>
  <c r="W764" i="11"/>
  <c r="X764" i="11"/>
  <c r="Y764" i="11"/>
  <c r="Z764" i="11"/>
  <c r="AA764" i="11"/>
  <c r="U748" i="11"/>
  <c r="N8" i="17"/>
  <c r="BC83" i="13"/>
  <c r="BD83" i="13"/>
  <c r="AX83" i="13"/>
  <c r="AT83" i="13"/>
  <c r="AU83" i="13"/>
  <c r="AR83" i="13"/>
  <c r="AQ83" i="13"/>
  <c r="BI126" i="13" a="1"/>
  <c r="BI126" i="13" s="1"/>
  <c r="BA83" i="13"/>
  <c r="AZ83" i="13"/>
  <c r="AW83" i="13"/>
  <c r="V738" i="11"/>
  <c r="W738" i="11"/>
  <c r="X738" i="11"/>
  <c r="Y738" i="11"/>
  <c r="Z738" i="11"/>
  <c r="AA738" i="11"/>
  <c r="V739" i="11"/>
  <c r="W739" i="11"/>
  <c r="X739" i="11"/>
  <c r="Y739" i="11"/>
  <c r="Z739" i="11"/>
  <c r="AA739" i="11"/>
  <c r="V740" i="11"/>
  <c r="W740" i="11"/>
  <c r="X740" i="11"/>
  <c r="Y740" i="11"/>
  <c r="Z740" i="11"/>
  <c r="AA740" i="11"/>
  <c r="V741" i="11"/>
  <c r="W741" i="11"/>
  <c r="X741" i="11"/>
  <c r="Y741" i="11"/>
  <c r="Z741" i="11"/>
  <c r="AA741" i="11"/>
  <c r="V742" i="11"/>
  <c r="W742" i="11"/>
  <c r="X742" i="11"/>
  <c r="Y742" i="11"/>
  <c r="Z742" i="11"/>
  <c r="AA742" i="11"/>
  <c r="V743" i="11"/>
  <c r="W743" i="11"/>
  <c r="X743" i="11"/>
  <c r="Y743" i="11"/>
  <c r="Z743" i="11"/>
  <c r="AA743" i="11"/>
  <c r="V744" i="11"/>
  <c r="W744" i="11"/>
  <c r="X744" i="11"/>
  <c r="Y744" i="11"/>
  <c r="Z744" i="11"/>
  <c r="AA744" i="11"/>
  <c r="V745" i="11"/>
  <c r="W745" i="11"/>
  <c r="X745" i="11"/>
  <c r="Y745" i="11"/>
  <c r="Z745" i="11"/>
  <c r="AA745" i="11"/>
  <c r="V746" i="11"/>
  <c r="W746" i="11"/>
  <c r="X746" i="11"/>
  <c r="Y746" i="11"/>
  <c r="Z746" i="11"/>
  <c r="AA746" i="11"/>
  <c r="V747" i="11"/>
  <c r="W747" i="11"/>
  <c r="X747" i="11"/>
  <c r="Y747" i="11"/>
  <c r="Z747" i="11"/>
  <c r="AA747" i="11"/>
  <c r="V748" i="11"/>
  <c r="V749" i="11"/>
  <c r="W749" i="11"/>
  <c r="X749" i="11"/>
  <c r="Y749" i="11"/>
  <c r="Z749" i="11"/>
  <c r="AA749" i="11"/>
  <c r="V750" i="11"/>
  <c r="W750" i="11"/>
  <c r="X750" i="11"/>
  <c r="Y750" i="11"/>
  <c r="Z750" i="11"/>
  <c r="AA750" i="11"/>
  <c r="V751" i="11"/>
  <c r="W751" i="11"/>
  <c r="X751" i="11"/>
  <c r="Y751" i="11"/>
  <c r="Z751" i="11"/>
  <c r="AA751" i="11"/>
  <c r="U721" i="11"/>
  <c r="BC80" i="13"/>
  <c r="BD80" i="13"/>
  <c r="AW80" i="13"/>
  <c r="AX80" i="13"/>
  <c r="AT80" i="13"/>
  <c r="BI125" i="13" a="1"/>
  <c r="BI125" i="13" s="1"/>
  <c r="AQ80" i="13"/>
  <c r="BA80" i="13"/>
  <c r="AZ80" i="13"/>
  <c r="AU80" i="13"/>
  <c r="AR80" i="13"/>
  <c r="V715" i="11"/>
  <c r="W715" i="11"/>
  <c r="X715" i="11"/>
  <c r="Y715" i="11"/>
  <c r="Z715" i="11"/>
  <c r="AA715" i="11"/>
  <c r="V721" i="11"/>
  <c r="V722" i="11"/>
  <c r="W722" i="11"/>
  <c r="X722" i="11"/>
  <c r="Y722" i="11"/>
  <c r="Z722" i="11"/>
  <c r="AA722" i="11"/>
  <c r="V723" i="11"/>
  <c r="W723" i="11"/>
  <c r="X723" i="11"/>
  <c r="Y723" i="11"/>
  <c r="Z723" i="11"/>
  <c r="AA723" i="11"/>
  <c r="V724" i="11"/>
  <c r="W724" i="11"/>
  <c r="X724" i="11"/>
  <c r="Y724" i="11"/>
  <c r="Z724" i="11"/>
  <c r="AA724" i="11"/>
  <c r="V725" i="11"/>
  <c r="W725" i="11"/>
  <c r="X725" i="11"/>
  <c r="Y725" i="11"/>
  <c r="Z725" i="11"/>
  <c r="AA725" i="11"/>
  <c r="V726" i="11"/>
  <c r="W726" i="11"/>
  <c r="X726" i="11"/>
  <c r="Y726" i="11"/>
  <c r="Z726" i="11"/>
  <c r="AA726" i="11"/>
  <c r="V727" i="11"/>
  <c r="W727" i="11"/>
  <c r="X727" i="11"/>
  <c r="Y727" i="11"/>
  <c r="Z727" i="11"/>
  <c r="AA727" i="11"/>
  <c r="V728" i="11"/>
  <c r="W728" i="11"/>
  <c r="X728" i="11"/>
  <c r="Y728" i="11"/>
  <c r="Z728" i="11"/>
  <c r="AA728" i="11"/>
  <c r="V729" i="11"/>
  <c r="W729" i="11"/>
  <c r="X729" i="11"/>
  <c r="Y729" i="11"/>
  <c r="Z729" i="11"/>
  <c r="AA729" i="11"/>
  <c r="V730" i="11"/>
  <c r="W730" i="11"/>
  <c r="X730" i="11"/>
  <c r="Y730" i="11"/>
  <c r="Z730" i="11"/>
  <c r="AA730" i="11"/>
  <c r="V731" i="11"/>
  <c r="W731" i="11"/>
  <c r="X731" i="11"/>
  <c r="Y731" i="11"/>
  <c r="Z731" i="11"/>
  <c r="AA731" i="11"/>
  <c r="V732" i="11"/>
  <c r="W732" i="11"/>
  <c r="X732" i="11"/>
  <c r="Y732" i="11"/>
  <c r="Z732" i="11"/>
  <c r="AA732" i="11"/>
  <c r="V733" i="11"/>
  <c r="W733" i="11"/>
  <c r="X733" i="11"/>
  <c r="Y733" i="11"/>
  <c r="Z733" i="11"/>
  <c r="AA733" i="11"/>
  <c r="V734" i="11"/>
  <c r="W734" i="11"/>
  <c r="X734" i="11"/>
  <c r="Y734" i="11"/>
  <c r="Z734" i="11"/>
  <c r="AA734" i="11"/>
  <c r="V712" i="11"/>
  <c r="W712" i="11"/>
  <c r="X712" i="11"/>
  <c r="Y712" i="11"/>
  <c r="Z712" i="11"/>
  <c r="AA712" i="11"/>
  <c r="V713" i="11"/>
  <c r="W713" i="11"/>
  <c r="X713" i="11"/>
  <c r="Y713" i="11"/>
  <c r="Z713" i="11"/>
  <c r="AA713" i="11"/>
  <c r="V714" i="11"/>
  <c r="W714" i="11"/>
  <c r="X714" i="11"/>
  <c r="Y714" i="11"/>
  <c r="Z714" i="11"/>
  <c r="AA714" i="11"/>
  <c r="V716" i="11"/>
  <c r="W716" i="11"/>
  <c r="X716" i="11"/>
  <c r="Y716" i="11"/>
  <c r="Z716" i="11"/>
  <c r="AA716" i="11"/>
  <c r="BI124" i="13" a="1"/>
  <c r="BI124" i="13" s="1"/>
  <c r="C39" i="17"/>
  <c r="AW77" i="13"/>
  <c r="AX77" i="13"/>
  <c r="AQ77" i="13"/>
  <c r="AR77" i="13"/>
  <c r="BA77" i="13"/>
  <c r="AZ77" i="13"/>
  <c r="AU77" i="13"/>
  <c r="V686" i="11"/>
  <c r="W686" i="11"/>
  <c r="X686" i="11"/>
  <c r="Y686" i="11"/>
  <c r="Z686" i="11"/>
  <c r="AA686" i="11"/>
  <c r="V698" i="11"/>
  <c r="W698" i="11"/>
  <c r="X698" i="11"/>
  <c r="Y698" i="11"/>
  <c r="Z698" i="11"/>
  <c r="AA698" i="11"/>
  <c r="V699" i="11"/>
  <c r="W699" i="11"/>
  <c r="X699" i="11"/>
  <c r="Y699" i="11"/>
  <c r="Z699" i="11"/>
  <c r="AA699" i="11"/>
  <c r="V700" i="11"/>
  <c r="W700" i="11"/>
  <c r="X700" i="11"/>
  <c r="Y700" i="11"/>
  <c r="Z700" i="11"/>
  <c r="AA700" i="11"/>
  <c r="V701" i="11"/>
  <c r="W701" i="11"/>
  <c r="X701" i="11"/>
  <c r="Y701" i="11"/>
  <c r="Z701" i="11"/>
  <c r="AA701" i="11"/>
  <c r="V702" i="11"/>
  <c r="W702" i="11"/>
  <c r="X702" i="11"/>
  <c r="Y702" i="11"/>
  <c r="Z702" i="11"/>
  <c r="AA702" i="11"/>
  <c r="V703" i="11"/>
  <c r="W703" i="11"/>
  <c r="X703" i="11"/>
  <c r="Y703" i="11"/>
  <c r="Z703" i="11"/>
  <c r="AA703" i="11"/>
  <c r="V704" i="11"/>
  <c r="W704" i="11"/>
  <c r="X704" i="11"/>
  <c r="Y704" i="11"/>
  <c r="Z704" i="11"/>
  <c r="AA704" i="11"/>
  <c r="V705" i="11"/>
  <c r="W705" i="11"/>
  <c r="X705" i="11"/>
  <c r="Y705" i="11"/>
  <c r="Z705" i="11"/>
  <c r="AA705" i="11"/>
  <c r="V706" i="11"/>
  <c r="W706" i="11"/>
  <c r="X706" i="11"/>
  <c r="Y706" i="11"/>
  <c r="Z706" i="11"/>
  <c r="AA706" i="11"/>
  <c r="V707" i="11"/>
  <c r="W707" i="11"/>
  <c r="X707" i="11"/>
  <c r="Y707" i="11"/>
  <c r="Z707" i="11"/>
  <c r="AA707" i="11"/>
  <c r="V708" i="11"/>
  <c r="W708" i="11"/>
  <c r="X708" i="11"/>
  <c r="Y708" i="11"/>
  <c r="Z708" i="11"/>
  <c r="AA708" i="11"/>
  <c r="V709" i="11"/>
  <c r="W709" i="11"/>
  <c r="X709" i="11"/>
  <c r="Y709" i="11"/>
  <c r="Z709" i="11"/>
  <c r="AA709" i="11"/>
  <c r="V710" i="11"/>
  <c r="W710" i="11"/>
  <c r="X710" i="11"/>
  <c r="Y710" i="11"/>
  <c r="Z710" i="11"/>
  <c r="AA710" i="11"/>
  <c r="V711" i="11"/>
  <c r="W711" i="11"/>
  <c r="X711" i="11"/>
  <c r="Y711" i="11"/>
  <c r="Z711" i="11"/>
  <c r="AA711" i="11"/>
  <c r="V717" i="11"/>
  <c r="W717" i="11"/>
  <c r="X717" i="11"/>
  <c r="Y717" i="11"/>
  <c r="Z717" i="11"/>
  <c r="AA717" i="11"/>
  <c r="V691" i="11"/>
  <c r="V692" i="11"/>
  <c r="P27" i="17"/>
  <c r="O27" i="17"/>
  <c r="N27" i="17"/>
  <c r="P26" i="17"/>
  <c r="O26" i="17"/>
  <c r="N26" i="17"/>
  <c r="P25" i="17"/>
  <c r="O25" i="17"/>
  <c r="N25" i="17"/>
  <c r="P24" i="17"/>
  <c r="O24" i="17"/>
  <c r="N24" i="17"/>
  <c r="P23" i="17"/>
  <c r="O23" i="17"/>
  <c r="N23" i="17"/>
  <c r="P22" i="17"/>
  <c r="O22" i="17"/>
  <c r="N22" i="17"/>
  <c r="P21" i="17"/>
  <c r="O21" i="17"/>
  <c r="N21" i="17"/>
  <c r="P20" i="17"/>
  <c r="O20" i="17"/>
  <c r="N20" i="17"/>
  <c r="P19" i="17"/>
  <c r="O19" i="17"/>
  <c r="N19" i="17"/>
  <c r="P18" i="17"/>
  <c r="O18" i="17"/>
  <c r="N18" i="17"/>
  <c r="P17" i="17"/>
  <c r="O17" i="17"/>
  <c r="N17" i="17"/>
  <c r="P16" i="17"/>
  <c r="O16" i="17"/>
  <c r="N16" i="17"/>
  <c r="P15" i="17"/>
  <c r="O15" i="17"/>
  <c r="N15" i="17"/>
  <c r="P14" i="17"/>
  <c r="O14" i="17"/>
  <c r="N14" i="17"/>
  <c r="P13" i="17"/>
  <c r="O13" i="17"/>
  <c r="N13" i="17"/>
  <c r="P12" i="17"/>
  <c r="O12" i="17"/>
  <c r="N12" i="17"/>
  <c r="P11" i="17"/>
  <c r="O11" i="17"/>
  <c r="N11" i="17"/>
  <c r="P10" i="17"/>
  <c r="O10" i="17"/>
  <c r="N10" i="17"/>
  <c r="P9" i="17"/>
  <c r="O9" i="17"/>
  <c r="N9" i="17"/>
  <c r="P8" i="17"/>
  <c r="O8" i="17"/>
  <c r="P7" i="17"/>
  <c r="O7" i="17"/>
  <c r="N7" i="17"/>
  <c r="P6" i="17"/>
  <c r="O6" i="17"/>
  <c r="N6" i="17"/>
  <c r="P5" i="17"/>
  <c r="O5" i="17"/>
  <c r="N5" i="17"/>
  <c r="P4" i="17"/>
  <c r="O4" i="17"/>
  <c r="N4" i="17"/>
  <c r="E4" i="17"/>
  <c r="BI121" i="13" a="1"/>
  <c r="BI121" i="13" s="1"/>
  <c r="BI122" i="13" a="1"/>
  <c r="BI122" i="13" s="1"/>
  <c r="BC71" i="13"/>
  <c r="AU71" i="13"/>
  <c r="AQ50" i="13"/>
  <c r="AQ71" i="13"/>
  <c r="BJ72" i="13"/>
  <c r="AR74" i="13" s="1"/>
  <c r="V673" i="11"/>
  <c r="W673" i="11"/>
  <c r="X673" i="11"/>
  <c r="Y673" i="11"/>
  <c r="Z673" i="11"/>
  <c r="AA673" i="11"/>
  <c r="V677" i="11"/>
  <c r="W677" i="11"/>
  <c r="X677" i="11"/>
  <c r="Y677" i="11"/>
  <c r="Z677" i="11"/>
  <c r="AA677" i="11"/>
  <c r="V678" i="11"/>
  <c r="W678" i="11"/>
  <c r="X678" i="11"/>
  <c r="Y678" i="11"/>
  <c r="Z678" i="11"/>
  <c r="AA678" i="11"/>
  <c r="V679" i="11"/>
  <c r="W679" i="11"/>
  <c r="X679" i="11"/>
  <c r="Y679" i="11"/>
  <c r="Z679" i="11"/>
  <c r="AA679" i="11"/>
  <c r="V680" i="11"/>
  <c r="W680" i="11"/>
  <c r="X680" i="11"/>
  <c r="Y680" i="11"/>
  <c r="Z680" i="11"/>
  <c r="AA680" i="11"/>
  <c r="V681" i="11"/>
  <c r="W681" i="11"/>
  <c r="X681" i="11"/>
  <c r="Y681" i="11"/>
  <c r="Z681" i="11"/>
  <c r="AA681" i="11"/>
  <c r="V682" i="11"/>
  <c r="W682" i="11"/>
  <c r="X682" i="11"/>
  <c r="Y682" i="11"/>
  <c r="Z682" i="11"/>
  <c r="AA682" i="11"/>
  <c r="V683" i="11"/>
  <c r="W683" i="11"/>
  <c r="X683" i="11"/>
  <c r="Y683" i="11"/>
  <c r="Z683" i="11"/>
  <c r="AA683" i="11"/>
  <c r="V684" i="11"/>
  <c r="W684" i="11"/>
  <c r="X684" i="11"/>
  <c r="Y684" i="11"/>
  <c r="Z684" i="11"/>
  <c r="AA684" i="11"/>
  <c r="V685" i="11"/>
  <c r="W685" i="11"/>
  <c r="X685" i="11"/>
  <c r="Y685" i="11"/>
  <c r="Z685" i="11"/>
  <c r="AA685" i="11"/>
  <c r="V687" i="11"/>
  <c r="W687" i="11"/>
  <c r="X687" i="11"/>
  <c r="Y687" i="11"/>
  <c r="Z687" i="11"/>
  <c r="AA687" i="11"/>
  <c r="V688" i="11"/>
  <c r="W688" i="11"/>
  <c r="X688" i="11"/>
  <c r="Y688" i="11"/>
  <c r="Z688" i="11"/>
  <c r="AA688" i="11"/>
  <c r="V689" i="11"/>
  <c r="W689" i="11"/>
  <c r="X689" i="11"/>
  <c r="Y689" i="11"/>
  <c r="Z689" i="11"/>
  <c r="AA689" i="11"/>
  <c r="V690" i="11"/>
  <c r="W690" i="11"/>
  <c r="X690" i="11"/>
  <c r="Y690" i="11"/>
  <c r="Z690" i="11"/>
  <c r="AA690" i="11"/>
  <c r="W691" i="11"/>
  <c r="X691" i="11"/>
  <c r="Y691" i="11"/>
  <c r="Z691" i="11"/>
  <c r="AA691" i="11"/>
  <c r="W692" i="11"/>
  <c r="X692" i="11"/>
  <c r="Y692" i="11"/>
  <c r="Z692" i="11"/>
  <c r="AA692" i="11"/>
  <c r="V693" i="11"/>
  <c r="W693" i="11"/>
  <c r="X693" i="11"/>
  <c r="Y693" i="11"/>
  <c r="Z693" i="11"/>
  <c r="AA693" i="11"/>
  <c r="V694" i="11"/>
  <c r="W694" i="11"/>
  <c r="X694" i="11"/>
  <c r="Y694" i="11"/>
  <c r="Z694" i="11"/>
  <c r="AA694" i="11"/>
  <c r="BD68" i="13"/>
  <c r="BC68" i="13"/>
  <c r="BA68" i="13"/>
  <c r="AZ68" i="13"/>
  <c r="AX68" i="13"/>
  <c r="AW68" i="13"/>
  <c r="AT68" i="13"/>
  <c r="AQ68" i="13"/>
  <c r="AQ47" i="13"/>
  <c r="BD71" i="13"/>
  <c r="BA71" i="13"/>
  <c r="AZ71" i="13"/>
  <c r="AX71" i="13"/>
  <c r="AR71" i="13"/>
  <c r="AU68" i="13"/>
  <c r="AR68" i="13"/>
  <c r="E27" i="17"/>
  <c r="E26" i="17"/>
  <c r="E25" i="17"/>
  <c r="E24" i="17"/>
  <c r="E23" i="17"/>
  <c r="E22" i="17"/>
  <c r="E21" i="17"/>
  <c r="E20" i="17"/>
  <c r="E19" i="17"/>
  <c r="E18" i="17"/>
  <c r="E17" i="17"/>
  <c r="E16" i="17"/>
  <c r="E15" i="17"/>
  <c r="E14" i="17"/>
  <c r="E13" i="17"/>
  <c r="E12" i="17"/>
  <c r="E11" i="17"/>
  <c r="E10" i="17"/>
  <c r="E9" i="17"/>
  <c r="E8" i="17"/>
  <c r="E7" i="17"/>
  <c r="E6" i="17"/>
  <c r="E5" i="17"/>
  <c r="V656" i="11"/>
  <c r="W656" i="11"/>
  <c r="X656" i="11"/>
  <c r="Y656" i="11"/>
  <c r="Z656" i="11"/>
  <c r="AA656" i="11"/>
  <c r="B39" i="17"/>
  <c r="E39" i="17" s="1"/>
  <c r="E4" i="16"/>
  <c r="W668" i="11"/>
  <c r="V660" i="11"/>
  <c r="W660" i="11"/>
  <c r="X660" i="11"/>
  <c r="Y660" i="11"/>
  <c r="Z660" i="11"/>
  <c r="AA660" i="11"/>
  <c r="V661" i="11"/>
  <c r="W661" i="11"/>
  <c r="X661" i="11"/>
  <c r="Y661" i="11"/>
  <c r="Z661" i="11"/>
  <c r="AA661" i="11"/>
  <c r="V662" i="11"/>
  <c r="W662" i="11"/>
  <c r="X662" i="11"/>
  <c r="Y662" i="11"/>
  <c r="Z662" i="11"/>
  <c r="AA662" i="11"/>
  <c r="V663" i="11"/>
  <c r="W663" i="11"/>
  <c r="X663" i="11"/>
  <c r="Y663" i="11"/>
  <c r="Z663" i="11"/>
  <c r="AA663" i="11"/>
  <c r="V664" i="11"/>
  <c r="W664" i="11"/>
  <c r="X664" i="11"/>
  <c r="Y664" i="11"/>
  <c r="Z664" i="11"/>
  <c r="AA664" i="11"/>
  <c r="V665" i="11"/>
  <c r="W665" i="11"/>
  <c r="X665" i="11"/>
  <c r="Y665" i="11"/>
  <c r="Z665" i="11"/>
  <c r="AA665" i="11"/>
  <c r="V666" i="11"/>
  <c r="W666" i="11"/>
  <c r="X666" i="11"/>
  <c r="Y666" i="11"/>
  <c r="Z666" i="11"/>
  <c r="AA666" i="11"/>
  <c r="V667" i="11"/>
  <c r="W667" i="11"/>
  <c r="X667" i="11"/>
  <c r="Y667" i="11"/>
  <c r="Z667" i="11"/>
  <c r="AA667" i="11"/>
  <c r="V668" i="11"/>
  <c r="X668" i="11"/>
  <c r="Y668" i="11"/>
  <c r="Z668" i="11"/>
  <c r="AA668" i="11"/>
  <c r="V669" i="11"/>
  <c r="W669" i="11"/>
  <c r="X669" i="11"/>
  <c r="Y669" i="11"/>
  <c r="Z669" i="11"/>
  <c r="AA669" i="11"/>
  <c r="V670" i="11"/>
  <c r="W670" i="11"/>
  <c r="X670" i="11"/>
  <c r="Y670" i="11"/>
  <c r="Z670" i="11"/>
  <c r="AA670" i="11"/>
  <c r="V671" i="11"/>
  <c r="W671" i="11"/>
  <c r="X671" i="11"/>
  <c r="Y671" i="11"/>
  <c r="Z671" i="11"/>
  <c r="AA671" i="11"/>
  <c r="V672" i="11"/>
  <c r="W672" i="11"/>
  <c r="X672" i="11"/>
  <c r="Y672" i="11"/>
  <c r="Z672" i="11"/>
  <c r="AA672" i="11"/>
  <c r="V644" i="11"/>
  <c r="V645" i="11"/>
  <c r="W645" i="11"/>
  <c r="X645" i="11"/>
  <c r="Y645" i="11"/>
  <c r="Z645" i="11"/>
  <c r="AA645" i="11"/>
  <c r="V646" i="11"/>
  <c r="W646" i="11"/>
  <c r="X646" i="11"/>
  <c r="Y646" i="11"/>
  <c r="Z646" i="11"/>
  <c r="AA646" i="11"/>
  <c r="V647" i="11"/>
  <c r="W647" i="11"/>
  <c r="X647" i="11"/>
  <c r="Y647" i="11"/>
  <c r="Z647" i="11"/>
  <c r="AA647" i="11"/>
  <c r="V648" i="11"/>
  <c r="W648" i="11"/>
  <c r="X648" i="11"/>
  <c r="Y648" i="11"/>
  <c r="Z648" i="11"/>
  <c r="AA648" i="11"/>
  <c r="V649" i="11"/>
  <c r="W649" i="11"/>
  <c r="X649" i="11"/>
  <c r="Y649" i="11"/>
  <c r="Z649" i="11"/>
  <c r="AA649" i="11"/>
  <c r="V650" i="11"/>
  <c r="W650" i="11"/>
  <c r="X650" i="11"/>
  <c r="Y650" i="11"/>
  <c r="Z650" i="11"/>
  <c r="AA650" i="11"/>
  <c r="V651" i="11"/>
  <c r="W651" i="11"/>
  <c r="X651" i="11"/>
  <c r="Y651" i="11"/>
  <c r="Z651" i="11"/>
  <c r="AA651" i="11"/>
  <c r="V652" i="11"/>
  <c r="W652" i="11"/>
  <c r="X652" i="11"/>
  <c r="Y652" i="11"/>
  <c r="Z652" i="11"/>
  <c r="AA652" i="11"/>
  <c r="V653" i="11"/>
  <c r="W653" i="11"/>
  <c r="X653" i="11"/>
  <c r="Y653" i="11"/>
  <c r="Z653" i="11"/>
  <c r="AA653" i="11"/>
  <c r="V654" i="11"/>
  <c r="W654" i="11"/>
  <c r="X654" i="11"/>
  <c r="Y654" i="11"/>
  <c r="Z654" i="11"/>
  <c r="AA654" i="11"/>
  <c r="V655" i="11"/>
  <c r="W655" i="11"/>
  <c r="X655" i="11"/>
  <c r="Y655" i="11"/>
  <c r="Z655" i="11"/>
  <c r="AA655" i="11"/>
  <c r="V629" i="11"/>
  <c r="W629" i="11"/>
  <c r="X629" i="11"/>
  <c r="Y629" i="11"/>
  <c r="Z629" i="11"/>
  <c r="AA629" i="11"/>
  <c r="V630" i="11"/>
  <c r="W630" i="11"/>
  <c r="X630" i="11"/>
  <c r="Y630" i="11"/>
  <c r="Z630" i="11"/>
  <c r="AA630" i="11"/>
  <c r="V631" i="11"/>
  <c r="W631" i="11"/>
  <c r="X631" i="11"/>
  <c r="Y631" i="11"/>
  <c r="Z631" i="11"/>
  <c r="AA631" i="11"/>
  <c r="V632" i="11"/>
  <c r="W632" i="11"/>
  <c r="X632" i="11"/>
  <c r="Y632" i="11"/>
  <c r="Z632" i="11"/>
  <c r="AA632" i="11"/>
  <c r="V633" i="11"/>
  <c r="W633" i="11"/>
  <c r="X633" i="11"/>
  <c r="Y633" i="11"/>
  <c r="Z633" i="11"/>
  <c r="AA633" i="11"/>
  <c r="V634" i="11"/>
  <c r="W634" i="11"/>
  <c r="X634" i="11"/>
  <c r="Y634" i="11"/>
  <c r="Z634" i="11"/>
  <c r="AA634" i="11"/>
  <c r="V635" i="11"/>
  <c r="W635" i="11"/>
  <c r="X635" i="11"/>
  <c r="Y635" i="11"/>
  <c r="Z635" i="11"/>
  <c r="AA635" i="11"/>
  <c r="V636" i="11"/>
  <c r="W636" i="11"/>
  <c r="X636" i="11"/>
  <c r="Y636" i="11"/>
  <c r="Z636" i="11"/>
  <c r="AA636" i="11"/>
  <c r="V637" i="11"/>
  <c r="W637" i="11"/>
  <c r="X637" i="11"/>
  <c r="Y637" i="11"/>
  <c r="Z637" i="11"/>
  <c r="AA637" i="11"/>
  <c r="V638" i="11"/>
  <c r="W638" i="11"/>
  <c r="X638" i="11"/>
  <c r="Y638" i="11"/>
  <c r="Z638" i="11"/>
  <c r="AA638" i="11"/>
  <c r="V639" i="11"/>
  <c r="W639" i="11"/>
  <c r="X639" i="11"/>
  <c r="Y639" i="11"/>
  <c r="Z639" i="11"/>
  <c r="AA639" i="11"/>
  <c r="V640" i="11"/>
  <c r="X640" i="11"/>
  <c r="Y640" i="11"/>
  <c r="Z640" i="11"/>
  <c r="AA640" i="11"/>
  <c r="C43" i="17"/>
  <c r="B43" i="17"/>
  <c r="C42" i="17"/>
  <c r="B42" i="17"/>
  <c r="E42" i="17" s="1"/>
  <c r="C41" i="17"/>
  <c r="B41" i="17"/>
  <c r="E41" i="17" s="1"/>
  <c r="C40" i="17"/>
  <c r="B40" i="17"/>
  <c r="E40" i="17" s="1"/>
  <c r="B73" i="16"/>
  <c r="D73" i="16" s="1"/>
  <c r="B72" i="16"/>
  <c r="D72" i="16" s="1"/>
  <c r="B71" i="16"/>
  <c r="D71" i="16" s="1"/>
  <c r="B70" i="16"/>
  <c r="D70" i="16" s="1"/>
  <c r="B69" i="16"/>
  <c r="D69" i="16" s="1"/>
  <c r="B68" i="16"/>
  <c r="D68" i="16" s="1"/>
  <c r="J63" i="16"/>
  <c r="E63" i="16"/>
  <c r="J62" i="16"/>
  <c r="E62" i="16"/>
  <c r="J61" i="16"/>
  <c r="E61" i="16"/>
  <c r="J60" i="16"/>
  <c r="E60" i="16"/>
  <c r="J59" i="16"/>
  <c r="E59" i="16"/>
  <c r="J58" i="16"/>
  <c r="E58" i="16"/>
  <c r="J57" i="16"/>
  <c r="E57" i="16"/>
  <c r="J56" i="16"/>
  <c r="E56" i="16"/>
  <c r="J55" i="16"/>
  <c r="E55" i="16"/>
  <c r="J54" i="16"/>
  <c r="E54" i="16"/>
  <c r="J53" i="16"/>
  <c r="E53" i="16"/>
  <c r="J52" i="16"/>
  <c r="E52" i="16"/>
  <c r="J51" i="16"/>
  <c r="E51" i="16"/>
  <c r="J50" i="16"/>
  <c r="E50" i="16"/>
  <c r="J49" i="16"/>
  <c r="E49" i="16"/>
  <c r="J48" i="16"/>
  <c r="E48" i="16"/>
  <c r="J47" i="16"/>
  <c r="E47" i="16"/>
  <c r="J46" i="16"/>
  <c r="E46" i="16"/>
  <c r="J45" i="16"/>
  <c r="E45" i="16"/>
  <c r="J44" i="16"/>
  <c r="E44" i="16"/>
  <c r="J43" i="16"/>
  <c r="E43" i="16"/>
  <c r="J42" i="16"/>
  <c r="E42" i="16"/>
  <c r="J41" i="16"/>
  <c r="E41" i="16"/>
  <c r="J40" i="16"/>
  <c r="E40" i="16"/>
  <c r="J39" i="16"/>
  <c r="E39" i="16"/>
  <c r="J38" i="16"/>
  <c r="E38" i="16"/>
  <c r="J37" i="16"/>
  <c r="E37" i="16"/>
  <c r="J36" i="16"/>
  <c r="E36" i="16"/>
  <c r="J35" i="16"/>
  <c r="E35" i="16"/>
  <c r="J34" i="16"/>
  <c r="E34" i="16"/>
  <c r="J33" i="16"/>
  <c r="E33" i="16"/>
  <c r="J32" i="16"/>
  <c r="E32" i="16"/>
  <c r="J31" i="16"/>
  <c r="E31" i="16"/>
  <c r="J30" i="16"/>
  <c r="E30" i="16"/>
  <c r="J29" i="16"/>
  <c r="E29" i="16"/>
  <c r="J28" i="16"/>
  <c r="E28" i="16"/>
  <c r="J27" i="16"/>
  <c r="E27" i="16"/>
  <c r="J26" i="16"/>
  <c r="E26" i="16"/>
  <c r="J25" i="16"/>
  <c r="E25" i="16"/>
  <c r="J24" i="16"/>
  <c r="E24" i="16"/>
  <c r="J23" i="16"/>
  <c r="E23" i="16"/>
  <c r="J22" i="16"/>
  <c r="E22" i="16"/>
  <c r="J21" i="16"/>
  <c r="E21" i="16"/>
  <c r="J20" i="16"/>
  <c r="E20" i="16"/>
  <c r="J19" i="16"/>
  <c r="E19" i="16"/>
  <c r="J18" i="16"/>
  <c r="E18" i="16"/>
  <c r="J17" i="16"/>
  <c r="E17" i="16"/>
  <c r="J16" i="16"/>
  <c r="E16" i="16"/>
  <c r="J15" i="16"/>
  <c r="E15" i="16"/>
  <c r="J14" i="16"/>
  <c r="E14" i="16"/>
  <c r="J13" i="16"/>
  <c r="E13" i="16"/>
  <c r="J12" i="16"/>
  <c r="E12" i="16"/>
  <c r="J11" i="16"/>
  <c r="E11" i="16"/>
  <c r="J10" i="16"/>
  <c r="E10" i="16"/>
  <c r="J9" i="16"/>
  <c r="E9" i="16"/>
  <c r="J8" i="16"/>
  <c r="E8" i="16"/>
  <c r="J7" i="16"/>
  <c r="E7" i="16"/>
  <c r="J6" i="16"/>
  <c r="E6" i="16"/>
  <c r="J5" i="16"/>
  <c r="E5" i="16"/>
  <c r="J4" i="16"/>
  <c r="BJ63" i="13"/>
  <c r="BI120" i="13" s="1" a="1"/>
  <c r="BI120" i="13" s="1"/>
  <c r="BJ84" i="13"/>
  <c r="BI119" i="13" a="1"/>
  <c r="BI119" i="13" s="1"/>
  <c r="AW62" i="13"/>
  <c r="BD62" i="13"/>
  <c r="BC62" i="13"/>
  <c r="BA62" i="13"/>
  <c r="AZ62" i="13"/>
  <c r="AX62" i="13"/>
  <c r="AU62" i="13"/>
  <c r="AR62" i="13"/>
  <c r="AA625" i="11"/>
  <c r="Z625" i="11"/>
  <c r="Y625" i="11"/>
  <c r="X625" i="11"/>
  <c r="W625" i="11"/>
  <c r="V625" i="11"/>
  <c r="AA624" i="11"/>
  <c r="Z624" i="11"/>
  <c r="Y624" i="11"/>
  <c r="X624" i="11"/>
  <c r="W624" i="11"/>
  <c r="V624" i="11"/>
  <c r="AA623" i="11"/>
  <c r="Z623" i="11"/>
  <c r="Y623" i="11"/>
  <c r="X623" i="11"/>
  <c r="W623" i="11"/>
  <c r="V623" i="11"/>
  <c r="AA622" i="11"/>
  <c r="Z622" i="11"/>
  <c r="Y622" i="11"/>
  <c r="X622" i="11"/>
  <c r="W622" i="11"/>
  <c r="V622" i="11"/>
  <c r="AA621" i="11"/>
  <c r="Z621" i="11"/>
  <c r="Y621" i="11"/>
  <c r="X621" i="11"/>
  <c r="W621" i="11"/>
  <c r="V621" i="11"/>
  <c r="AA620" i="11"/>
  <c r="Z620" i="11"/>
  <c r="Y620" i="11"/>
  <c r="X620" i="11"/>
  <c r="W620" i="11"/>
  <c r="V620" i="11"/>
  <c r="AA619" i="11"/>
  <c r="Z619" i="11"/>
  <c r="Y619" i="11"/>
  <c r="X619" i="11"/>
  <c r="W619" i="11"/>
  <c r="V619" i="11"/>
  <c r="AA618" i="11"/>
  <c r="Z618" i="11"/>
  <c r="Y618" i="11"/>
  <c r="X618" i="11"/>
  <c r="W618" i="11"/>
  <c r="V618" i="11"/>
  <c r="AQ5" i="13"/>
  <c r="AT38" i="13"/>
  <c r="C54" i="14"/>
  <c r="P12" i="14"/>
  <c r="Q12" i="14" s="1"/>
  <c r="P13" i="14"/>
  <c r="Q13" i="14" s="1"/>
  <c r="P14" i="14"/>
  <c r="Q14" i="14" s="1"/>
  <c r="P15" i="14"/>
  <c r="Q15" i="14" s="1"/>
  <c r="P16" i="14"/>
  <c r="Q16" i="14" s="1"/>
  <c r="P17" i="14"/>
  <c r="Q17" i="14" s="1"/>
  <c r="B35" i="14"/>
  <c r="H35" i="14"/>
  <c r="I35" i="14"/>
  <c r="J35" i="14"/>
  <c r="K35" i="14"/>
  <c r="L35" i="14"/>
  <c r="B37" i="14"/>
  <c r="C37" i="14"/>
  <c r="D37" i="14"/>
  <c r="E37" i="14"/>
  <c r="F37" i="14"/>
  <c r="G37" i="14"/>
  <c r="H37" i="14"/>
  <c r="I37" i="14"/>
  <c r="J37" i="14"/>
  <c r="K37" i="14"/>
  <c r="L37" i="14"/>
  <c r="M37" i="14"/>
  <c r="M35" i="14" s="1"/>
  <c r="B38" i="14"/>
  <c r="C38" i="14"/>
  <c r="D38" i="14"/>
  <c r="E38" i="14"/>
  <c r="F38" i="14"/>
  <c r="G38" i="14"/>
  <c r="H38" i="14"/>
  <c r="I38" i="14"/>
  <c r="J38" i="14"/>
  <c r="K38" i="14"/>
  <c r="L38" i="14"/>
  <c r="M38" i="14"/>
  <c r="B39" i="14"/>
  <c r="C39" i="14"/>
  <c r="D39" i="14"/>
  <c r="E39" i="14"/>
  <c r="F39" i="14"/>
  <c r="G39" i="14"/>
  <c r="H39" i="14"/>
  <c r="I39" i="14"/>
  <c r="J39" i="14"/>
  <c r="K39" i="14"/>
  <c r="L39" i="14"/>
  <c r="M39" i="14"/>
  <c r="B40" i="14"/>
  <c r="C40" i="14"/>
  <c r="D40" i="14"/>
  <c r="E40" i="14"/>
  <c r="F40" i="14"/>
  <c r="G40" i="14"/>
  <c r="H40" i="14"/>
  <c r="I40" i="14"/>
  <c r="J40" i="14"/>
  <c r="K40" i="14"/>
  <c r="L40" i="14"/>
  <c r="M40" i="14"/>
  <c r="B41" i="14"/>
  <c r="C41" i="14"/>
  <c r="D41" i="14"/>
  <c r="E41" i="14"/>
  <c r="F41" i="14"/>
  <c r="G41" i="14"/>
  <c r="H41" i="14"/>
  <c r="I41" i="14"/>
  <c r="J41" i="14"/>
  <c r="K41" i="14"/>
  <c r="L41" i="14"/>
  <c r="M41" i="14"/>
  <c r="B42" i="14"/>
  <c r="C42" i="14"/>
  <c r="D42" i="14"/>
  <c r="E42" i="14"/>
  <c r="F42" i="14"/>
  <c r="G42" i="14"/>
  <c r="H42" i="14"/>
  <c r="I42" i="14"/>
  <c r="J42" i="14"/>
  <c r="K42" i="14"/>
  <c r="L42" i="14"/>
  <c r="M42" i="14"/>
  <c r="B43" i="14"/>
  <c r="C43" i="14"/>
  <c r="D43" i="14"/>
  <c r="E43" i="14"/>
  <c r="F43" i="14"/>
  <c r="G43" i="14"/>
  <c r="H43" i="14"/>
  <c r="I43" i="14"/>
  <c r="J43" i="14"/>
  <c r="K43" i="14"/>
  <c r="L43" i="14"/>
  <c r="M43" i="14"/>
  <c r="B44" i="14"/>
  <c r="C44" i="14"/>
  <c r="D44" i="14"/>
  <c r="E44" i="14"/>
  <c r="F44" i="14"/>
  <c r="G44" i="14"/>
  <c r="H44" i="14"/>
  <c r="I44" i="14"/>
  <c r="J44" i="14"/>
  <c r="K44" i="14"/>
  <c r="L44" i="14"/>
  <c r="M44" i="14"/>
  <c r="B45" i="14"/>
  <c r="C45" i="14"/>
  <c r="D45" i="14"/>
  <c r="E45" i="14"/>
  <c r="F45" i="14"/>
  <c r="G45" i="14"/>
  <c r="H45" i="14"/>
  <c r="I45" i="14"/>
  <c r="J45" i="14"/>
  <c r="K45" i="14"/>
  <c r="L45" i="14"/>
  <c r="M45" i="14"/>
  <c r="B46" i="14"/>
  <c r="C46" i="14"/>
  <c r="D46" i="14"/>
  <c r="E46" i="14"/>
  <c r="F46" i="14"/>
  <c r="G46" i="14"/>
  <c r="H46" i="14"/>
  <c r="I46" i="14"/>
  <c r="J46" i="14"/>
  <c r="K46" i="14"/>
  <c r="L46" i="14"/>
  <c r="M46" i="14"/>
  <c r="B47" i="14"/>
  <c r="C47" i="14"/>
  <c r="D47" i="14"/>
  <c r="E47" i="14"/>
  <c r="F47" i="14"/>
  <c r="G47" i="14"/>
  <c r="H47" i="14"/>
  <c r="I47" i="14"/>
  <c r="J47" i="14"/>
  <c r="K47" i="14"/>
  <c r="L47" i="14"/>
  <c r="M47" i="14"/>
  <c r="B48" i="14"/>
  <c r="C48" i="14"/>
  <c r="D48" i="14"/>
  <c r="E48" i="14"/>
  <c r="F48" i="14"/>
  <c r="G48" i="14"/>
  <c r="H48" i="14"/>
  <c r="I48" i="14"/>
  <c r="J48" i="14"/>
  <c r="K48" i="14"/>
  <c r="L48" i="14"/>
  <c r="M48" i="14"/>
  <c r="B49" i="14"/>
  <c r="C49" i="14"/>
  <c r="D49" i="14"/>
  <c r="E49" i="14"/>
  <c r="F49" i="14"/>
  <c r="G49" i="14"/>
  <c r="H49" i="14"/>
  <c r="I49" i="14"/>
  <c r="J49" i="14"/>
  <c r="K49" i="14"/>
  <c r="L49" i="14"/>
  <c r="M49" i="14"/>
  <c r="B50" i="14"/>
  <c r="C50" i="14"/>
  <c r="D50" i="14"/>
  <c r="E50" i="14"/>
  <c r="F50" i="14"/>
  <c r="G50" i="14"/>
  <c r="H50" i="14"/>
  <c r="I50" i="14"/>
  <c r="J50" i="14"/>
  <c r="K50" i="14"/>
  <c r="L50" i="14"/>
  <c r="M50" i="14"/>
  <c r="B51" i="14"/>
  <c r="C51" i="14"/>
  <c r="D51" i="14"/>
  <c r="E51" i="14"/>
  <c r="F51" i="14"/>
  <c r="G51" i="14"/>
  <c r="H51" i="14"/>
  <c r="I51" i="14"/>
  <c r="J51" i="14"/>
  <c r="K51" i="14"/>
  <c r="L51" i="14"/>
  <c r="M51" i="14"/>
  <c r="B52" i="14"/>
  <c r="C52" i="14"/>
  <c r="D52" i="14"/>
  <c r="E52" i="14"/>
  <c r="F52" i="14"/>
  <c r="G52" i="14"/>
  <c r="H52" i="14"/>
  <c r="I52" i="14"/>
  <c r="J52" i="14"/>
  <c r="K52" i="14"/>
  <c r="L52" i="14"/>
  <c r="M52" i="14"/>
  <c r="B53" i="14"/>
  <c r="C53" i="14"/>
  <c r="D53" i="14"/>
  <c r="E53" i="14"/>
  <c r="F53" i="14"/>
  <c r="G53" i="14"/>
  <c r="H53" i="14"/>
  <c r="I53" i="14"/>
  <c r="J53" i="14"/>
  <c r="K53" i="14"/>
  <c r="L53" i="14"/>
  <c r="M53" i="14"/>
  <c r="B54" i="14"/>
  <c r="D54" i="14"/>
  <c r="E54" i="14"/>
  <c r="F54" i="14"/>
  <c r="G54" i="14"/>
  <c r="H54" i="14"/>
  <c r="I54" i="14"/>
  <c r="J54" i="14"/>
  <c r="K54" i="14"/>
  <c r="L54" i="14"/>
  <c r="M54" i="14"/>
  <c r="B55" i="14"/>
  <c r="C55" i="14"/>
  <c r="D55" i="14"/>
  <c r="E55" i="14"/>
  <c r="F55" i="14"/>
  <c r="G55" i="14"/>
  <c r="H55" i="14"/>
  <c r="I55" i="14"/>
  <c r="J55" i="14"/>
  <c r="K55" i="14"/>
  <c r="L55" i="14"/>
  <c r="M55" i="14"/>
  <c r="B56" i="14"/>
  <c r="C56" i="14"/>
  <c r="D56" i="14"/>
  <c r="E56" i="14"/>
  <c r="F56" i="14"/>
  <c r="G56" i="14"/>
  <c r="H56" i="14"/>
  <c r="I56" i="14"/>
  <c r="J56" i="14"/>
  <c r="K56" i="14"/>
  <c r="L56" i="14"/>
  <c r="M56" i="14"/>
  <c r="B57" i="14"/>
  <c r="C57" i="14"/>
  <c r="D57" i="14"/>
  <c r="E57" i="14"/>
  <c r="F57" i="14"/>
  <c r="G57" i="14"/>
  <c r="G35" i="14" s="1"/>
  <c r="H57" i="14"/>
  <c r="I57" i="14"/>
  <c r="J57" i="14"/>
  <c r="K57" i="14"/>
  <c r="L57" i="14"/>
  <c r="M57" i="14"/>
  <c r="B58" i="14"/>
  <c r="C58" i="14"/>
  <c r="D58" i="14"/>
  <c r="E58" i="14"/>
  <c r="F58" i="14"/>
  <c r="G58" i="14"/>
  <c r="H58" i="14"/>
  <c r="I58" i="14"/>
  <c r="J58" i="14"/>
  <c r="K58" i="14"/>
  <c r="L58" i="14"/>
  <c r="M58" i="14"/>
  <c r="B59" i="14"/>
  <c r="C59" i="14"/>
  <c r="D59" i="14"/>
  <c r="E59" i="14"/>
  <c r="F59" i="14"/>
  <c r="G59" i="14"/>
  <c r="H59" i="14"/>
  <c r="I59" i="14"/>
  <c r="J59" i="14"/>
  <c r="K59" i="14"/>
  <c r="L59" i="14"/>
  <c r="M59" i="14"/>
  <c r="B60" i="14"/>
  <c r="C60" i="14"/>
  <c r="D60" i="14"/>
  <c r="E60" i="14"/>
  <c r="F60" i="14"/>
  <c r="G60" i="14"/>
  <c r="H60" i="14"/>
  <c r="I60" i="14"/>
  <c r="J60" i="14"/>
  <c r="K60" i="14"/>
  <c r="L60" i="14"/>
  <c r="M60" i="14"/>
  <c r="B61" i="14"/>
  <c r="C61" i="14"/>
  <c r="D61" i="14"/>
  <c r="E61" i="14"/>
  <c r="F61" i="14"/>
  <c r="G61" i="14"/>
  <c r="H61" i="14"/>
  <c r="I61" i="14"/>
  <c r="J61" i="14"/>
  <c r="K61" i="14"/>
  <c r="L61" i="14"/>
  <c r="M61" i="14"/>
  <c r="B62" i="14"/>
  <c r="C62" i="14"/>
  <c r="D62" i="14"/>
  <c r="E62" i="14"/>
  <c r="F62" i="14"/>
  <c r="G62" i="14"/>
  <c r="H62" i="14"/>
  <c r="I62" i="14"/>
  <c r="J62" i="14"/>
  <c r="K62" i="14"/>
  <c r="L62" i="14"/>
  <c r="M62" i="14"/>
  <c r="B63" i="14"/>
  <c r="C63" i="14"/>
  <c r="D63" i="14"/>
  <c r="E63" i="14"/>
  <c r="F63" i="14"/>
  <c r="G63" i="14"/>
  <c r="H63" i="14"/>
  <c r="I63" i="14"/>
  <c r="J63" i="14"/>
  <c r="K63" i="14"/>
  <c r="L63" i="14"/>
  <c r="M63" i="14"/>
  <c r="B64" i="14"/>
  <c r="C64" i="14"/>
  <c r="D64" i="14"/>
  <c r="E64" i="14"/>
  <c r="F64" i="14"/>
  <c r="G64" i="14"/>
  <c r="H64" i="14"/>
  <c r="I64" i="14"/>
  <c r="J64" i="14"/>
  <c r="K64" i="14"/>
  <c r="L64" i="14"/>
  <c r="M64" i="14"/>
  <c r="B65" i="14"/>
  <c r="C65" i="14"/>
  <c r="D65" i="14"/>
  <c r="E65" i="14"/>
  <c r="F65" i="14"/>
  <c r="G65" i="14"/>
  <c r="H65" i="14"/>
  <c r="I65" i="14"/>
  <c r="J65" i="14"/>
  <c r="K65" i="14"/>
  <c r="L65" i="14"/>
  <c r="M65" i="14"/>
  <c r="B66" i="14"/>
  <c r="C66" i="14"/>
  <c r="D66" i="14"/>
  <c r="E66" i="14"/>
  <c r="F66" i="14"/>
  <c r="G66" i="14"/>
  <c r="H66" i="14"/>
  <c r="I66" i="14"/>
  <c r="J66" i="14"/>
  <c r="K66" i="14"/>
  <c r="L66" i="14"/>
  <c r="M66" i="14"/>
  <c r="B67" i="14"/>
  <c r="C67" i="14"/>
  <c r="D67" i="14"/>
  <c r="E67" i="14"/>
  <c r="F67" i="14"/>
  <c r="G67" i="14"/>
  <c r="H67" i="14"/>
  <c r="I67" i="14"/>
  <c r="J67" i="14"/>
  <c r="K67" i="14"/>
  <c r="L67" i="14"/>
  <c r="M67" i="14"/>
  <c r="BI118" i="13" a="1"/>
  <c r="BI118" i="13" s="1"/>
  <c r="AW59" i="13"/>
  <c r="AX59" i="13"/>
  <c r="AZ59" i="13"/>
  <c r="AT59" i="13"/>
  <c r="AU59" i="13"/>
  <c r="AQ59" i="13"/>
  <c r="BD59" i="13"/>
  <c r="BC59" i="13"/>
  <c r="BA59" i="13"/>
  <c r="AR59" i="13"/>
  <c r="V604" i="11"/>
  <c r="W604" i="11"/>
  <c r="X604" i="11"/>
  <c r="Y604" i="11"/>
  <c r="Z604" i="11"/>
  <c r="AA604" i="11"/>
  <c r="V605" i="11"/>
  <c r="W605" i="11"/>
  <c r="X605" i="11"/>
  <c r="Y605" i="11"/>
  <c r="Z605" i="11"/>
  <c r="AA605" i="11"/>
  <c r="V606" i="11"/>
  <c r="W606" i="11"/>
  <c r="X606" i="11"/>
  <c r="Y606" i="11"/>
  <c r="Z606" i="11"/>
  <c r="AA606" i="11"/>
  <c r="V607" i="11"/>
  <c r="W607" i="11"/>
  <c r="X607" i="11"/>
  <c r="Y607" i="11"/>
  <c r="Z607" i="11"/>
  <c r="AA607" i="11"/>
  <c r="V608" i="11"/>
  <c r="W608" i="11"/>
  <c r="X608" i="11"/>
  <c r="Y608" i="11"/>
  <c r="Z608" i="11"/>
  <c r="AA608" i="11"/>
  <c r="V609" i="11"/>
  <c r="W609" i="11"/>
  <c r="X609" i="11"/>
  <c r="Y609" i="11"/>
  <c r="Z609" i="11"/>
  <c r="AA609" i="11"/>
  <c r="V610" i="11"/>
  <c r="W610" i="11"/>
  <c r="X610" i="11"/>
  <c r="Y610" i="11"/>
  <c r="Z610" i="11"/>
  <c r="AA610" i="11"/>
  <c r="V611" i="11"/>
  <c r="W611" i="11"/>
  <c r="X611" i="11"/>
  <c r="Y611" i="11"/>
  <c r="Z611" i="11"/>
  <c r="AA611" i="11"/>
  <c r="V612" i="11"/>
  <c r="W612" i="11"/>
  <c r="X612" i="11"/>
  <c r="Y612" i="11"/>
  <c r="Z612" i="11"/>
  <c r="AA612" i="11"/>
  <c r="V613" i="11"/>
  <c r="W613" i="11"/>
  <c r="X613" i="11"/>
  <c r="Y613" i="11"/>
  <c r="Z613" i="11"/>
  <c r="AA613" i="11"/>
  <c r="V614" i="11"/>
  <c r="W614" i="11"/>
  <c r="X614" i="11"/>
  <c r="Y614" i="11"/>
  <c r="Z614" i="11"/>
  <c r="AA614" i="11"/>
  <c r="U587" i="11"/>
  <c r="BI117" i="13" a="1"/>
  <c r="BI117" i="13" s="1"/>
  <c r="AT56" i="13"/>
  <c r="AU56" i="13"/>
  <c r="AQ56" i="13"/>
  <c r="AR56" i="13"/>
  <c r="BA56" i="13"/>
  <c r="AZ56" i="13"/>
  <c r="AX56" i="13"/>
  <c r="V583" i="11"/>
  <c r="W583" i="11"/>
  <c r="X583" i="11"/>
  <c r="Y583" i="11"/>
  <c r="Z583" i="11"/>
  <c r="AA583" i="11"/>
  <c r="V584" i="11"/>
  <c r="W584" i="11"/>
  <c r="X584" i="11"/>
  <c r="Y584" i="11"/>
  <c r="Z584" i="11"/>
  <c r="AA584" i="11"/>
  <c r="V585" i="11"/>
  <c r="W585" i="11"/>
  <c r="X585" i="11"/>
  <c r="Y585" i="11"/>
  <c r="Z585" i="11"/>
  <c r="AA585" i="11"/>
  <c r="V586" i="11"/>
  <c r="W586" i="11"/>
  <c r="X586" i="11"/>
  <c r="Y586" i="11"/>
  <c r="Z586" i="11"/>
  <c r="AA586" i="11"/>
  <c r="V587" i="11"/>
  <c r="V588" i="11"/>
  <c r="W588" i="11"/>
  <c r="X588" i="11"/>
  <c r="Y588" i="11"/>
  <c r="Z588" i="11"/>
  <c r="AA588" i="11"/>
  <c r="V589" i="11"/>
  <c r="W589" i="11"/>
  <c r="X589" i="11"/>
  <c r="Y589" i="11"/>
  <c r="Z589" i="11"/>
  <c r="AA589" i="11"/>
  <c r="V590" i="11"/>
  <c r="W590" i="11"/>
  <c r="X590" i="11"/>
  <c r="Y590" i="11"/>
  <c r="Z590" i="11"/>
  <c r="AA590" i="11"/>
  <c r="V591" i="11"/>
  <c r="W591" i="11"/>
  <c r="X591" i="11"/>
  <c r="Y591" i="11"/>
  <c r="Z591" i="11"/>
  <c r="AA591" i="11"/>
  <c r="V592" i="11"/>
  <c r="W592" i="11"/>
  <c r="X592" i="11"/>
  <c r="Y592" i="11"/>
  <c r="Z592" i="11"/>
  <c r="AA592" i="11"/>
  <c r="V593" i="11"/>
  <c r="W593" i="11"/>
  <c r="X593" i="11"/>
  <c r="Y593" i="11"/>
  <c r="Z593" i="11"/>
  <c r="AA593" i="11"/>
  <c r="V594" i="11"/>
  <c r="W594" i="11"/>
  <c r="X594" i="11"/>
  <c r="Y594" i="11"/>
  <c r="Z594" i="11"/>
  <c r="AA594" i="11"/>
  <c r="V595" i="11"/>
  <c r="W595" i="11"/>
  <c r="X595" i="11"/>
  <c r="Y595" i="11"/>
  <c r="Z595" i="11"/>
  <c r="AA595" i="11"/>
  <c r="V596" i="11"/>
  <c r="W596" i="11"/>
  <c r="X596" i="11"/>
  <c r="Y596" i="11"/>
  <c r="Z596" i="11"/>
  <c r="AA596" i="11"/>
  <c r="V597" i="11"/>
  <c r="W597" i="11"/>
  <c r="X597" i="11"/>
  <c r="Y597" i="11"/>
  <c r="Z597" i="11"/>
  <c r="AA597" i="11"/>
  <c r="V598" i="11"/>
  <c r="W598" i="11"/>
  <c r="X598" i="11"/>
  <c r="Y598" i="11"/>
  <c r="Z598" i="11"/>
  <c r="AA598" i="11"/>
  <c r="V599" i="11"/>
  <c r="W599" i="11"/>
  <c r="X599" i="11"/>
  <c r="Y599" i="11"/>
  <c r="Z599" i="11"/>
  <c r="AA599" i="11"/>
  <c r="V600" i="11"/>
  <c r="W600" i="11"/>
  <c r="X600" i="11"/>
  <c r="Y600" i="11"/>
  <c r="Z600" i="11"/>
  <c r="AA600" i="11"/>
  <c r="BI21" i="13"/>
  <c r="BC47" i="13"/>
  <c r="AW47" i="13"/>
  <c r="AU47" i="13"/>
  <c r="AT47" i="13"/>
  <c r="BI114" i="13" a="1"/>
  <c r="BI114" i="13" s="1"/>
  <c r="BI115" i="13" a="1"/>
  <c r="BI115" i="13" s="1"/>
  <c r="BI116" i="13" a="1"/>
  <c r="BI116" i="13" s="1"/>
  <c r="BC50" i="13"/>
  <c r="BD50" i="13"/>
  <c r="AZ50" i="13"/>
  <c r="AX50" i="13"/>
  <c r="AT50" i="13"/>
  <c r="AR53" i="13"/>
  <c r="BA50" i="13"/>
  <c r="AW50" i="13"/>
  <c r="AU50" i="13"/>
  <c r="AR50" i="13"/>
  <c r="V564" i="11"/>
  <c r="W564" i="11"/>
  <c r="X564" i="11"/>
  <c r="Y564" i="11"/>
  <c r="Z564" i="11"/>
  <c r="AA564" i="11"/>
  <c r="V565" i="11"/>
  <c r="W565" i="11"/>
  <c r="X565" i="11"/>
  <c r="Y565" i="11"/>
  <c r="Z565" i="11"/>
  <c r="AA565" i="11"/>
  <c r="V566" i="11"/>
  <c r="W566" i="11"/>
  <c r="X566" i="11"/>
  <c r="Y566" i="11"/>
  <c r="Z566" i="11"/>
  <c r="AA566" i="11"/>
  <c r="V567" i="11"/>
  <c r="W567" i="11"/>
  <c r="X567" i="11"/>
  <c r="Y567" i="11"/>
  <c r="Z567" i="11"/>
  <c r="AA567" i="11"/>
  <c r="V568" i="11"/>
  <c r="W568" i="11"/>
  <c r="X568" i="11"/>
  <c r="Y568" i="11"/>
  <c r="Z568" i="11"/>
  <c r="AA568" i="11"/>
  <c r="V569" i="11"/>
  <c r="W569" i="11"/>
  <c r="X569" i="11"/>
  <c r="Y569" i="11"/>
  <c r="Z569" i="11"/>
  <c r="AA569" i="11"/>
  <c r="V570" i="11"/>
  <c r="W570" i="11"/>
  <c r="X570" i="11"/>
  <c r="Y570" i="11"/>
  <c r="Z570" i="11"/>
  <c r="AA570" i="11"/>
  <c r="V571" i="11"/>
  <c r="W571" i="11"/>
  <c r="X571" i="11"/>
  <c r="Y571" i="11"/>
  <c r="Z571" i="11"/>
  <c r="AA571" i="11"/>
  <c r="V572" i="11"/>
  <c r="W572" i="11"/>
  <c r="X572" i="11"/>
  <c r="Y572" i="11"/>
  <c r="Z572" i="11"/>
  <c r="AA572" i="11"/>
  <c r="V573" i="11"/>
  <c r="W573" i="11"/>
  <c r="X573" i="11"/>
  <c r="Y573" i="11"/>
  <c r="Z573" i="11"/>
  <c r="AA573" i="11"/>
  <c r="V574" i="11"/>
  <c r="W574" i="11"/>
  <c r="X574" i="11"/>
  <c r="Y574" i="11"/>
  <c r="Z574" i="11"/>
  <c r="AA574" i="11"/>
  <c r="V575" i="11"/>
  <c r="W575" i="11"/>
  <c r="X575" i="11"/>
  <c r="Y575" i="11"/>
  <c r="Z575" i="11"/>
  <c r="AA575" i="11"/>
  <c r="V576" i="11"/>
  <c r="W576" i="11"/>
  <c r="X576" i="11"/>
  <c r="Y576" i="11"/>
  <c r="Z576" i="11"/>
  <c r="AA576" i="11"/>
  <c r="V577" i="11"/>
  <c r="W577" i="11"/>
  <c r="X577" i="11"/>
  <c r="Y577" i="11"/>
  <c r="Z577" i="11"/>
  <c r="AA577" i="11"/>
  <c r="V578" i="11"/>
  <c r="W578" i="11"/>
  <c r="X578" i="11"/>
  <c r="Y578" i="11"/>
  <c r="Z578" i="11"/>
  <c r="AA578" i="11"/>
  <c r="V579" i="11"/>
  <c r="W579" i="11"/>
  <c r="X579" i="11"/>
  <c r="Y579" i="11"/>
  <c r="Z579" i="11"/>
  <c r="AA579" i="11"/>
  <c r="BD47" i="13"/>
  <c r="BA47" i="13"/>
  <c r="AX47" i="13"/>
  <c r="AR47" i="13"/>
  <c r="AA560" i="11"/>
  <c r="Z560" i="11"/>
  <c r="Y560" i="11"/>
  <c r="X560" i="11"/>
  <c r="W560" i="11"/>
  <c r="V560" i="11"/>
  <c r="AA559" i="11"/>
  <c r="Z559" i="11"/>
  <c r="Y559" i="11"/>
  <c r="X559" i="11"/>
  <c r="W559" i="11"/>
  <c r="V559" i="11"/>
  <c r="AA558" i="11"/>
  <c r="Z558" i="11"/>
  <c r="Y558" i="11"/>
  <c r="X558" i="11"/>
  <c r="W558" i="11"/>
  <c r="V558" i="11"/>
  <c r="AA557" i="11"/>
  <c r="Z557" i="11"/>
  <c r="Y557" i="11"/>
  <c r="X557" i="11"/>
  <c r="W557" i="11"/>
  <c r="V557" i="11"/>
  <c r="AA556" i="11"/>
  <c r="Z556" i="11"/>
  <c r="Y556" i="11"/>
  <c r="X556" i="11"/>
  <c r="W556" i="11"/>
  <c r="V556" i="11"/>
  <c r="AA555" i="11"/>
  <c r="Z555" i="11"/>
  <c r="Y555" i="11"/>
  <c r="X555" i="11"/>
  <c r="W555" i="11"/>
  <c r="V555" i="11"/>
  <c r="AA554" i="11"/>
  <c r="Z554" i="11"/>
  <c r="Y554" i="11"/>
  <c r="X554" i="11"/>
  <c r="W554" i="11"/>
  <c r="V554" i="11"/>
  <c r="AA553" i="11"/>
  <c r="Z553" i="11"/>
  <c r="Y553" i="11"/>
  <c r="X553" i="11"/>
  <c r="W553" i="11"/>
  <c r="V553" i="11"/>
  <c r="AA552" i="11"/>
  <c r="Z552" i="11"/>
  <c r="Y552" i="11"/>
  <c r="X552" i="11"/>
  <c r="W552" i="11"/>
  <c r="V552" i="11"/>
  <c r="AA551" i="11"/>
  <c r="Z551" i="11"/>
  <c r="Y551" i="11"/>
  <c r="X551" i="11"/>
  <c r="W551" i="11"/>
  <c r="V551" i="11"/>
  <c r="AA550" i="11"/>
  <c r="Z550" i="11"/>
  <c r="Y550" i="11"/>
  <c r="X550" i="11"/>
  <c r="W550" i="11"/>
  <c r="V550" i="11"/>
  <c r="AA549" i="11"/>
  <c r="Z549" i="11"/>
  <c r="Y549" i="11"/>
  <c r="X549" i="11"/>
  <c r="W549" i="11"/>
  <c r="V549" i="11"/>
  <c r="AA548" i="11"/>
  <c r="Z548" i="11"/>
  <c r="Y548" i="11"/>
  <c r="X548" i="11"/>
  <c r="W548" i="11"/>
  <c r="V548" i="11"/>
  <c r="AA544" i="11"/>
  <c r="Z544" i="11"/>
  <c r="Y544" i="11"/>
  <c r="X544" i="11"/>
  <c r="W544" i="11"/>
  <c r="V544" i="11"/>
  <c r="AA543" i="11"/>
  <c r="Z543" i="11"/>
  <c r="Y543" i="11"/>
  <c r="X543" i="11"/>
  <c r="W543" i="11"/>
  <c r="V543" i="11"/>
  <c r="AA542" i="11"/>
  <c r="Z542" i="11"/>
  <c r="Y542" i="11"/>
  <c r="X542" i="11"/>
  <c r="W542" i="11"/>
  <c r="V542" i="11"/>
  <c r="AA541" i="11"/>
  <c r="Z541" i="11"/>
  <c r="Y541" i="11"/>
  <c r="X541" i="11"/>
  <c r="W541" i="11"/>
  <c r="V541" i="11"/>
  <c r="AA540" i="11"/>
  <c r="Z540" i="11"/>
  <c r="Y540" i="11"/>
  <c r="X540" i="11"/>
  <c r="W540" i="11"/>
  <c r="V540" i="11"/>
  <c r="AA539" i="11"/>
  <c r="Z539" i="11"/>
  <c r="Y539" i="11"/>
  <c r="X539" i="11"/>
  <c r="W539" i="11"/>
  <c r="V539" i="11"/>
  <c r="AA538" i="11"/>
  <c r="Z538" i="11"/>
  <c r="Y538" i="11"/>
  <c r="X538" i="11"/>
  <c r="W538" i="11"/>
  <c r="V538" i="11"/>
  <c r="AA537" i="11"/>
  <c r="Z537" i="11"/>
  <c r="Y537" i="11"/>
  <c r="X537" i="11"/>
  <c r="W537" i="11"/>
  <c r="V537" i="11"/>
  <c r="AA536" i="11"/>
  <c r="Z536" i="11"/>
  <c r="Y536" i="11"/>
  <c r="X536" i="11"/>
  <c r="W536" i="11"/>
  <c r="V536" i="11"/>
  <c r="AA535" i="11"/>
  <c r="Z535" i="11"/>
  <c r="Y535" i="11"/>
  <c r="X535" i="11"/>
  <c r="W535" i="11"/>
  <c r="V535" i="11"/>
  <c r="AA534" i="11"/>
  <c r="Z534" i="11"/>
  <c r="Y534" i="11"/>
  <c r="X534" i="11"/>
  <c r="W534" i="11"/>
  <c r="V534" i="11"/>
  <c r="BJ42" i="13"/>
  <c r="BI113" i="13" s="1" a="1"/>
  <c r="BI113" i="13" s="1"/>
  <c r="V521" i="11"/>
  <c r="V522" i="11"/>
  <c r="V523" i="11"/>
  <c r="V524" i="11"/>
  <c r="V525" i="11"/>
  <c r="V526" i="11"/>
  <c r="V527" i="11"/>
  <c r="V528" i="11"/>
  <c r="V529" i="11"/>
  <c r="V530" i="11"/>
  <c r="AA530" i="11"/>
  <c r="Z530" i="11"/>
  <c r="Y530" i="11"/>
  <c r="X530" i="11"/>
  <c r="W530" i="11"/>
  <c r="AA529" i="11"/>
  <c r="Z529" i="11"/>
  <c r="Y529" i="11"/>
  <c r="X529" i="11"/>
  <c r="W529" i="11"/>
  <c r="AA528" i="11"/>
  <c r="Z528" i="11"/>
  <c r="Y528" i="11"/>
  <c r="X528" i="11"/>
  <c r="W528" i="11"/>
  <c r="AA527" i="11"/>
  <c r="Z527" i="11"/>
  <c r="Y527" i="11"/>
  <c r="X527" i="11"/>
  <c r="W527" i="11"/>
  <c r="AA526" i="11"/>
  <c r="Z526" i="11"/>
  <c r="Y526" i="11"/>
  <c r="X526" i="11"/>
  <c r="W526" i="11"/>
  <c r="AA525" i="11"/>
  <c r="Z525" i="11"/>
  <c r="Y525" i="11"/>
  <c r="X525" i="11"/>
  <c r="W525" i="11"/>
  <c r="AA524" i="11"/>
  <c r="Z524" i="11"/>
  <c r="Y524" i="11"/>
  <c r="X524" i="11"/>
  <c r="W524" i="11"/>
  <c r="AA523" i="11"/>
  <c r="Z523" i="11"/>
  <c r="Y523" i="11"/>
  <c r="X523" i="11"/>
  <c r="AA522" i="11"/>
  <c r="Z522" i="11"/>
  <c r="Y522" i="11"/>
  <c r="X522" i="11"/>
  <c r="W522" i="11"/>
  <c r="AA521" i="11"/>
  <c r="Z521" i="11"/>
  <c r="Y521" i="11"/>
  <c r="X521" i="11"/>
  <c r="W521" i="11"/>
  <c r="F35" i="14" l="1"/>
  <c r="AB977" i="11"/>
  <c r="AB979" i="11" s="1"/>
  <c r="Z721" i="11"/>
  <c r="Z735" i="11" s="1"/>
  <c r="AB721" i="11"/>
  <c r="AB735" i="11" s="1"/>
  <c r="AB737" i="11" s="1"/>
  <c r="AB901" i="11"/>
  <c r="AB903" i="11" s="1"/>
  <c r="X587" i="11"/>
  <c r="X601" i="11" s="1"/>
  <c r="AB587" i="11"/>
  <c r="AB601" i="11" s="1"/>
  <c r="AB603" i="11" s="1"/>
  <c r="X748" i="11"/>
  <c r="X752" i="11" s="1"/>
  <c r="AB748" i="11"/>
  <c r="AB752" i="11" s="1"/>
  <c r="AB754" i="11" s="1"/>
  <c r="X901" i="11"/>
  <c r="E35" i="14"/>
  <c r="AA901" i="11"/>
  <c r="W901" i="11"/>
  <c r="Z748" i="11"/>
  <c r="Z752" i="11" s="1"/>
  <c r="Y748" i="11"/>
  <c r="Y752" i="11" s="1"/>
  <c r="W748" i="11"/>
  <c r="W752" i="11" s="1"/>
  <c r="AA748" i="11"/>
  <c r="AA752" i="11" s="1"/>
  <c r="Y721" i="11"/>
  <c r="Y735" i="11" s="1"/>
  <c r="W977" i="11"/>
  <c r="AA977" i="11"/>
  <c r="Z977" i="11"/>
  <c r="Z920" i="11"/>
  <c r="Y977" i="11"/>
  <c r="W920" i="11"/>
  <c r="X977" i="11"/>
  <c r="AA920" i="11"/>
  <c r="X920" i="11"/>
  <c r="Y920" i="11"/>
  <c r="LW34" i="20"/>
  <c r="LW35" i="20" s="1"/>
  <c r="LU34" i="20"/>
  <c r="LU35" i="20" s="1"/>
  <c r="CE97" i="13" a="1"/>
  <c r="CE97" i="13" s="1"/>
  <c r="CE96" i="13" a="1"/>
  <c r="CE96" i="13" s="1"/>
  <c r="CE98" i="13" s="1"/>
  <c r="JR98" i="20"/>
  <c r="IT98" i="20"/>
  <c r="GX98" i="20"/>
  <c r="FZ98" i="20"/>
  <c r="ED98" i="20"/>
  <c r="LN98" i="20"/>
  <c r="CG96" i="20" a="1"/>
  <c r="CG96" i="20" s="1"/>
  <c r="CG97" i="20" a="1"/>
  <c r="CG97" i="20" s="1"/>
  <c r="Z783" i="11"/>
  <c r="P15" i="20"/>
  <c r="BJ7" i="20"/>
  <c r="BJ19" i="20"/>
  <c r="AL22" i="20"/>
  <c r="AL37" i="20"/>
  <c r="AL58" i="20"/>
  <c r="BJ61" i="20"/>
  <c r="BJ76" i="20"/>
  <c r="BJ79" i="20"/>
  <c r="AL91" i="20"/>
  <c r="AL16" i="20"/>
  <c r="BJ25" i="20"/>
  <c r="BJ58" i="20"/>
  <c r="AL64" i="20"/>
  <c r="AL67" i="20"/>
  <c r="AL70" i="20"/>
  <c r="BJ70" i="20"/>
  <c r="CH4" i="20"/>
  <c r="BJ16" i="20"/>
  <c r="AL28" i="20"/>
  <c r="BJ28" i="20"/>
  <c r="BJ37" i="20"/>
  <c r="AL49" i="20"/>
  <c r="BJ49" i="20"/>
  <c r="AL55" i="20"/>
  <c r="BJ67" i="20"/>
  <c r="AL76" i="20"/>
  <c r="AL79" i="20"/>
  <c r="BJ82" i="20"/>
  <c r="AL43" i="20"/>
  <c r="BJ55" i="20"/>
  <c r="BJ40" i="20"/>
  <c r="AL46" i="20"/>
  <c r="BJ13" i="20"/>
  <c r="AL34" i="20"/>
  <c r="BJ34" i="20"/>
  <c r="BJ46" i="20"/>
  <c r="AL85" i="20"/>
  <c r="AL88" i="20"/>
  <c r="AS74" i="20"/>
  <c r="BJ73" i="20" s="1"/>
  <c r="P3" i="20"/>
  <c r="P12" i="20"/>
  <c r="AL118" i="20" a="1"/>
  <c r="AL118" i="20" s="1"/>
  <c r="AN9" i="20"/>
  <c r="AN12" i="20" s="1"/>
  <c r="AL105" i="20" s="1" a="1"/>
  <c r="AL105" i="20" s="1"/>
  <c r="P6" i="20"/>
  <c r="P10" i="20"/>
  <c r="AA765" i="11"/>
  <c r="X765" i="11"/>
  <c r="Y765" i="11"/>
  <c r="X783" i="11"/>
  <c r="Y783" i="11"/>
  <c r="AA783" i="11"/>
  <c r="W783" i="11"/>
  <c r="Z765" i="11"/>
  <c r="LS34" i="20"/>
  <c r="LS35" i="20" s="1"/>
  <c r="AA798" i="11"/>
  <c r="W798" i="11"/>
  <c r="CN34" i="13"/>
  <c r="CN35" i="13" s="1"/>
  <c r="CF8" i="13"/>
  <c r="CF5" i="13"/>
  <c r="CF14" i="13"/>
  <c r="CF20" i="13"/>
  <c r="CF35" i="13"/>
  <c r="CF50" i="13"/>
  <c r="CF17" i="13"/>
  <c r="CF47" i="13"/>
  <c r="CF59" i="13"/>
  <c r="CF71" i="13"/>
  <c r="CF83" i="13"/>
  <c r="CF41" i="13"/>
  <c r="CF56" i="13"/>
  <c r="CF62" i="13"/>
  <c r="CF80" i="13"/>
  <c r="CF29" i="13"/>
  <c r="CF74" i="13"/>
  <c r="CL34" i="13"/>
  <c r="CL35" i="13" s="1"/>
  <c r="CJ34" i="13"/>
  <c r="CJ35" i="13" s="1"/>
  <c r="BI123" i="13" a="1"/>
  <c r="BI123" i="13" s="1"/>
  <c r="D35" i="14"/>
  <c r="X798" i="11"/>
  <c r="Z798" i="11"/>
  <c r="Y798" i="11"/>
  <c r="X721" i="11"/>
  <c r="X735" i="11" s="1"/>
  <c r="AA721" i="11"/>
  <c r="AA735" i="11" s="1"/>
  <c r="W721" i="11"/>
  <c r="W735" i="11" s="1"/>
  <c r="Z587" i="11"/>
  <c r="Z601" i="11" s="1"/>
  <c r="Y587" i="11"/>
  <c r="Y601" i="11" s="1"/>
  <c r="W587" i="11"/>
  <c r="W601" i="11" s="1"/>
  <c r="X718" i="11"/>
  <c r="W718" i="11"/>
  <c r="Y718" i="11"/>
  <c r="AA718" i="11"/>
  <c r="Z718" i="11"/>
  <c r="Y674" i="11"/>
  <c r="X674" i="11"/>
  <c r="Y695" i="11"/>
  <c r="AA674" i="11"/>
  <c r="W674" i="11"/>
  <c r="Z674" i="11"/>
  <c r="Z695" i="11"/>
  <c r="X695" i="11"/>
  <c r="AA695" i="11"/>
  <c r="W695" i="11"/>
  <c r="AA657" i="11"/>
  <c r="Z641" i="11"/>
  <c r="AA641" i="11"/>
  <c r="Z657" i="11"/>
  <c r="Y641" i="11"/>
  <c r="Y657" i="11"/>
  <c r="X641" i="11"/>
  <c r="X657" i="11"/>
  <c r="W657" i="11"/>
  <c r="AA587" i="11"/>
  <c r="AA601" i="11" s="1"/>
  <c r="Z626" i="11"/>
  <c r="W626" i="11"/>
  <c r="AA626" i="11"/>
  <c r="X626" i="11"/>
  <c r="Y626" i="11"/>
  <c r="Y615" i="11"/>
  <c r="C35" i="14"/>
  <c r="AA615" i="11"/>
  <c r="W615" i="11"/>
  <c r="X615" i="11"/>
  <c r="Z615" i="11"/>
  <c r="W580" i="11"/>
  <c r="Z580" i="11"/>
  <c r="AA580" i="11"/>
  <c r="Y580" i="11"/>
  <c r="X580" i="11"/>
  <c r="AA561" i="11"/>
  <c r="Z561" i="11"/>
  <c r="X561" i="11"/>
  <c r="W561" i="11"/>
  <c r="Y561" i="11"/>
  <c r="AA545" i="11"/>
  <c r="Z545" i="11"/>
  <c r="X545" i="11"/>
  <c r="W545" i="11"/>
  <c r="Y545" i="11"/>
  <c r="X531" i="11"/>
  <c r="Y531" i="11"/>
  <c r="AA531" i="11"/>
  <c r="Z531" i="11"/>
  <c r="L119" i="11"/>
  <c r="AA514" i="11" s="1"/>
  <c r="K119" i="11"/>
  <c r="Z514" i="11" s="1"/>
  <c r="J119" i="11"/>
  <c r="Y514" i="11" s="1"/>
  <c r="I119" i="11"/>
  <c r="X514" i="11" s="1"/>
  <c r="H119" i="11"/>
  <c r="W514" i="11" s="1"/>
  <c r="BI112" i="13" a="1"/>
  <c r="BI112" i="13" s="1"/>
  <c r="AZ41" i="13"/>
  <c r="AX41" i="13"/>
  <c r="AW41" i="13"/>
  <c r="AU41" i="13"/>
  <c r="AQ41" i="13"/>
  <c r="AR41" i="13"/>
  <c r="BA41" i="13"/>
  <c r="AA517" i="11"/>
  <c r="Z517" i="11"/>
  <c r="Y517" i="11"/>
  <c r="X517" i="11"/>
  <c r="W517" i="11"/>
  <c r="V517" i="11"/>
  <c r="AA516" i="11"/>
  <c r="Z516" i="11"/>
  <c r="Y516" i="11"/>
  <c r="X516" i="11"/>
  <c r="W516" i="11"/>
  <c r="V516" i="11"/>
  <c r="AA515" i="11"/>
  <c r="Z515" i="11"/>
  <c r="Y515" i="11"/>
  <c r="X515" i="11"/>
  <c r="W515" i="11"/>
  <c r="V515" i="11"/>
  <c r="V514" i="11"/>
  <c r="AA513" i="11"/>
  <c r="Z513" i="11"/>
  <c r="Y513" i="11"/>
  <c r="X513" i="11"/>
  <c r="W513" i="11"/>
  <c r="V513" i="11"/>
  <c r="AA512" i="11"/>
  <c r="Z512" i="11"/>
  <c r="Y512" i="11"/>
  <c r="X512" i="11"/>
  <c r="W512" i="11"/>
  <c r="V512" i="11"/>
  <c r="AA511" i="11"/>
  <c r="Z511" i="11"/>
  <c r="Y511" i="11"/>
  <c r="X511" i="11"/>
  <c r="W511" i="11"/>
  <c r="V511" i="11"/>
  <c r="AA510" i="11"/>
  <c r="Z510" i="11"/>
  <c r="Y510" i="11"/>
  <c r="X510" i="11"/>
  <c r="W510" i="11"/>
  <c r="V510" i="11"/>
  <c r="AA509" i="11"/>
  <c r="Z509" i="11"/>
  <c r="Y509" i="11"/>
  <c r="X509" i="11"/>
  <c r="W509" i="11"/>
  <c r="V509" i="11"/>
  <c r="CG98" i="20" l="1"/>
  <c r="AL96" i="20" a="1"/>
  <c r="AL96" i="20" s="1"/>
  <c r="AL97" i="20" a="1"/>
  <c r="AL97" i="20" s="1"/>
  <c r="AL98" i="20" s="1"/>
  <c r="CH96" i="20" a="1"/>
  <c r="CH96" i="20" s="1"/>
  <c r="CH97" i="20" a="1"/>
  <c r="CH97" i="20" s="1"/>
  <c r="BJ97" i="20" a="1"/>
  <c r="BJ97" i="20" s="1"/>
  <c r="BJ98" i="20" s="1"/>
  <c r="BJ96" i="20" a="1"/>
  <c r="BJ96" i="20" s="1"/>
  <c r="AL104" i="20" a="1"/>
  <c r="AL104" i="20" s="1"/>
  <c r="CF97" i="13" a="1"/>
  <c r="CF97" i="13" s="1"/>
  <c r="CF96" i="13" a="1"/>
  <c r="CF96" i="13" s="1"/>
  <c r="W518" i="11"/>
  <c r="X518" i="11"/>
  <c r="Y518" i="11"/>
  <c r="Z518" i="11"/>
  <c r="AA518" i="11"/>
  <c r="BI111" i="13" a="1"/>
  <c r="BI111" i="13" s="1"/>
  <c r="AZ38" i="13"/>
  <c r="AU38" i="13"/>
  <c r="AQ38" i="13"/>
  <c r="AR38" i="13"/>
  <c r="AX38" i="13"/>
  <c r="BA38" i="13"/>
  <c r="BC38" i="13"/>
  <c r="BD38" i="13"/>
  <c r="AA505" i="11"/>
  <c r="Z505" i="11"/>
  <c r="Y505" i="11"/>
  <c r="X505" i="11"/>
  <c r="W505" i="11"/>
  <c r="V505" i="11"/>
  <c r="AA504" i="11"/>
  <c r="Z504" i="11"/>
  <c r="Y504" i="11"/>
  <c r="X504" i="11"/>
  <c r="W504" i="11"/>
  <c r="V504" i="11"/>
  <c r="AA503" i="11"/>
  <c r="Z503" i="11"/>
  <c r="Y503" i="11"/>
  <c r="X503" i="11"/>
  <c r="W503" i="11"/>
  <c r="V503" i="11"/>
  <c r="AA502" i="11"/>
  <c r="Z502" i="11"/>
  <c r="Y502" i="11"/>
  <c r="X502" i="11"/>
  <c r="W502" i="11"/>
  <c r="V502" i="11"/>
  <c r="AA501" i="11"/>
  <c r="Z501" i="11"/>
  <c r="Y501" i="11"/>
  <c r="X501" i="11"/>
  <c r="W501" i="11"/>
  <c r="V501" i="11"/>
  <c r="AA500" i="11"/>
  <c r="Z500" i="11"/>
  <c r="Y500" i="11"/>
  <c r="X500" i="11"/>
  <c r="W500" i="11"/>
  <c r="V500" i="11"/>
  <c r="AA499" i="11"/>
  <c r="Z499" i="11"/>
  <c r="Y499" i="11"/>
  <c r="X499" i="11"/>
  <c r="W499" i="11"/>
  <c r="V499" i="11"/>
  <c r="AA498" i="11"/>
  <c r="Z498" i="11"/>
  <c r="Y498" i="11"/>
  <c r="X498" i="11"/>
  <c r="W498" i="11"/>
  <c r="V498" i="11"/>
  <c r="AA497" i="11"/>
  <c r="Z497" i="11"/>
  <c r="Y497" i="11"/>
  <c r="X497" i="11"/>
  <c r="W497" i="11"/>
  <c r="V497" i="11"/>
  <c r="AA496" i="11"/>
  <c r="Z496" i="11"/>
  <c r="Y496" i="11"/>
  <c r="X496" i="11"/>
  <c r="W496" i="11"/>
  <c r="V496" i="11"/>
  <c r="AA495" i="11"/>
  <c r="Z495" i="11"/>
  <c r="Y495" i="11"/>
  <c r="X495" i="11"/>
  <c r="W495" i="11"/>
  <c r="V495" i="11"/>
  <c r="AA494" i="11"/>
  <c r="Z494" i="11"/>
  <c r="Y494" i="11"/>
  <c r="X494" i="11"/>
  <c r="W494" i="11"/>
  <c r="V494" i="11"/>
  <c r="AA493" i="11"/>
  <c r="Z493" i="11"/>
  <c r="Y493" i="11"/>
  <c r="X493" i="11"/>
  <c r="W493" i="11"/>
  <c r="V493" i="11"/>
  <c r="AA492" i="11"/>
  <c r="Z492" i="11"/>
  <c r="Y492" i="11"/>
  <c r="X492" i="11"/>
  <c r="W492" i="11"/>
  <c r="V492" i="11"/>
  <c r="AA491" i="11"/>
  <c r="Z491" i="11"/>
  <c r="Y491" i="11"/>
  <c r="X491" i="11"/>
  <c r="W491" i="11"/>
  <c r="V491" i="11"/>
  <c r="AA490" i="11"/>
  <c r="Z490" i="11"/>
  <c r="Y490" i="11"/>
  <c r="X490" i="11"/>
  <c r="W490" i="11"/>
  <c r="V490" i="11"/>
  <c r="AA489" i="11"/>
  <c r="Z489" i="11"/>
  <c r="Y489" i="11"/>
  <c r="X489" i="11"/>
  <c r="W489" i="11"/>
  <c r="V489" i="11"/>
  <c r="DF98" i="20" l="1"/>
  <c r="CH98" i="20"/>
  <c r="AA506" i="11"/>
  <c r="W506" i="11"/>
  <c r="X506" i="11"/>
  <c r="Y506" i="11"/>
  <c r="Z506" i="11"/>
  <c r="BI110" i="13" a="1"/>
  <c r="BI110" i="13" s="1"/>
  <c r="AT35" i="13"/>
  <c r="AR35" i="13"/>
  <c r="AZ35" i="13"/>
  <c r="AU35" i="13"/>
  <c r="AX35" i="13"/>
  <c r="BA35" i="13"/>
  <c r="AA485" i="11"/>
  <c r="Z485" i="11"/>
  <c r="Y485" i="11"/>
  <c r="X485" i="11"/>
  <c r="W485" i="11"/>
  <c r="V485" i="11"/>
  <c r="AA484" i="11"/>
  <c r="Z484" i="11"/>
  <c r="Y484" i="11"/>
  <c r="X484" i="11"/>
  <c r="W484" i="11"/>
  <c r="V484" i="11"/>
  <c r="AA483" i="11"/>
  <c r="Z483" i="11"/>
  <c r="Y483" i="11"/>
  <c r="X483" i="11"/>
  <c r="W483" i="11"/>
  <c r="V483" i="11"/>
  <c r="AA482" i="11"/>
  <c r="Z482" i="11"/>
  <c r="Y482" i="11"/>
  <c r="X482" i="11"/>
  <c r="W482" i="11"/>
  <c r="V482" i="11"/>
  <c r="AA481" i="11"/>
  <c r="Z481" i="11"/>
  <c r="Y481" i="11"/>
  <c r="X481" i="11"/>
  <c r="W481" i="11"/>
  <c r="V481" i="11"/>
  <c r="AA480" i="11"/>
  <c r="Z480" i="11"/>
  <c r="Y480" i="11"/>
  <c r="X480" i="11"/>
  <c r="W480" i="11"/>
  <c r="V480" i="11"/>
  <c r="AA479" i="11"/>
  <c r="Z479" i="11"/>
  <c r="Y479" i="11"/>
  <c r="X479" i="11"/>
  <c r="W479" i="11"/>
  <c r="V479" i="11"/>
  <c r="AA478" i="11"/>
  <c r="Z478" i="11"/>
  <c r="Y478" i="11"/>
  <c r="X478" i="11"/>
  <c r="W478" i="11"/>
  <c r="V478" i="11"/>
  <c r="AA477" i="11"/>
  <c r="Z477" i="11"/>
  <c r="Y477" i="11"/>
  <c r="X477" i="11"/>
  <c r="W477" i="11"/>
  <c r="V477" i="11"/>
  <c r="AA476" i="11"/>
  <c r="Z476" i="11"/>
  <c r="Y476" i="11"/>
  <c r="X476" i="11"/>
  <c r="W476" i="11"/>
  <c r="V476" i="11"/>
  <c r="AA475" i="11"/>
  <c r="Z475" i="11"/>
  <c r="Y475" i="11"/>
  <c r="X475" i="11"/>
  <c r="W475" i="11"/>
  <c r="V475" i="11"/>
  <c r="BI109" i="13" a="1"/>
  <c r="BI109" i="13" s="1"/>
  <c r="BI30" i="13"/>
  <c r="BI33" i="13"/>
  <c r="AR32" i="13"/>
  <c r="BI32" i="13" s="1"/>
  <c r="U457" i="11"/>
  <c r="AA471" i="11"/>
  <c r="Z471" i="11"/>
  <c r="Y471" i="11"/>
  <c r="X471" i="11"/>
  <c r="W471" i="11"/>
  <c r="V471" i="11"/>
  <c r="AA470" i="11"/>
  <c r="Z470" i="11"/>
  <c r="Y470" i="11"/>
  <c r="X470" i="11"/>
  <c r="W470" i="11"/>
  <c r="V470" i="11"/>
  <c r="AA469" i="11"/>
  <c r="Z469" i="11"/>
  <c r="Y469" i="11"/>
  <c r="X469" i="11"/>
  <c r="W469" i="11"/>
  <c r="V469" i="11"/>
  <c r="AA468" i="11"/>
  <c r="Z468" i="11"/>
  <c r="Y468" i="11"/>
  <c r="X468" i="11"/>
  <c r="W468" i="11"/>
  <c r="V468" i="11"/>
  <c r="AA467" i="11"/>
  <c r="Z467" i="11"/>
  <c r="Y467" i="11"/>
  <c r="X467" i="11"/>
  <c r="W467" i="11"/>
  <c r="V467" i="11"/>
  <c r="AA466" i="11"/>
  <c r="Z466" i="11"/>
  <c r="Y466" i="11"/>
  <c r="X466" i="11"/>
  <c r="W466" i="11"/>
  <c r="V466" i="11"/>
  <c r="AA465" i="11"/>
  <c r="Z465" i="11"/>
  <c r="Y465" i="11"/>
  <c r="X465" i="11"/>
  <c r="W465" i="11"/>
  <c r="V465" i="11"/>
  <c r="AA464" i="11"/>
  <c r="Z464" i="11"/>
  <c r="Y464" i="11"/>
  <c r="X464" i="11"/>
  <c r="W464" i="11"/>
  <c r="V464" i="11"/>
  <c r="AA463" i="11"/>
  <c r="Z463" i="11"/>
  <c r="Y463" i="11"/>
  <c r="X463" i="11"/>
  <c r="W463" i="11"/>
  <c r="V463" i="11"/>
  <c r="AA462" i="11"/>
  <c r="Z462" i="11"/>
  <c r="Y462" i="11"/>
  <c r="X462" i="11"/>
  <c r="W462" i="11"/>
  <c r="V462" i="11"/>
  <c r="AA461" i="11"/>
  <c r="Z461" i="11"/>
  <c r="Y461" i="11"/>
  <c r="X461" i="11"/>
  <c r="W461" i="11"/>
  <c r="V461" i="11"/>
  <c r="AA460" i="11"/>
  <c r="Z460" i="11"/>
  <c r="Y460" i="11"/>
  <c r="X460" i="11"/>
  <c r="W460" i="11"/>
  <c r="V460" i="11"/>
  <c r="AA459" i="11"/>
  <c r="Z459" i="11"/>
  <c r="Y459" i="11"/>
  <c r="X459" i="11"/>
  <c r="W459" i="11"/>
  <c r="V459" i="11"/>
  <c r="AA458" i="11"/>
  <c r="Z458" i="11"/>
  <c r="Y458" i="11"/>
  <c r="X458" i="11"/>
  <c r="W458" i="11"/>
  <c r="V458" i="11"/>
  <c r="V457" i="11"/>
  <c r="AA456" i="11"/>
  <c r="Z456" i="11"/>
  <c r="Y456" i="11"/>
  <c r="X456" i="11"/>
  <c r="W456" i="11"/>
  <c r="V456" i="11"/>
  <c r="BI108" i="13" a="1"/>
  <c r="BI108" i="13" s="1"/>
  <c r="BI107" i="13" a="1"/>
  <c r="BI107" i="13" s="1"/>
  <c r="BI72" i="13"/>
  <c r="BD29" i="13"/>
  <c r="BC29" i="13"/>
  <c r="AZ29" i="13"/>
  <c r="BC26" i="13"/>
  <c r="AZ26" i="13"/>
  <c r="BA26" i="13"/>
  <c r="AX26" i="13"/>
  <c r="AW26" i="13"/>
  <c r="AU26" i="13"/>
  <c r="AT26" i="13"/>
  <c r="AQ26" i="13"/>
  <c r="AR26" i="13"/>
  <c r="AQ29" i="13"/>
  <c r="AR29" i="13"/>
  <c r="AU29" i="13"/>
  <c r="AW29" i="13"/>
  <c r="AX29" i="13"/>
  <c r="BA29" i="13"/>
  <c r="BD26" i="13"/>
  <c r="BJ21" i="13"/>
  <c r="BI106" i="13" s="1" a="1"/>
  <c r="BI106" i="13" s="1"/>
  <c r="AA452" i="11"/>
  <c r="Z452" i="11"/>
  <c r="Y452" i="11"/>
  <c r="X452" i="11"/>
  <c r="W452" i="11"/>
  <c r="V452" i="11"/>
  <c r="AA451" i="11"/>
  <c r="Z451" i="11"/>
  <c r="Y451" i="11"/>
  <c r="X451" i="11"/>
  <c r="W451" i="11"/>
  <c r="V451" i="11"/>
  <c r="AA450" i="11"/>
  <c r="Z450" i="11"/>
  <c r="Y450" i="11"/>
  <c r="X450" i="11"/>
  <c r="W450" i="11"/>
  <c r="V450" i="11"/>
  <c r="AA449" i="11"/>
  <c r="Z449" i="11"/>
  <c r="Y449" i="11"/>
  <c r="X449" i="11"/>
  <c r="W449" i="11"/>
  <c r="V449" i="11"/>
  <c r="AA448" i="11"/>
  <c r="Z448" i="11"/>
  <c r="Y448" i="11"/>
  <c r="X448" i="11"/>
  <c r="W448" i="11"/>
  <c r="V448" i="11"/>
  <c r="AA447" i="11"/>
  <c r="Z447" i="11"/>
  <c r="Y447" i="11"/>
  <c r="X447" i="11"/>
  <c r="W447" i="11"/>
  <c r="V447" i="11"/>
  <c r="AA446" i="11"/>
  <c r="Z446" i="11"/>
  <c r="Y446" i="11"/>
  <c r="X446" i="11"/>
  <c r="W446" i="11"/>
  <c r="V446" i="11"/>
  <c r="AA445" i="11"/>
  <c r="Z445" i="11"/>
  <c r="Y445" i="11"/>
  <c r="X445" i="11"/>
  <c r="W445" i="11"/>
  <c r="V445" i="11"/>
  <c r="AA444" i="11"/>
  <c r="Z444" i="11"/>
  <c r="Y444" i="11"/>
  <c r="X444" i="11"/>
  <c r="W444" i="11"/>
  <c r="V444" i="11"/>
  <c r="AA443" i="11"/>
  <c r="Z443" i="11"/>
  <c r="Y443" i="11"/>
  <c r="X443" i="11"/>
  <c r="W443" i="11"/>
  <c r="V443" i="11"/>
  <c r="AA442" i="11"/>
  <c r="Z442" i="11"/>
  <c r="Y442" i="11"/>
  <c r="X442" i="11"/>
  <c r="W442" i="11"/>
  <c r="V442" i="11"/>
  <c r="AA441" i="11"/>
  <c r="Z441" i="11"/>
  <c r="Y441" i="11"/>
  <c r="X441" i="11"/>
  <c r="W441" i="11"/>
  <c r="V441" i="11"/>
  <c r="AA440" i="11"/>
  <c r="Z440" i="11"/>
  <c r="Y440" i="11"/>
  <c r="X440" i="11"/>
  <c r="W440" i="11"/>
  <c r="V440" i="11"/>
  <c r="AA436" i="11"/>
  <c r="Z436" i="11"/>
  <c r="Y436" i="11"/>
  <c r="X436" i="11"/>
  <c r="W436" i="11"/>
  <c r="V436" i="11"/>
  <c r="AA435" i="11"/>
  <c r="Z435" i="11"/>
  <c r="Y435" i="11"/>
  <c r="X435" i="11"/>
  <c r="W435" i="11"/>
  <c r="V435" i="11"/>
  <c r="AA434" i="11"/>
  <c r="Z434" i="11"/>
  <c r="Y434" i="11"/>
  <c r="X434" i="11"/>
  <c r="W434" i="11"/>
  <c r="V434" i="11"/>
  <c r="AA433" i="11"/>
  <c r="Z433" i="11"/>
  <c r="Y433" i="11"/>
  <c r="X433" i="11"/>
  <c r="W433" i="11"/>
  <c r="V433" i="11"/>
  <c r="AA432" i="11"/>
  <c r="Z432" i="11"/>
  <c r="Y432" i="11"/>
  <c r="X432" i="11"/>
  <c r="W432" i="11"/>
  <c r="V432" i="11"/>
  <c r="AA431" i="11"/>
  <c r="Z431" i="11"/>
  <c r="Y431" i="11"/>
  <c r="X431" i="11"/>
  <c r="W431" i="11"/>
  <c r="V431" i="11"/>
  <c r="AA430" i="11"/>
  <c r="Z430" i="11"/>
  <c r="Y430" i="11"/>
  <c r="X430" i="11"/>
  <c r="W430" i="11"/>
  <c r="V430" i="11"/>
  <c r="AA429" i="11"/>
  <c r="Z429" i="11"/>
  <c r="Y429" i="11"/>
  <c r="X429" i="11"/>
  <c r="W429" i="11"/>
  <c r="V429" i="11"/>
  <c r="AA428" i="11"/>
  <c r="Z428" i="11"/>
  <c r="Y428" i="11"/>
  <c r="X428" i="11"/>
  <c r="W428" i="11"/>
  <c r="V428" i="11"/>
  <c r="AA427" i="11"/>
  <c r="Z427" i="11"/>
  <c r="Y427" i="11"/>
  <c r="X427" i="11"/>
  <c r="W427" i="11"/>
  <c r="V427" i="11"/>
  <c r="AA426" i="11"/>
  <c r="Z426" i="11"/>
  <c r="Y426" i="11"/>
  <c r="X426" i="11"/>
  <c r="W426" i="11"/>
  <c r="V426" i="11"/>
  <c r="AA422" i="11"/>
  <c r="Z422" i="11"/>
  <c r="Y422" i="11"/>
  <c r="X422" i="11"/>
  <c r="W422" i="11"/>
  <c r="V422" i="11"/>
  <c r="AA421" i="11"/>
  <c r="Z421" i="11"/>
  <c r="Y421" i="11"/>
  <c r="X421" i="11"/>
  <c r="W421" i="11"/>
  <c r="V421" i="11"/>
  <c r="AA420" i="11"/>
  <c r="Z420" i="11"/>
  <c r="Y420" i="11"/>
  <c r="X420" i="11"/>
  <c r="W420" i="11"/>
  <c r="V420" i="11"/>
  <c r="AA419" i="11"/>
  <c r="Z419" i="11"/>
  <c r="Y419" i="11"/>
  <c r="X419" i="11"/>
  <c r="W419" i="11"/>
  <c r="V419" i="11"/>
  <c r="AA418" i="11"/>
  <c r="Z418" i="11"/>
  <c r="Y418" i="11"/>
  <c r="X418" i="11"/>
  <c r="W418" i="11"/>
  <c r="V418" i="11"/>
  <c r="AA417" i="11"/>
  <c r="Z417" i="11"/>
  <c r="Y417" i="11"/>
  <c r="X417" i="11"/>
  <c r="W417" i="11"/>
  <c r="V417" i="11"/>
  <c r="AA416" i="11"/>
  <c r="Z416" i="11"/>
  <c r="Y416" i="11"/>
  <c r="X416" i="11"/>
  <c r="W416" i="11"/>
  <c r="V416" i="11"/>
  <c r="AA415" i="11"/>
  <c r="Z415" i="11"/>
  <c r="Y415" i="11"/>
  <c r="X415" i="11"/>
  <c r="W415" i="11"/>
  <c r="V415" i="11"/>
  <c r="AA414" i="11"/>
  <c r="Z414" i="11"/>
  <c r="Y414" i="11"/>
  <c r="X414" i="11"/>
  <c r="W414" i="11"/>
  <c r="V414" i="11"/>
  <c r="AA413" i="11"/>
  <c r="Z413" i="11"/>
  <c r="Y413" i="11"/>
  <c r="X413" i="11"/>
  <c r="W413" i="11"/>
  <c r="V413" i="11"/>
  <c r="V409" i="11"/>
  <c r="U407" i="11"/>
  <c r="BA20" i="13"/>
  <c r="AZ20" i="13"/>
  <c r="BI105" i="13" a="1"/>
  <c r="BI105" i="13" s="1"/>
  <c r="AW20" i="13"/>
  <c r="AU20" i="13"/>
  <c r="AQ20" i="13"/>
  <c r="AR20" i="13"/>
  <c r="AX20" i="13"/>
  <c r="BI18" i="13"/>
  <c r="AA409" i="11"/>
  <c r="Z409" i="11"/>
  <c r="Y409" i="11"/>
  <c r="X409" i="11"/>
  <c r="W409" i="11"/>
  <c r="AA408" i="11"/>
  <c r="Z408" i="11"/>
  <c r="Y408" i="11"/>
  <c r="X408" i="11"/>
  <c r="W408" i="11"/>
  <c r="V408" i="11"/>
  <c r="V407" i="11"/>
  <c r="AA406" i="11"/>
  <c r="Z406" i="11"/>
  <c r="Y406" i="11"/>
  <c r="X406" i="11"/>
  <c r="W406" i="11"/>
  <c r="V406" i="11"/>
  <c r="AA405" i="11"/>
  <c r="Z405" i="11"/>
  <c r="Y405" i="11"/>
  <c r="X405" i="11"/>
  <c r="W405" i="11"/>
  <c r="V405" i="11"/>
  <c r="AA404" i="11"/>
  <c r="Z404" i="11"/>
  <c r="Y404" i="11"/>
  <c r="X404" i="11"/>
  <c r="W404" i="11"/>
  <c r="V404" i="11"/>
  <c r="AA403" i="11"/>
  <c r="Z403" i="11"/>
  <c r="Y403" i="11"/>
  <c r="X403" i="11"/>
  <c r="W403" i="11"/>
  <c r="V403" i="11"/>
  <c r="AA402" i="11"/>
  <c r="Z402" i="11"/>
  <c r="Y402" i="11"/>
  <c r="X402" i="11"/>
  <c r="W402" i="11"/>
  <c r="V402" i="11"/>
  <c r="AA401" i="11"/>
  <c r="Z401" i="11"/>
  <c r="Y401" i="11"/>
  <c r="X401" i="11"/>
  <c r="W401" i="11"/>
  <c r="V401" i="11"/>
  <c r="AA400" i="11"/>
  <c r="Z400" i="11"/>
  <c r="Y400" i="11"/>
  <c r="X400" i="11"/>
  <c r="W400" i="11"/>
  <c r="V400" i="11"/>
  <c r="AA399" i="11"/>
  <c r="Z399" i="11"/>
  <c r="Y399" i="11"/>
  <c r="X399" i="11"/>
  <c r="W399" i="11"/>
  <c r="V399" i="11"/>
  <c r="AA398" i="11"/>
  <c r="Z398" i="11"/>
  <c r="Y398" i="11"/>
  <c r="X398" i="11"/>
  <c r="W398" i="11"/>
  <c r="V398" i="11"/>
  <c r="AA397" i="11"/>
  <c r="Z397" i="11"/>
  <c r="Y397" i="11"/>
  <c r="X397" i="11"/>
  <c r="W397" i="11"/>
  <c r="V397" i="11"/>
  <c r="BI104" i="13" a="1"/>
  <c r="BI104" i="13" s="1"/>
  <c r="BA17" i="13"/>
  <c r="AX17" i="13"/>
  <c r="AT17" i="13"/>
  <c r="AU17" i="13"/>
  <c r="AQ17" i="13"/>
  <c r="AR17" i="13"/>
  <c r="BC17" i="13"/>
  <c r="BD17" i="13"/>
  <c r="V377" i="11"/>
  <c r="W377" i="11"/>
  <c r="X377" i="11"/>
  <c r="Y377" i="11"/>
  <c r="Z377" i="11"/>
  <c r="AA377" i="11"/>
  <c r="V378" i="11"/>
  <c r="W378" i="11"/>
  <c r="X378" i="11"/>
  <c r="Y378" i="11"/>
  <c r="Z378" i="11"/>
  <c r="AA378" i="11"/>
  <c r="V379" i="11"/>
  <c r="W379" i="11"/>
  <c r="X379" i="11"/>
  <c r="Y379" i="11"/>
  <c r="Z379" i="11"/>
  <c r="AA379" i="11"/>
  <c r="V380" i="11"/>
  <c r="W380" i="11"/>
  <c r="X380" i="11"/>
  <c r="Y380" i="11"/>
  <c r="Z380" i="11"/>
  <c r="AA380" i="11"/>
  <c r="V381" i="11"/>
  <c r="W381" i="11"/>
  <c r="X381" i="11"/>
  <c r="Y381" i="11"/>
  <c r="Z381" i="11"/>
  <c r="AA381" i="11"/>
  <c r="V382" i="11"/>
  <c r="W382" i="11"/>
  <c r="X382" i="11"/>
  <c r="Y382" i="11"/>
  <c r="Z382" i="11"/>
  <c r="AA382" i="11"/>
  <c r="V383" i="11"/>
  <c r="W383" i="11"/>
  <c r="X383" i="11"/>
  <c r="Y383" i="11"/>
  <c r="Z383" i="11"/>
  <c r="AA383" i="11"/>
  <c r="V384" i="11"/>
  <c r="W384" i="11"/>
  <c r="X384" i="11"/>
  <c r="Y384" i="11"/>
  <c r="Z384" i="11"/>
  <c r="AA384" i="11"/>
  <c r="V385" i="11"/>
  <c r="W385" i="11"/>
  <c r="X385" i="11"/>
  <c r="Y385" i="11"/>
  <c r="Z385" i="11"/>
  <c r="AA385" i="11"/>
  <c r="V386" i="11"/>
  <c r="W386" i="11"/>
  <c r="X386" i="11"/>
  <c r="Y386" i="11"/>
  <c r="Z386" i="11"/>
  <c r="AA386" i="11"/>
  <c r="V387" i="11"/>
  <c r="W387" i="11"/>
  <c r="X387" i="11"/>
  <c r="Y387" i="11"/>
  <c r="Z387" i="11"/>
  <c r="AA387" i="11"/>
  <c r="V388" i="11"/>
  <c r="W388" i="11"/>
  <c r="X388" i="11"/>
  <c r="Y388" i="11"/>
  <c r="Z388" i="11"/>
  <c r="AA388" i="11"/>
  <c r="V389" i="11"/>
  <c r="W389" i="11"/>
  <c r="X389" i="11"/>
  <c r="Y389" i="11"/>
  <c r="Z389" i="11"/>
  <c r="AA389" i="11"/>
  <c r="V390" i="11"/>
  <c r="W390" i="11"/>
  <c r="X390" i="11"/>
  <c r="Y390" i="11"/>
  <c r="Z390" i="11"/>
  <c r="AA390" i="11"/>
  <c r="V391" i="11"/>
  <c r="W391" i="11"/>
  <c r="X391" i="11"/>
  <c r="Y391" i="11"/>
  <c r="Z391" i="11"/>
  <c r="AA391" i="11"/>
  <c r="V392" i="11"/>
  <c r="W392" i="11"/>
  <c r="X392" i="11"/>
  <c r="Y392" i="11"/>
  <c r="Z392" i="11"/>
  <c r="AA392" i="11"/>
  <c r="V393" i="11"/>
  <c r="W393" i="11"/>
  <c r="X393" i="11"/>
  <c r="Y393" i="11"/>
  <c r="Z393" i="11"/>
  <c r="AA393" i="11"/>
  <c r="Z372" i="11"/>
  <c r="BI103" i="13" a="1"/>
  <c r="BI103" i="13" s="1"/>
  <c r="AZ14" i="13"/>
  <c r="AW14" i="13"/>
  <c r="AX14" i="13"/>
  <c r="AU14" i="13"/>
  <c r="AQ14" i="13"/>
  <c r="AR14" i="13"/>
  <c r="AT14" i="13"/>
  <c r="BA14" i="13"/>
  <c r="AA373" i="11"/>
  <c r="Z373" i="11"/>
  <c r="Y373" i="11"/>
  <c r="X373" i="11"/>
  <c r="W373" i="11"/>
  <c r="V373" i="11"/>
  <c r="AA372" i="11"/>
  <c r="Y372" i="11"/>
  <c r="X372" i="11"/>
  <c r="W372" i="11"/>
  <c r="V372" i="11"/>
  <c r="AA371" i="11"/>
  <c r="Z371" i="11"/>
  <c r="Y371" i="11"/>
  <c r="X371" i="11"/>
  <c r="W371" i="11"/>
  <c r="V371" i="11"/>
  <c r="AA370" i="11"/>
  <c r="Z370" i="11"/>
  <c r="Y370" i="11"/>
  <c r="X370" i="11"/>
  <c r="W370" i="11"/>
  <c r="V370" i="11"/>
  <c r="AA369" i="11"/>
  <c r="Z369" i="11"/>
  <c r="Y369" i="11"/>
  <c r="X369" i="11"/>
  <c r="W369" i="11"/>
  <c r="V369" i="11"/>
  <c r="AA368" i="11"/>
  <c r="Z368" i="11"/>
  <c r="Y368" i="11"/>
  <c r="X368" i="11"/>
  <c r="W368" i="11"/>
  <c r="V368" i="11"/>
  <c r="AA367" i="11"/>
  <c r="Z367" i="11"/>
  <c r="Y367" i="11"/>
  <c r="X367" i="11"/>
  <c r="W367" i="11"/>
  <c r="V367" i="11"/>
  <c r="AA366" i="11"/>
  <c r="Z366" i="11"/>
  <c r="Y366" i="11"/>
  <c r="X366" i="11"/>
  <c r="W366" i="11"/>
  <c r="V366" i="11"/>
  <c r="AA365" i="11"/>
  <c r="Z365" i="11"/>
  <c r="Y365" i="11"/>
  <c r="X365" i="11"/>
  <c r="W365" i="11"/>
  <c r="V365" i="11"/>
  <c r="AA364" i="11"/>
  <c r="Z364" i="11"/>
  <c r="Y364" i="11"/>
  <c r="X364" i="11"/>
  <c r="W364" i="11"/>
  <c r="V364" i="11"/>
  <c r="AA363" i="11"/>
  <c r="Z363" i="11"/>
  <c r="Y363" i="11"/>
  <c r="X363" i="11"/>
  <c r="W363" i="11"/>
  <c r="V363" i="11"/>
  <c r="AA362" i="11"/>
  <c r="Z362" i="11"/>
  <c r="Y362" i="11"/>
  <c r="X362" i="11"/>
  <c r="W362" i="11"/>
  <c r="V362" i="11"/>
  <c r="AA361" i="11"/>
  <c r="Z361" i="11"/>
  <c r="Y361" i="11"/>
  <c r="X361" i="11"/>
  <c r="W361" i="11"/>
  <c r="V361" i="11"/>
  <c r="AA360" i="11"/>
  <c r="Z360" i="11"/>
  <c r="Y360" i="11"/>
  <c r="X360" i="11"/>
  <c r="W360" i="11"/>
  <c r="V360" i="11"/>
  <c r="AA359" i="11"/>
  <c r="Z359" i="11"/>
  <c r="Y359" i="11"/>
  <c r="X359" i="11"/>
  <c r="W359" i="11"/>
  <c r="V359" i="11"/>
  <c r="AA358" i="11"/>
  <c r="Z358" i="11"/>
  <c r="Y358" i="11"/>
  <c r="X358" i="11"/>
  <c r="W358" i="11"/>
  <c r="V358" i="11"/>
  <c r="CQ5" i="13"/>
  <c r="CQ6" i="13"/>
  <c r="CQ7" i="13"/>
  <c r="CQ8" i="13"/>
  <c r="CQ9" i="13"/>
  <c r="CQ10" i="13"/>
  <c r="CQ11" i="13"/>
  <c r="CQ12" i="13"/>
  <c r="CQ13" i="13"/>
  <c r="CQ14" i="13"/>
  <c r="CQ15" i="13"/>
  <c r="CQ16" i="13"/>
  <c r="CQ17" i="13"/>
  <c r="CQ18" i="13"/>
  <c r="CQ19" i="13"/>
  <c r="CQ20" i="13"/>
  <c r="CQ21" i="13"/>
  <c r="CQ22" i="13"/>
  <c r="CQ23" i="13"/>
  <c r="CQ24" i="13"/>
  <c r="CQ25" i="13"/>
  <c r="CQ26" i="13"/>
  <c r="CQ27" i="13"/>
  <c r="CQ28" i="13"/>
  <c r="CQ29" i="13"/>
  <c r="CQ30" i="13"/>
  <c r="CQ31" i="13"/>
  <c r="CQ32" i="13"/>
  <c r="CQ33" i="13"/>
  <c r="CQ4" i="13"/>
  <c r="AM130" i="13" a="1"/>
  <c r="AM130" i="13"/>
  <c r="AM129" i="13" a="1"/>
  <c r="AM129" i="13" s="1"/>
  <c r="AL129" i="13" a="1"/>
  <c r="AL129" i="13"/>
  <c r="AM128" i="13" a="1"/>
  <c r="AM128" i="13" s="1"/>
  <c r="AL128" i="13" a="1"/>
  <c r="AL128" i="13" s="1"/>
  <c r="BJ127" i="13" a="1"/>
  <c r="BJ127" i="13" s="1"/>
  <c r="AM127" i="13" a="1"/>
  <c r="AM127" i="13" s="1"/>
  <c r="AL127" i="13" a="1"/>
  <c r="AL127" i="13" s="1"/>
  <c r="BJ126" i="13" a="1"/>
  <c r="BJ126" i="13"/>
  <c r="AM126" i="13" a="1"/>
  <c r="AM126" i="13" s="1"/>
  <c r="AL126" i="13" a="1"/>
  <c r="AL126" i="13" s="1"/>
  <c r="BJ125" i="13" a="1"/>
  <c r="BJ125" i="13" s="1"/>
  <c r="AM125" i="13" a="1"/>
  <c r="AM125" i="13" s="1"/>
  <c r="AL125" i="13" a="1"/>
  <c r="AL125" i="13" s="1"/>
  <c r="BJ124" i="13" a="1"/>
  <c r="BJ124" i="13" s="1"/>
  <c r="AM124" i="13" a="1"/>
  <c r="AM124" i="13" s="1"/>
  <c r="AL124" i="13" a="1"/>
  <c r="AL124" i="13"/>
  <c r="BJ123" i="13" a="1"/>
  <c r="BJ123" i="13" s="1"/>
  <c r="AM123" i="13" a="1"/>
  <c r="AM123" i="13"/>
  <c r="BJ122" i="13" a="1"/>
  <c r="BJ122" i="13" s="1"/>
  <c r="AM122" i="13" a="1"/>
  <c r="AM122" i="13" s="1"/>
  <c r="AL122" i="13" a="1"/>
  <c r="AL122" i="13" s="1"/>
  <c r="BJ121" i="13" a="1"/>
  <c r="BJ121" i="13" s="1"/>
  <c r="AM121" i="13" a="1"/>
  <c r="AM121" i="13" s="1"/>
  <c r="AL121" i="13" a="1"/>
  <c r="AL121" i="13"/>
  <c r="BJ120" i="13" a="1"/>
  <c r="BJ120" i="13" s="1"/>
  <c r="AM120" i="13" a="1"/>
  <c r="AM120" i="13" s="1"/>
  <c r="AL120" i="13" a="1"/>
  <c r="AL120" i="13" s="1"/>
  <c r="BJ119" i="13" a="1"/>
  <c r="BJ119" i="13" s="1"/>
  <c r="AM119" i="13" a="1"/>
  <c r="AM119" i="13" s="1"/>
  <c r="AL119" i="13" a="1"/>
  <c r="AL119" i="13" s="1"/>
  <c r="BJ118" i="13" a="1"/>
  <c r="BJ118" i="13" s="1"/>
  <c r="AM118" i="13" a="1"/>
  <c r="AM118" i="13" s="1"/>
  <c r="AL118" i="13" a="1"/>
  <c r="AL118" i="13" s="1"/>
  <c r="BJ117" i="13" a="1"/>
  <c r="BJ117" i="13"/>
  <c r="AM117" i="13" a="1"/>
  <c r="AM117" i="13" s="1"/>
  <c r="AL117" i="13" a="1"/>
  <c r="AL117" i="13" s="1"/>
  <c r="BJ116" i="13" a="1"/>
  <c r="BJ116" i="13" s="1"/>
  <c r="AM116" i="13" a="1"/>
  <c r="AM116" i="13" s="1"/>
  <c r="BJ115" i="13" a="1"/>
  <c r="BJ115" i="13" s="1"/>
  <c r="AM115" i="13" a="1"/>
  <c r="AM115" i="13"/>
  <c r="AL115" i="13" a="1"/>
  <c r="AL115" i="13" s="1"/>
  <c r="BJ114" i="13" a="1"/>
  <c r="BJ114" i="13" s="1"/>
  <c r="AM114" i="13" a="1"/>
  <c r="AM114" i="13" s="1"/>
  <c r="AL114" i="13" a="1"/>
  <c r="AL114" i="13" s="1"/>
  <c r="BJ113" i="13" a="1"/>
  <c r="BJ113" i="13" s="1"/>
  <c r="AM113" i="13" a="1"/>
  <c r="AM113" i="13" s="1"/>
  <c r="AL113" i="13" a="1"/>
  <c r="AL113" i="13" s="1"/>
  <c r="BJ112" i="13" a="1"/>
  <c r="BJ112" i="13" s="1"/>
  <c r="AM112" i="13" a="1"/>
  <c r="AM112" i="13" s="1"/>
  <c r="BJ111" i="13" a="1"/>
  <c r="BJ111" i="13" s="1"/>
  <c r="AM111" i="13" a="1"/>
  <c r="AM111" i="13" s="1"/>
  <c r="AL111" i="13" a="1"/>
  <c r="AL111" i="13" s="1"/>
  <c r="BJ110" i="13" a="1"/>
  <c r="BJ110" i="13" s="1"/>
  <c r="AM110" i="13" a="1"/>
  <c r="AM110" i="13" s="1"/>
  <c r="AL110" i="13" a="1"/>
  <c r="AL110" i="13" s="1"/>
  <c r="BJ109" i="13" a="1"/>
  <c r="BJ109" i="13"/>
  <c r="AM109" i="13" a="1"/>
  <c r="AM109" i="13" s="1"/>
  <c r="BJ108" i="13" a="1"/>
  <c r="BJ108" i="13" s="1"/>
  <c r="AM108" i="13" a="1"/>
  <c r="AM108" i="13" s="1"/>
  <c r="AL108" i="13" a="1"/>
  <c r="AL108" i="13" s="1"/>
  <c r="BJ107" i="13" a="1"/>
  <c r="BJ107" i="13" s="1"/>
  <c r="AM107" i="13" a="1"/>
  <c r="AM107" i="13"/>
  <c r="BJ106" i="13" a="1"/>
  <c r="BJ106" i="13" s="1"/>
  <c r="AM106" i="13" a="1"/>
  <c r="AM106" i="13" s="1"/>
  <c r="AL106" i="13" a="1"/>
  <c r="AL106" i="13" s="1"/>
  <c r="BJ105" i="13" a="1"/>
  <c r="BJ105" i="13" s="1"/>
  <c r="AM105" i="13" a="1"/>
  <c r="AM105" i="13" s="1"/>
  <c r="AL105" i="13" a="1"/>
  <c r="AL105" i="13" s="1"/>
  <c r="BJ104" i="13" a="1"/>
  <c r="BJ104" i="13" s="1"/>
  <c r="AM104" i="13" a="1"/>
  <c r="AM104" i="13" s="1"/>
  <c r="AL104" i="13" a="1"/>
  <c r="AL104" i="13" s="1"/>
  <c r="BJ103" i="13" a="1"/>
  <c r="BJ103" i="13"/>
  <c r="AM103" i="13" a="1"/>
  <c r="AM103" i="13" s="1"/>
  <c r="BJ102" i="13" a="1"/>
  <c r="BJ102" i="13" s="1"/>
  <c r="BI102" i="13" a="1"/>
  <c r="BI102" i="13" s="1"/>
  <c r="AM102" i="13" a="1"/>
  <c r="AM102" i="13" s="1"/>
  <c r="BJ101" i="13" a="1"/>
  <c r="BJ101" i="13" s="1"/>
  <c r="BI101" i="13" a="1"/>
  <c r="BI101" i="13" s="1"/>
  <c r="AM101" i="13" a="1"/>
  <c r="AM101" i="13" s="1"/>
  <c r="BJ100" i="13" a="1"/>
  <c r="BJ100" i="13" s="1"/>
  <c r="BI100" i="13" a="1"/>
  <c r="BI100" i="13" s="1"/>
  <c r="AM100" i="13" a="1"/>
  <c r="AM100" i="13" s="1"/>
  <c r="AL100" i="13" a="1"/>
  <c r="AL100" i="13" s="1"/>
  <c r="BJ96" i="13" a="1"/>
  <c r="BJ96" i="13" s="1"/>
  <c r="O3" i="13"/>
  <c r="AL3" i="13"/>
  <c r="BI3" i="13"/>
  <c r="O4" i="13"/>
  <c r="O5" i="13"/>
  <c r="AL5" i="13"/>
  <c r="AR5" i="13"/>
  <c r="AT5" i="13"/>
  <c r="AU5" i="13"/>
  <c r="AW5" i="13"/>
  <c r="AX5" i="13"/>
  <c r="AZ5" i="13"/>
  <c r="BA5" i="13"/>
  <c r="BC5" i="13"/>
  <c r="BD5" i="13"/>
  <c r="O6" i="13"/>
  <c r="AL6" i="13"/>
  <c r="AM6" i="13"/>
  <c r="AL101" i="13" s="1" a="1"/>
  <c r="AL101" i="13" s="1"/>
  <c r="BI6" i="13"/>
  <c r="O7" i="13"/>
  <c r="O8" i="13"/>
  <c r="AL8" i="13"/>
  <c r="AQ8" i="13"/>
  <c r="AR8" i="13"/>
  <c r="AT8" i="13"/>
  <c r="AU8" i="13"/>
  <c r="AW8" i="13"/>
  <c r="AX8" i="13"/>
  <c r="AZ8" i="13"/>
  <c r="BA8" i="13"/>
  <c r="BC8" i="13"/>
  <c r="BD8" i="13"/>
  <c r="O9" i="13"/>
  <c r="P9" i="13" s="1"/>
  <c r="AL9" i="13"/>
  <c r="BI9" i="13"/>
  <c r="O10" i="13"/>
  <c r="O11" i="13"/>
  <c r="AL11" i="13"/>
  <c r="AR11" i="13"/>
  <c r="BI11" i="13" s="1"/>
  <c r="O12" i="13"/>
  <c r="AL12" i="13"/>
  <c r="BI12" i="13"/>
  <c r="O13" i="13"/>
  <c r="O14" i="13"/>
  <c r="AL14" i="13"/>
  <c r="O15" i="13"/>
  <c r="AL15" i="13"/>
  <c r="BI15" i="13"/>
  <c r="O16" i="13"/>
  <c r="O17" i="13"/>
  <c r="T17" i="13"/>
  <c r="U17" i="13"/>
  <c r="W17" i="13"/>
  <c r="X17" i="13"/>
  <c r="AC17" i="13"/>
  <c r="AD17" i="13"/>
  <c r="AL18" i="13"/>
  <c r="U20" i="13"/>
  <c r="AL20" i="13" s="1"/>
  <c r="AL21" i="13"/>
  <c r="T23" i="13"/>
  <c r="U23" i="13"/>
  <c r="W23" i="13"/>
  <c r="X23" i="13"/>
  <c r="Z23" i="13"/>
  <c r="AA23" i="13"/>
  <c r="AC23" i="13"/>
  <c r="AD23" i="13"/>
  <c r="BI23" i="13"/>
  <c r="AL24" i="13"/>
  <c r="AM24" i="13"/>
  <c r="AL107" i="13" s="1" a="1"/>
  <c r="AL107" i="13" s="1"/>
  <c r="BI24" i="13"/>
  <c r="AL26" i="13"/>
  <c r="AL27" i="13"/>
  <c r="BI27" i="13"/>
  <c r="T29" i="13"/>
  <c r="U29" i="13"/>
  <c r="W29" i="13"/>
  <c r="X29" i="13"/>
  <c r="AL30" i="13"/>
  <c r="AM30" i="13"/>
  <c r="AL109" i="13" s="1" a="1"/>
  <c r="AL109" i="13" s="1"/>
  <c r="AL32" i="13"/>
  <c r="AL33" i="13"/>
  <c r="T35" i="13"/>
  <c r="U35" i="13"/>
  <c r="X35" i="13"/>
  <c r="AA35" i="13"/>
  <c r="AD35" i="13"/>
  <c r="AF35" i="13"/>
  <c r="AG35" i="13"/>
  <c r="AJ35" i="13"/>
  <c r="AL36" i="13"/>
  <c r="BI36" i="13"/>
  <c r="T38" i="13"/>
  <c r="U38" i="13"/>
  <c r="W38" i="13"/>
  <c r="X38" i="13"/>
  <c r="AA38" i="13"/>
  <c r="AC38" i="13"/>
  <c r="AD38" i="13"/>
  <c r="BI38" i="13"/>
  <c r="AL39" i="13"/>
  <c r="AM39" i="13"/>
  <c r="AL112" i="13" s="1" a="1"/>
  <c r="AL112" i="13" s="1"/>
  <c r="BI39" i="13"/>
  <c r="AL41" i="13"/>
  <c r="BI41" i="13"/>
  <c r="AL42" i="13"/>
  <c r="BI42" i="13"/>
  <c r="T44" i="13"/>
  <c r="U44" i="13"/>
  <c r="W44" i="13"/>
  <c r="X44" i="13"/>
  <c r="Z44" i="13"/>
  <c r="AA44" i="13"/>
  <c r="AC44" i="13"/>
  <c r="AD44" i="13"/>
  <c r="BI44" i="13"/>
  <c r="AL45" i="13"/>
  <c r="BI45" i="13"/>
  <c r="T47" i="13"/>
  <c r="U47" i="13"/>
  <c r="X47" i="13"/>
  <c r="Z47" i="13"/>
  <c r="AA47" i="13"/>
  <c r="AC47" i="13"/>
  <c r="AD47" i="13"/>
  <c r="AF47" i="13"/>
  <c r="AG47" i="13"/>
  <c r="BI47" i="13"/>
  <c r="AL48" i="13"/>
  <c r="BI48" i="13"/>
  <c r="T50" i="13"/>
  <c r="U50" i="13"/>
  <c r="W50" i="13"/>
  <c r="X50" i="13"/>
  <c r="Z50" i="13"/>
  <c r="AA50" i="13"/>
  <c r="AC50" i="13"/>
  <c r="AD50" i="13"/>
  <c r="BI50" i="13"/>
  <c r="AL51" i="13"/>
  <c r="AM51" i="13"/>
  <c r="AL116" i="13" s="1" a="1"/>
  <c r="AL116" i="13" s="1"/>
  <c r="BI51" i="13"/>
  <c r="AL53" i="13"/>
  <c r="BI53" i="13"/>
  <c r="AL54" i="13"/>
  <c r="BI54" i="13"/>
  <c r="T56" i="13"/>
  <c r="U56" i="13"/>
  <c r="W56" i="13"/>
  <c r="X56" i="13"/>
  <c r="Z56" i="13"/>
  <c r="AA56" i="13"/>
  <c r="AC56" i="13"/>
  <c r="AD56" i="13"/>
  <c r="AF56" i="13"/>
  <c r="AG56" i="13"/>
  <c r="BI56" i="13"/>
  <c r="AL57" i="13"/>
  <c r="BI57" i="13"/>
  <c r="T59" i="13"/>
  <c r="U59" i="13"/>
  <c r="X59" i="13"/>
  <c r="Z59" i="13"/>
  <c r="AA59" i="13"/>
  <c r="AC59" i="13"/>
  <c r="AD59" i="13"/>
  <c r="AF59" i="13"/>
  <c r="AG59" i="13"/>
  <c r="BI59" i="13"/>
  <c r="AL60" i="13"/>
  <c r="BI60" i="13"/>
  <c r="U62" i="13"/>
  <c r="AL62" i="13" s="1"/>
  <c r="BI62" i="13"/>
  <c r="AL63" i="13"/>
  <c r="BI63" i="13"/>
  <c r="T65" i="13"/>
  <c r="U65" i="13"/>
  <c r="W65" i="13"/>
  <c r="X65" i="13"/>
  <c r="Z65" i="13"/>
  <c r="AA65" i="13"/>
  <c r="AC65" i="13"/>
  <c r="AD65" i="13"/>
  <c r="BI65" i="13"/>
  <c r="AL66" i="13"/>
  <c r="BI66" i="13"/>
  <c r="T68" i="13"/>
  <c r="U68" i="13"/>
  <c r="W68" i="13"/>
  <c r="X68" i="13"/>
  <c r="Z68" i="13"/>
  <c r="AA68" i="13"/>
  <c r="AC68" i="13"/>
  <c r="AD68" i="13"/>
  <c r="AF68" i="13"/>
  <c r="AG68" i="13"/>
  <c r="BI68" i="13"/>
  <c r="AL69" i="13"/>
  <c r="BI69" i="13"/>
  <c r="T71" i="13"/>
  <c r="U71" i="13"/>
  <c r="W71" i="13"/>
  <c r="X71" i="13"/>
  <c r="Z71" i="13"/>
  <c r="AA71" i="13"/>
  <c r="AC71" i="13"/>
  <c r="AD71" i="13"/>
  <c r="BI71" i="13"/>
  <c r="AL72" i="13"/>
  <c r="AM72" i="13"/>
  <c r="AL123" i="13" s="1" a="1"/>
  <c r="AL123" i="13" s="1"/>
  <c r="AL74" i="13"/>
  <c r="BI74" i="13"/>
  <c r="AL75" i="13"/>
  <c r="BI75" i="13"/>
  <c r="T77" i="13"/>
  <c r="U77" i="13"/>
  <c r="X77" i="13"/>
  <c r="Z77" i="13"/>
  <c r="AA77" i="13"/>
  <c r="AC77" i="13"/>
  <c r="AD77" i="13"/>
  <c r="AF77" i="13"/>
  <c r="AG77" i="13"/>
  <c r="BI77" i="13"/>
  <c r="AL78" i="13"/>
  <c r="BI78" i="13"/>
  <c r="T80" i="13"/>
  <c r="U80" i="13"/>
  <c r="X80" i="13"/>
  <c r="Z80" i="13"/>
  <c r="AA80" i="13"/>
  <c r="AC80" i="13"/>
  <c r="AD80" i="13"/>
  <c r="AF80" i="13"/>
  <c r="AG80" i="13"/>
  <c r="BI80" i="13"/>
  <c r="AL81" i="13"/>
  <c r="BI81" i="13"/>
  <c r="U83" i="13"/>
  <c r="AL83" i="13" s="1"/>
  <c r="BI83" i="13"/>
  <c r="AL84" i="13"/>
  <c r="BI84" i="13"/>
  <c r="T86" i="13"/>
  <c r="U86" i="13"/>
  <c r="W86" i="13"/>
  <c r="X86" i="13"/>
  <c r="Z86" i="13"/>
  <c r="AA86" i="13"/>
  <c r="AC86" i="13"/>
  <c r="AD86" i="13"/>
  <c r="BI86" i="13"/>
  <c r="AL87" i="13"/>
  <c r="BI87" i="13"/>
  <c r="T89" i="13"/>
  <c r="U89" i="13"/>
  <c r="W89" i="13"/>
  <c r="X89" i="13"/>
  <c r="Z89" i="13"/>
  <c r="AA89" i="13"/>
  <c r="AC89" i="13"/>
  <c r="AD89" i="13"/>
  <c r="AF89" i="13"/>
  <c r="AG89" i="13"/>
  <c r="BI89" i="13"/>
  <c r="AL90" i="13"/>
  <c r="BI90" i="13"/>
  <c r="T92" i="13"/>
  <c r="U92" i="13"/>
  <c r="W92" i="13"/>
  <c r="X92" i="13"/>
  <c r="AA92" i="13"/>
  <c r="AC92" i="13"/>
  <c r="AD92" i="13"/>
  <c r="BI92" i="13"/>
  <c r="AL93" i="13"/>
  <c r="AM93" i="13"/>
  <c r="AL130" i="13" s="1" a="1"/>
  <c r="AL130" i="13" s="1"/>
  <c r="BI93" i="13"/>
  <c r="AL95" i="13"/>
  <c r="BI95" i="13"/>
  <c r="AA354" i="11"/>
  <c r="Z354" i="11"/>
  <c r="Y354" i="11"/>
  <c r="X354" i="11"/>
  <c r="W354" i="11"/>
  <c r="V354" i="11"/>
  <c r="AA353" i="11"/>
  <c r="Z353" i="11"/>
  <c r="Y353" i="11"/>
  <c r="X353" i="11"/>
  <c r="W353" i="11"/>
  <c r="V353" i="11"/>
  <c r="AA352" i="11"/>
  <c r="Z352" i="11"/>
  <c r="Y352" i="11"/>
  <c r="X352" i="11"/>
  <c r="W352" i="11"/>
  <c r="V352" i="11"/>
  <c r="AA351" i="11"/>
  <c r="Z351" i="11"/>
  <c r="Y351" i="11"/>
  <c r="X351" i="11"/>
  <c r="W351" i="11"/>
  <c r="V351" i="11"/>
  <c r="AA350" i="11"/>
  <c r="Z350" i="11"/>
  <c r="Y350" i="11"/>
  <c r="X350" i="11"/>
  <c r="W350" i="11"/>
  <c r="V350" i="11"/>
  <c r="AA349" i="11"/>
  <c r="Z349" i="11"/>
  <c r="Y349" i="11"/>
  <c r="X349" i="11"/>
  <c r="W349" i="11"/>
  <c r="V349" i="11"/>
  <c r="AA348" i="11"/>
  <c r="Z348" i="11"/>
  <c r="Y348" i="11"/>
  <c r="X348" i="11"/>
  <c r="W348" i="11"/>
  <c r="V348" i="11"/>
  <c r="AA347" i="11"/>
  <c r="Z347" i="11"/>
  <c r="Y347" i="11"/>
  <c r="X347" i="11"/>
  <c r="W347" i="11"/>
  <c r="V347" i="11"/>
  <c r="AA346" i="11"/>
  <c r="Z346" i="11"/>
  <c r="Y346" i="11"/>
  <c r="X346" i="11"/>
  <c r="W346" i="11"/>
  <c r="V346" i="11"/>
  <c r="AA345" i="11"/>
  <c r="Z345" i="11"/>
  <c r="Y345" i="11"/>
  <c r="X345" i="11"/>
  <c r="W345" i="11"/>
  <c r="V345" i="11"/>
  <c r="AA344" i="11"/>
  <c r="Z344" i="11"/>
  <c r="Y344" i="11"/>
  <c r="X344" i="11"/>
  <c r="W344" i="11"/>
  <c r="V344" i="11"/>
  <c r="AA343" i="11"/>
  <c r="Z343" i="11"/>
  <c r="Y343" i="11"/>
  <c r="X343" i="11"/>
  <c r="W343" i="11"/>
  <c r="V343" i="11"/>
  <c r="AA342" i="11"/>
  <c r="Z342" i="11"/>
  <c r="Y342" i="11"/>
  <c r="X342" i="11"/>
  <c r="W342" i="11"/>
  <c r="V342" i="11"/>
  <c r="AA341" i="11"/>
  <c r="Z341" i="11"/>
  <c r="Y341" i="11"/>
  <c r="X341" i="11"/>
  <c r="W341" i="11"/>
  <c r="V341" i="11"/>
  <c r="AA329" i="11"/>
  <c r="Z329" i="11"/>
  <c r="Y329" i="11"/>
  <c r="X329" i="11"/>
  <c r="W329" i="11"/>
  <c r="V329" i="11"/>
  <c r="AA337" i="11"/>
  <c r="Z337" i="11"/>
  <c r="Y337" i="11"/>
  <c r="X337" i="11"/>
  <c r="W337" i="11"/>
  <c r="V337" i="11"/>
  <c r="AA336" i="11"/>
  <c r="Z336" i="11"/>
  <c r="Y336" i="11"/>
  <c r="X336" i="11"/>
  <c r="W336" i="11"/>
  <c r="V336" i="11"/>
  <c r="AA335" i="11"/>
  <c r="Z335" i="11"/>
  <c r="Y335" i="11"/>
  <c r="X335" i="11"/>
  <c r="W335" i="11"/>
  <c r="V335" i="11"/>
  <c r="AA334" i="11"/>
  <c r="Z334" i="11"/>
  <c r="Y334" i="11"/>
  <c r="X334" i="11"/>
  <c r="W334" i="11"/>
  <c r="V334" i="11"/>
  <c r="AA333" i="11"/>
  <c r="Z333" i="11"/>
  <c r="Y333" i="11"/>
  <c r="X333" i="11"/>
  <c r="W333" i="11"/>
  <c r="V333" i="11"/>
  <c r="AA332" i="11"/>
  <c r="Z332" i="11"/>
  <c r="Y332" i="11"/>
  <c r="X332" i="11"/>
  <c r="W332" i="11"/>
  <c r="V332" i="11"/>
  <c r="AA331" i="11"/>
  <c r="Z331" i="11"/>
  <c r="Y331" i="11"/>
  <c r="X331" i="11"/>
  <c r="W331" i="11"/>
  <c r="V331" i="11"/>
  <c r="AA330" i="11"/>
  <c r="Z330" i="11"/>
  <c r="Y330" i="11"/>
  <c r="X330" i="11"/>
  <c r="W330" i="11"/>
  <c r="V330" i="11"/>
  <c r="AA328" i="11"/>
  <c r="Z328" i="11"/>
  <c r="Y328" i="11"/>
  <c r="X328" i="11"/>
  <c r="W328" i="11"/>
  <c r="V328" i="11"/>
  <c r="AA327" i="11"/>
  <c r="Z327" i="11"/>
  <c r="Y327" i="11"/>
  <c r="X327" i="11"/>
  <c r="W327" i="11"/>
  <c r="V327" i="11"/>
  <c r="AA326" i="11"/>
  <c r="Z326" i="11"/>
  <c r="Y326" i="11"/>
  <c r="X326" i="11"/>
  <c r="W326" i="11"/>
  <c r="V326" i="11"/>
  <c r="AA325" i="11"/>
  <c r="Z325" i="11"/>
  <c r="Y325" i="11"/>
  <c r="X325" i="11"/>
  <c r="W325" i="11"/>
  <c r="V325" i="11"/>
  <c r="AA324" i="11"/>
  <c r="Z324" i="11"/>
  <c r="Y324" i="11"/>
  <c r="X324" i="11"/>
  <c r="W324" i="11"/>
  <c r="V324" i="11"/>
  <c r="AA323" i="11"/>
  <c r="Z323" i="11"/>
  <c r="Y323" i="11"/>
  <c r="X323" i="11"/>
  <c r="W323" i="11"/>
  <c r="V323" i="11"/>
  <c r="AA407" i="11" l="1"/>
  <c r="AB407" i="11"/>
  <c r="AB410" i="11" s="1"/>
  <c r="AB412" i="11" s="1"/>
  <c r="W457" i="11"/>
  <c r="W472" i="11" s="1"/>
  <c r="AB457" i="11"/>
  <c r="AB472" i="11" s="1"/>
  <c r="AB474" i="11" s="1"/>
  <c r="BI29" i="13"/>
  <c r="BI20" i="13"/>
  <c r="BI14" i="13"/>
  <c r="BI35" i="13"/>
  <c r="BI17" i="13"/>
  <c r="P12" i="13"/>
  <c r="BI26" i="13"/>
  <c r="AM9" i="13"/>
  <c r="AL47" i="13"/>
  <c r="P3" i="13"/>
  <c r="AL50" i="13"/>
  <c r="AL92" i="13"/>
  <c r="AL80" i="13"/>
  <c r="AL77" i="13"/>
  <c r="AL68" i="13"/>
  <c r="AL56" i="13"/>
  <c r="AL38" i="13"/>
  <c r="AL17" i="13"/>
  <c r="BI8" i="13"/>
  <c r="BI5" i="13"/>
  <c r="AL89" i="13"/>
  <c r="AL71" i="13"/>
  <c r="AL65" i="13"/>
  <c r="AL44" i="13"/>
  <c r="AL86" i="13"/>
  <c r="AL35" i="13"/>
  <c r="P15" i="13"/>
  <c r="P10" i="13"/>
  <c r="AL59" i="13"/>
  <c r="AL29" i="13"/>
  <c r="AL23" i="13"/>
  <c r="P6" i="13"/>
  <c r="AA457" i="11"/>
  <c r="AA472" i="11" s="1"/>
  <c r="X457" i="11"/>
  <c r="X472" i="11" s="1"/>
  <c r="Y457" i="11"/>
  <c r="Y472" i="11" s="1"/>
  <c r="Z457" i="11"/>
  <c r="Z472" i="11" s="1"/>
  <c r="AA486" i="11"/>
  <c r="Z486" i="11"/>
  <c r="W486" i="11"/>
  <c r="X486" i="11"/>
  <c r="Y486" i="11"/>
  <c r="Y407" i="11"/>
  <c r="Y410" i="11" s="1"/>
  <c r="X453" i="11"/>
  <c r="Z453" i="11"/>
  <c r="AA453" i="11"/>
  <c r="Y453" i="11"/>
  <c r="W453" i="11"/>
  <c r="W407" i="11"/>
  <c r="W410" i="11" s="1"/>
  <c r="X407" i="11"/>
  <c r="X410" i="11" s="1"/>
  <c r="Z407" i="11"/>
  <c r="Z410" i="11" s="1"/>
  <c r="Y437" i="11"/>
  <c r="AA437" i="11"/>
  <c r="X437" i="11"/>
  <c r="W437" i="11"/>
  <c r="Z437" i="11"/>
  <c r="X423" i="11"/>
  <c r="Y423" i="11"/>
  <c r="Z423" i="11"/>
  <c r="AA423" i="11"/>
  <c r="W423" i="11"/>
  <c r="AA410" i="11"/>
  <c r="Z394" i="11"/>
  <c r="Y394" i="11"/>
  <c r="X394" i="11"/>
  <c r="W394" i="11"/>
  <c r="AA394" i="11"/>
  <c r="AA374" i="11"/>
  <c r="X374" i="11"/>
  <c r="Y374" i="11"/>
  <c r="Z374" i="11"/>
  <c r="W374" i="11"/>
  <c r="AM96" i="13" a="1"/>
  <c r="AM96" i="13" s="1"/>
  <c r="W355" i="11"/>
  <c r="X355" i="11"/>
  <c r="Y355" i="11"/>
  <c r="Z355" i="11"/>
  <c r="AA355" i="11"/>
  <c r="W338" i="11"/>
  <c r="AA338" i="11"/>
  <c r="Z338" i="11"/>
  <c r="Y338" i="11"/>
  <c r="X338" i="11"/>
  <c r="AA319" i="11"/>
  <c r="Z319" i="11"/>
  <c r="Y319" i="11"/>
  <c r="X319" i="11"/>
  <c r="W319" i="11"/>
  <c r="V319" i="11"/>
  <c r="AA318" i="11"/>
  <c r="Z318" i="11"/>
  <c r="Y318" i="11"/>
  <c r="X318" i="11"/>
  <c r="W318" i="11"/>
  <c r="V318" i="11"/>
  <c r="AA317" i="11"/>
  <c r="Z317" i="11"/>
  <c r="Y317" i="11"/>
  <c r="X317" i="11"/>
  <c r="W317" i="11"/>
  <c r="V317" i="11"/>
  <c r="AA316" i="11"/>
  <c r="Z316" i="11"/>
  <c r="Y316" i="11"/>
  <c r="X316" i="11"/>
  <c r="W316" i="11"/>
  <c r="V316" i="11"/>
  <c r="AA315" i="11"/>
  <c r="Z315" i="11"/>
  <c r="Y315" i="11"/>
  <c r="X315" i="11"/>
  <c r="W315" i="11"/>
  <c r="V315" i="11"/>
  <c r="AA314" i="11"/>
  <c r="Z314" i="11"/>
  <c r="Y314" i="11"/>
  <c r="X314" i="11"/>
  <c r="W314" i="11"/>
  <c r="V314" i="11"/>
  <c r="AA313" i="11"/>
  <c r="Z313" i="11"/>
  <c r="Y313" i="11"/>
  <c r="X313" i="11"/>
  <c r="W313" i="11"/>
  <c r="V313" i="11"/>
  <c r="AA312" i="11"/>
  <c r="Z312" i="11"/>
  <c r="Y312" i="11"/>
  <c r="X312" i="11"/>
  <c r="W312" i="11"/>
  <c r="V312" i="11"/>
  <c r="AA311" i="11"/>
  <c r="Z311" i="11"/>
  <c r="Y311" i="11"/>
  <c r="X311" i="11"/>
  <c r="W311" i="11"/>
  <c r="V311" i="11"/>
  <c r="AA310" i="11"/>
  <c r="Z310" i="11"/>
  <c r="Y310" i="11"/>
  <c r="X310" i="11"/>
  <c r="W310" i="11"/>
  <c r="V310" i="11"/>
  <c r="AA309" i="11"/>
  <c r="Z309" i="11"/>
  <c r="Y309" i="11"/>
  <c r="X309" i="11"/>
  <c r="W309" i="11"/>
  <c r="V309" i="11"/>
  <c r="AA308" i="11"/>
  <c r="Z308" i="11"/>
  <c r="Y308" i="11"/>
  <c r="X308" i="11"/>
  <c r="W308" i="11"/>
  <c r="V308" i="11"/>
  <c r="AA307" i="11"/>
  <c r="Z307" i="11"/>
  <c r="Y307" i="11"/>
  <c r="X307" i="11"/>
  <c r="W307" i="11"/>
  <c r="V307" i="11"/>
  <c r="H85" i="11"/>
  <c r="V293" i="11"/>
  <c r="AA303" i="11"/>
  <c r="Z303" i="11"/>
  <c r="Y303" i="11"/>
  <c r="X303" i="11"/>
  <c r="W303" i="11"/>
  <c r="V303" i="11"/>
  <c r="AA302" i="11"/>
  <c r="Z302" i="11"/>
  <c r="Y302" i="11"/>
  <c r="X302" i="11"/>
  <c r="W302" i="11"/>
  <c r="V302" i="11"/>
  <c r="AA301" i="11"/>
  <c r="Z301" i="11"/>
  <c r="Y301" i="11"/>
  <c r="X301" i="11"/>
  <c r="W301" i="11"/>
  <c r="V301" i="11"/>
  <c r="AA300" i="11"/>
  <c r="Z300" i="11"/>
  <c r="Y300" i="11"/>
  <c r="X300" i="11"/>
  <c r="W300" i="11"/>
  <c r="V300" i="11"/>
  <c r="AA299" i="11"/>
  <c r="Z299" i="11"/>
  <c r="Y299" i="11"/>
  <c r="X299" i="11"/>
  <c r="W299" i="11"/>
  <c r="V299" i="11"/>
  <c r="AA298" i="11"/>
  <c r="Z298" i="11"/>
  <c r="Y298" i="11"/>
  <c r="X298" i="11"/>
  <c r="W298" i="11"/>
  <c r="V298" i="11"/>
  <c r="AA297" i="11"/>
  <c r="Z297" i="11"/>
  <c r="Y297" i="11"/>
  <c r="X297" i="11"/>
  <c r="W297" i="11"/>
  <c r="V297" i="11"/>
  <c r="AA296" i="11"/>
  <c r="Z296" i="11"/>
  <c r="Y296" i="11"/>
  <c r="X296" i="11"/>
  <c r="W296" i="11"/>
  <c r="V296" i="11"/>
  <c r="AA295" i="11"/>
  <c r="Z295" i="11"/>
  <c r="Y295" i="11"/>
  <c r="X295" i="11"/>
  <c r="W295" i="11"/>
  <c r="V295" i="11"/>
  <c r="AA294" i="11"/>
  <c r="Z294" i="11"/>
  <c r="Y294" i="11"/>
  <c r="X294" i="11"/>
  <c r="W294" i="11"/>
  <c r="V294" i="11"/>
  <c r="AA293" i="11"/>
  <c r="Z293" i="11"/>
  <c r="Y293" i="11"/>
  <c r="X293" i="11"/>
  <c r="W293" i="11"/>
  <c r="AA292" i="11"/>
  <c r="Z292" i="11"/>
  <c r="Y292" i="11"/>
  <c r="X292" i="11"/>
  <c r="W292" i="11"/>
  <c r="V292" i="11"/>
  <c r="W761" i="11" l="1"/>
  <c r="W765" i="11" s="1"/>
  <c r="W1610" i="11"/>
  <c r="W1613" i="11" s="1"/>
  <c r="AL102" i="13" a="1"/>
  <c r="AL102" i="13" s="1"/>
  <c r="AM12" i="13"/>
  <c r="AL103" i="13" s="1" a="1"/>
  <c r="AL103" i="13" s="1"/>
  <c r="BI97" i="13" a="1"/>
  <c r="BI97" i="13" s="1"/>
  <c r="AL96" i="13" a="1"/>
  <c r="AL96" i="13" s="1"/>
  <c r="BI96" i="13" a="1"/>
  <c r="BI96" i="13" s="1"/>
  <c r="AL97" i="13" a="1"/>
  <c r="AL97" i="13" s="1"/>
  <c r="W523" i="11"/>
  <c r="W531" i="11" s="1"/>
  <c r="W640" i="11"/>
  <c r="W641" i="11" s="1"/>
  <c r="AA320" i="11"/>
  <c r="W320" i="11"/>
  <c r="X320" i="11"/>
  <c r="Y320" i="11"/>
  <c r="Z320" i="11"/>
  <c r="W304" i="11"/>
  <c r="AA304" i="11"/>
  <c r="Z304" i="11"/>
  <c r="X304" i="11"/>
  <c r="Y304" i="11"/>
  <c r="V272" i="11" l="1"/>
  <c r="W272" i="11"/>
  <c r="X272" i="11"/>
  <c r="Y272" i="11"/>
  <c r="Z272" i="11"/>
  <c r="AA272" i="11"/>
  <c r="V273" i="11"/>
  <c r="W273" i="11"/>
  <c r="X273" i="11"/>
  <c r="Y273" i="11"/>
  <c r="Z273" i="11"/>
  <c r="AA273" i="11"/>
  <c r="V274" i="11"/>
  <c r="W274" i="11"/>
  <c r="X274" i="11"/>
  <c r="Y274" i="11"/>
  <c r="Z274" i="11"/>
  <c r="AA274" i="11"/>
  <c r="V275" i="11"/>
  <c r="W275" i="11"/>
  <c r="X275" i="11"/>
  <c r="Y275" i="11"/>
  <c r="Z275" i="11"/>
  <c r="AA275" i="11"/>
  <c r="V276" i="11"/>
  <c r="W276" i="11"/>
  <c r="X276" i="11"/>
  <c r="Y276" i="11"/>
  <c r="Z276" i="11"/>
  <c r="AA276" i="11"/>
  <c r="V277" i="11"/>
  <c r="W277" i="11"/>
  <c r="X277" i="11"/>
  <c r="Y277" i="11"/>
  <c r="Z277" i="11"/>
  <c r="AA277" i="11"/>
  <c r="V278" i="11"/>
  <c r="W278" i="11"/>
  <c r="X278" i="11"/>
  <c r="Y278" i="11"/>
  <c r="Z278" i="11"/>
  <c r="AA278" i="11"/>
  <c r="V279" i="11"/>
  <c r="W279" i="11"/>
  <c r="X279" i="11"/>
  <c r="Y279" i="11"/>
  <c r="Z279" i="11"/>
  <c r="AA279" i="11"/>
  <c r="V280" i="11"/>
  <c r="W280" i="11"/>
  <c r="X280" i="11"/>
  <c r="Y280" i="11"/>
  <c r="Z280" i="11"/>
  <c r="AA280" i="11"/>
  <c r="V281" i="11"/>
  <c r="W281" i="11"/>
  <c r="X281" i="11"/>
  <c r="Y281" i="11"/>
  <c r="Z281" i="11"/>
  <c r="AA281" i="11"/>
  <c r="V282" i="11"/>
  <c r="W282" i="11"/>
  <c r="X282" i="11"/>
  <c r="Y282" i="11"/>
  <c r="Z282" i="11"/>
  <c r="AA282" i="11"/>
  <c r="V283" i="11"/>
  <c r="W283" i="11"/>
  <c r="X283" i="11"/>
  <c r="Y283" i="11"/>
  <c r="Z283" i="11"/>
  <c r="AA283" i="11"/>
  <c r="V284" i="11"/>
  <c r="W284" i="11"/>
  <c r="X284" i="11"/>
  <c r="Y284" i="11"/>
  <c r="Z284" i="11"/>
  <c r="AA284" i="11"/>
  <c r="V285" i="11"/>
  <c r="W285" i="11"/>
  <c r="X285" i="11"/>
  <c r="Y285" i="11"/>
  <c r="Z285" i="11"/>
  <c r="AA285" i="11"/>
  <c r="V286" i="11"/>
  <c r="W286" i="11"/>
  <c r="X286" i="11"/>
  <c r="Y286" i="11"/>
  <c r="Z286" i="11"/>
  <c r="AA286" i="11"/>
  <c r="V287" i="11"/>
  <c r="W287" i="11"/>
  <c r="X287" i="11"/>
  <c r="Y287" i="11"/>
  <c r="Z287" i="11"/>
  <c r="AA287" i="11"/>
  <c r="V288" i="11"/>
  <c r="W288" i="11"/>
  <c r="X288" i="11"/>
  <c r="Y288" i="11"/>
  <c r="Z288" i="11"/>
  <c r="AA288" i="11"/>
  <c r="V267" i="11"/>
  <c r="V268" i="11"/>
  <c r="X289" i="11" l="1"/>
  <c r="AA289" i="11"/>
  <c r="W289" i="11"/>
  <c r="Z289" i="11"/>
  <c r="Y289" i="11"/>
  <c r="AA268" i="11"/>
  <c r="Z268" i="11"/>
  <c r="Y268" i="11"/>
  <c r="X268" i="11"/>
  <c r="W268" i="11"/>
  <c r="AA267" i="11"/>
  <c r="Z267" i="11"/>
  <c r="Y267" i="11"/>
  <c r="X267" i="11"/>
  <c r="W267" i="11"/>
  <c r="AA266" i="11"/>
  <c r="Z266" i="11"/>
  <c r="Y266" i="11"/>
  <c r="X266" i="11"/>
  <c r="W266" i="11"/>
  <c r="V266" i="11"/>
  <c r="AA265" i="11"/>
  <c r="Z265" i="11"/>
  <c r="Y265" i="11"/>
  <c r="X265" i="11"/>
  <c r="W265" i="11"/>
  <c r="V265" i="11"/>
  <c r="AA264" i="11"/>
  <c r="Z264" i="11"/>
  <c r="Y264" i="11"/>
  <c r="X264" i="11"/>
  <c r="W264" i="11"/>
  <c r="V264" i="11"/>
  <c r="AA263" i="11"/>
  <c r="Z263" i="11"/>
  <c r="Y263" i="11"/>
  <c r="X263" i="11"/>
  <c r="W263" i="11"/>
  <c r="V263" i="11"/>
  <c r="AA262" i="11"/>
  <c r="Z262" i="11"/>
  <c r="Y262" i="11"/>
  <c r="X262" i="11"/>
  <c r="W262" i="11"/>
  <c r="V262" i="11"/>
  <c r="AA261" i="11"/>
  <c r="Z261" i="11"/>
  <c r="Y261" i="11"/>
  <c r="X261" i="11"/>
  <c r="W261" i="11"/>
  <c r="V261" i="11"/>
  <c r="AA260" i="11"/>
  <c r="Z260" i="11"/>
  <c r="Y260" i="11"/>
  <c r="X260" i="11"/>
  <c r="W260" i="11"/>
  <c r="V260" i="11"/>
  <c r="AA259" i="11"/>
  <c r="Z259" i="11"/>
  <c r="Y259" i="11"/>
  <c r="X259" i="11"/>
  <c r="W259" i="11"/>
  <c r="V259" i="11"/>
  <c r="AA258" i="11"/>
  <c r="Z258" i="11"/>
  <c r="Y258" i="11"/>
  <c r="X258" i="11"/>
  <c r="W258" i="11"/>
  <c r="V258" i="11"/>
  <c r="AA257" i="11"/>
  <c r="Z257" i="11"/>
  <c r="Y257" i="11"/>
  <c r="X257" i="11"/>
  <c r="W257" i="11"/>
  <c r="V257" i="11"/>
  <c r="AA256" i="11"/>
  <c r="Z256" i="11"/>
  <c r="Y256" i="11"/>
  <c r="X256" i="11"/>
  <c r="W256" i="11"/>
  <c r="V256" i="11"/>
  <c r="AA255" i="11"/>
  <c r="Z255" i="11"/>
  <c r="Y255" i="11"/>
  <c r="X255" i="11"/>
  <c r="W255" i="11"/>
  <c r="V255" i="11"/>
  <c r="V241" i="11"/>
  <c r="V242" i="11"/>
  <c r="V243" i="11"/>
  <c r="V244" i="11"/>
  <c r="V245" i="11"/>
  <c r="V246" i="11"/>
  <c r="V247" i="11"/>
  <c r="X269" i="11" l="1"/>
  <c r="W269" i="11"/>
  <c r="Y269" i="11"/>
  <c r="Z269" i="11"/>
  <c r="AA269" i="11"/>
  <c r="AA251" i="11"/>
  <c r="Z251" i="11"/>
  <c r="Y251" i="11"/>
  <c r="X251" i="11"/>
  <c r="W251" i="11"/>
  <c r="V251" i="11"/>
  <c r="AA250" i="11"/>
  <c r="Z250" i="11"/>
  <c r="Y250" i="11"/>
  <c r="X250" i="11"/>
  <c r="W250" i="11"/>
  <c r="V250" i="11"/>
  <c r="AA249" i="11"/>
  <c r="Z249" i="11"/>
  <c r="Y249" i="11"/>
  <c r="X249" i="11"/>
  <c r="W249" i="11"/>
  <c r="V249" i="11"/>
  <c r="AA248" i="11"/>
  <c r="Z248" i="11"/>
  <c r="Y248" i="11"/>
  <c r="X248" i="11"/>
  <c r="W248" i="11"/>
  <c r="V248" i="11"/>
  <c r="AA247" i="11"/>
  <c r="Z247" i="11"/>
  <c r="Y247" i="11"/>
  <c r="X247" i="11"/>
  <c r="W247" i="11"/>
  <c r="AA246" i="11"/>
  <c r="Z246" i="11"/>
  <c r="Y246" i="11"/>
  <c r="X246" i="11"/>
  <c r="W246" i="11"/>
  <c r="AA245" i="11"/>
  <c r="Z245" i="11"/>
  <c r="Y245" i="11"/>
  <c r="X245" i="11"/>
  <c r="W245" i="11"/>
  <c r="AA244" i="11"/>
  <c r="Z244" i="11"/>
  <c r="Y244" i="11"/>
  <c r="X244" i="11"/>
  <c r="W244" i="11"/>
  <c r="AA243" i="11"/>
  <c r="Z243" i="11"/>
  <c r="Y243" i="11"/>
  <c r="X243" i="11"/>
  <c r="W243" i="11"/>
  <c r="AA242" i="11"/>
  <c r="Z242" i="11"/>
  <c r="Y242" i="11"/>
  <c r="X242" i="11"/>
  <c r="W242" i="11"/>
  <c r="AA241" i="11"/>
  <c r="Z241" i="11"/>
  <c r="Y241" i="11"/>
  <c r="X241" i="11"/>
  <c r="W241" i="11"/>
  <c r="AA240" i="11"/>
  <c r="Z240" i="11"/>
  <c r="Y240" i="11"/>
  <c r="X240" i="11"/>
  <c r="W240" i="11"/>
  <c r="V240" i="11"/>
  <c r="AA239" i="11"/>
  <c r="Z239" i="11"/>
  <c r="Y239" i="11"/>
  <c r="X239" i="11"/>
  <c r="W239" i="11"/>
  <c r="V239" i="11"/>
  <c r="AA238" i="11"/>
  <c r="Z238" i="11"/>
  <c r="Y238" i="11"/>
  <c r="X238" i="11"/>
  <c r="W238" i="11"/>
  <c r="V238" i="11"/>
  <c r="AA237" i="11"/>
  <c r="Z237" i="11"/>
  <c r="Y237" i="11"/>
  <c r="X237" i="11"/>
  <c r="W237" i="11"/>
  <c r="V237" i="11"/>
  <c r="AA236" i="11"/>
  <c r="Z236" i="11"/>
  <c r="Y236" i="11"/>
  <c r="X236" i="11"/>
  <c r="W236" i="11"/>
  <c r="V236" i="11"/>
  <c r="AA235" i="11"/>
  <c r="Z235" i="11"/>
  <c r="Y235" i="11"/>
  <c r="X235" i="11"/>
  <c r="W235" i="11"/>
  <c r="V235" i="11"/>
  <c r="AA231" i="11"/>
  <c r="Z231" i="11"/>
  <c r="Y231" i="11"/>
  <c r="X231" i="11"/>
  <c r="W231" i="11"/>
  <c r="V231" i="11"/>
  <c r="AA230" i="11"/>
  <c r="Z230" i="11"/>
  <c r="Y230" i="11"/>
  <c r="X230" i="11"/>
  <c r="W230" i="11"/>
  <c r="V230" i="11"/>
  <c r="AA229" i="11"/>
  <c r="Z229" i="11"/>
  <c r="Y229" i="11"/>
  <c r="X229" i="11"/>
  <c r="W229" i="11"/>
  <c r="V229" i="11"/>
  <c r="AA228" i="11"/>
  <c r="Z228" i="11"/>
  <c r="Y228" i="11"/>
  <c r="X228" i="11"/>
  <c r="W228" i="11"/>
  <c r="V228" i="11"/>
  <c r="AA227" i="11"/>
  <c r="Z227" i="11"/>
  <c r="Y227" i="11"/>
  <c r="X227" i="11"/>
  <c r="W227" i="11"/>
  <c r="V227" i="11"/>
  <c r="AA226" i="11"/>
  <c r="Z226" i="11"/>
  <c r="Y226" i="11"/>
  <c r="X226" i="11"/>
  <c r="W226" i="11"/>
  <c r="V226" i="11"/>
  <c r="AA225" i="11"/>
  <c r="Z225" i="11"/>
  <c r="Y225" i="11"/>
  <c r="X225" i="11"/>
  <c r="W225" i="11"/>
  <c r="V225" i="11"/>
  <c r="AA224" i="11"/>
  <c r="Z224" i="11"/>
  <c r="Y224" i="11"/>
  <c r="X224" i="11"/>
  <c r="W224" i="11"/>
  <c r="V224" i="11"/>
  <c r="AA223" i="11"/>
  <c r="Z223" i="11"/>
  <c r="Y223" i="11"/>
  <c r="X223" i="11"/>
  <c r="W223" i="11"/>
  <c r="V223" i="11"/>
  <c r="AA222" i="11"/>
  <c r="Z222" i="11"/>
  <c r="Y222" i="11"/>
  <c r="X222" i="11"/>
  <c r="W222" i="11"/>
  <c r="V222" i="11"/>
  <c r="AA221" i="11"/>
  <c r="Z221" i="11"/>
  <c r="Y221" i="11"/>
  <c r="X221" i="11"/>
  <c r="W221" i="11"/>
  <c r="V221" i="11"/>
  <c r="AA217" i="11"/>
  <c r="Z217" i="11"/>
  <c r="Y217" i="11"/>
  <c r="X217" i="11"/>
  <c r="W217" i="11"/>
  <c r="V217" i="11"/>
  <c r="AA216" i="11"/>
  <c r="Z216" i="11"/>
  <c r="Y216" i="11"/>
  <c r="X216" i="11"/>
  <c r="W216" i="11"/>
  <c r="V216" i="11"/>
  <c r="AA215" i="11"/>
  <c r="Z215" i="11"/>
  <c r="Y215" i="11"/>
  <c r="X215" i="11"/>
  <c r="W215" i="11"/>
  <c r="V215" i="11"/>
  <c r="AA214" i="11"/>
  <c r="Z214" i="11"/>
  <c r="Y214" i="11"/>
  <c r="X214" i="11"/>
  <c r="W214" i="11"/>
  <c r="V214" i="11"/>
  <c r="AA213" i="11"/>
  <c r="Z213" i="11"/>
  <c r="Y213" i="11"/>
  <c r="X213" i="11"/>
  <c r="W213" i="11"/>
  <c r="V213" i="11"/>
  <c r="AA212" i="11"/>
  <c r="Z212" i="11"/>
  <c r="Y212" i="11"/>
  <c r="X212" i="11"/>
  <c r="W212" i="11"/>
  <c r="V212" i="11"/>
  <c r="AA211" i="11"/>
  <c r="Z211" i="11"/>
  <c r="Y211" i="11"/>
  <c r="X211" i="11"/>
  <c r="W211" i="11"/>
  <c r="V211" i="11"/>
  <c r="AA210" i="11"/>
  <c r="Z210" i="11"/>
  <c r="Y210" i="11"/>
  <c r="X210" i="11"/>
  <c r="W210" i="11"/>
  <c r="V210" i="11"/>
  <c r="AA209" i="11"/>
  <c r="Z209" i="11"/>
  <c r="Y209" i="11"/>
  <c r="X209" i="11"/>
  <c r="W209" i="11"/>
  <c r="V209" i="11"/>
  <c r="AA208" i="11"/>
  <c r="Z208" i="11"/>
  <c r="Y208" i="11"/>
  <c r="X208" i="11"/>
  <c r="W208" i="11"/>
  <c r="V208" i="11"/>
  <c r="AA207" i="11"/>
  <c r="Z207" i="11"/>
  <c r="Y207" i="11"/>
  <c r="X207" i="11"/>
  <c r="W207" i="11"/>
  <c r="V207" i="11"/>
  <c r="AA206" i="11"/>
  <c r="Z206" i="11"/>
  <c r="Y206" i="11"/>
  <c r="X206" i="11"/>
  <c r="W206" i="11"/>
  <c r="V206" i="11"/>
  <c r="AA205" i="11"/>
  <c r="Z205" i="11"/>
  <c r="Y205" i="11"/>
  <c r="X205" i="11"/>
  <c r="W205" i="11"/>
  <c r="V205" i="11"/>
  <c r="AA204" i="11"/>
  <c r="Z204" i="11"/>
  <c r="Y204" i="11"/>
  <c r="X204" i="11"/>
  <c r="W204" i="11"/>
  <c r="V204" i="11"/>
  <c r="K96" i="11"/>
  <c r="AA200" i="11"/>
  <c r="Z200" i="11"/>
  <c r="Y200" i="11"/>
  <c r="X200" i="11"/>
  <c r="W200" i="11"/>
  <c r="V200" i="11"/>
  <c r="AA199" i="11"/>
  <c r="Z199" i="11"/>
  <c r="Y199" i="11"/>
  <c r="X199" i="11"/>
  <c r="W199" i="11"/>
  <c r="V199" i="11"/>
  <c r="AA198" i="11"/>
  <c r="Z198" i="11"/>
  <c r="Y198" i="11"/>
  <c r="X198" i="11"/>
  <c r="W198" i="11"/>
  <c r="V198" i="11"/>
  <c r="AA197" i="11"/>
  <c r="Z197" i="11"/>
  <c r="Y197" i="11"/>
  <c r="X197" i="11"/>
  <c r="W197" i="11"/>
  <c r="V197" i="11"/>
  <c r="AA196" i="11"/>
  <c r="Z196" i="11"/>
  <c r="Y196" i="11"/>
  <c r="X196" i="11"/>
  <c r="W196" i="11"/>
  <c r="V196" i="11"/>
  <c r="AA195" i="11"/>
  <c r="Y195" i="11"/>
  <c r="X195" i="11"/>
  <c r="W195" i="11"/>
  <c r="V195" i="11"/>
  <c r="AA194" i="11"/>
  <c r="Z194" i="11"/>
  <c r="Y194" i="11"/>
  <c r="X194" i="11"/>
  <c r="W194" i="11"/>
  <c r="V194" i="11"/>
  <c r="AA193" i="11"/>
  <c r="Z193" i="11"/>
  <c r="Y193" i="11"/>
  <c r="X193" i="11"/>
  <c r="W193" i="11"/>
  <c r="V193" i="11"/>
  <c r="AA192" i="11"/>
  <c r="Z192" i="11"/>
  <c r="Y192" i="11"/>
  <c r="X192" i="11"/>
  <c r="W192" i="11"/>
  <c r="V192" i="11"/>
  <c r="AA191" i="11"/>
  <c r="Z191" i="11"/>
  <c r="Y191" i="11"/>
  <c r="X191" i="11"/>
  <c r="W191" i="11"/>
  <c r="V191" i="11"/>
  <c r="AA190" i="11"/>
  <c r="Z190" i="11"/>
  <c r="Y190" i="11"/>
  <c r="X190" i="11"/>
  <c r="W190" i="11"/>
  <c r="V190" i="11"/>
  <c r="AA189" i="11"/>
  <c r="Z189" i="11"/>
  <c r="Y189" i="11"/>
  <c r="X189" i="11"/>
  <c r="W189" i="11"/>
  <c r="V189" i="11"/>
  <c r="AA188" i="11"/>
  <c r="Z188" i="11"/>
  <c r="Y188" i="11"/>
  <c r="X188" i="11"/>
  <c r="W188" i="11"/>
  <c r="V188" i="11"/>
  <c r="AA184" i="11"/>
  <c r="Z184" i="11"/>
  <c r="Y184" i="11"/>
  <c r="X184" i="11"/>
  <c r="W184" i="11"/>
  <c r="V184" i="11"/>
  <c r="AA183" i="11"/>
  <c r="Z183" i="11"/>
  <c r="Y183" i="11"/>
  <c r="X183" i="11"/>
  <c r="W183" i="11"/>
  <c r="V183" i="11"/>
  <c r="AA182" i="11"/>
  <c r="Z182" i="11"/>
  <c r="Y182" i="11"/>
  <c r="X182" i="11"/>
  <c r="W182" i="11"/>
  <c r="V182" i="11"/>
  <c r="AA181" i="11"/>
  <c r="Z181" i="11"/>
  <c r="Y181" i="11"/>
  <c r="X181" i="11"/>
  <c r="W181" i="11"/>
  <c r="V181" i="11"/>
  <c r="AA180" i="11"/>
  <c r="Z180" i="11"/>
  <c r="Y180" i="11"/>
  <c r="X180" i="11"/>
  <c r="W180" i="11"/>
  <c r="V180" i="11"/>
  <c r="Z195" i="11" l="1"/>
  <c r="Z201" i="11" s="1"/>
  <c r="Z1605" i="11"/>
  <c r="Z1613" i="11" s="1"/>
  <c r="W252" i="11"/>
  <c r="Z252" i="11"/>
  <c r="AA252" i="11"/>
  <c r="X252" i="11"/>
  <c r="Y252" i="11"/>
  <c r="X232" i="11"/>
  <c r="Y232" i="11"/>
  <c r="AA232" i="11"/>
  <c r="Z232" i="11"/>
  <c r="W232" i="11"/>
  <c r="W218" i="11"/>
  <c r="AA218" i="11"/>
  <c r="Z218" i="11"/>
  <c r="X218" i="11"/>
  <c r="Y218" i="11"/>
  <c r="AA201" i="11"/>
  <c r="W201" i="11"/>
  <c r="X201" i="11"/>
  <c r="Y201" i="11"/>
  <c r="Y185" i="11"/>
  <c r="AA185" i="11"/>
  <c r="W185" i="11"/>
  <c r="X185" i="11"/>
  <c r="Z185" i="11"/>
  <c r="AA176" i="11" l="1"/>
  <c r="Z176" i="11"/>
  <c r="Y176" i="11"/>
  <c r="X176" i="11"/>
  <c r="W176" i="11"/>
  <c r="V176" i="11"/>
  <c r="AA175" i="11"/>
  <c r="Z175" i="11"/>
  <c r="Y175" i="11"/>
  <c r="X175" i="11"/>
  <c r="W175" i="11"/>
  <c r="V175" i="11"/>
  <c r="AA174" i="11"/>
  <c r="Z174" i="11"/>
  <c r="Y174" i="11"/>
  <c r="X174" i="11"/>
  <c r="W174" i="11"/>
  <c r="V174" i="11"/>
  <c r="AA173" i="11"/>
  <c r="Z173" i="11"/>
  <c r="Y173" i="11"/>
  <c r="X173" i="11"/>
  <c r="W173" i="11"/>
  <c r="V173" i="11"/>
  <c r="AA172" i="11"/>
  <c r="Z172" i="11"/>
  <c r="Y172" i="11"/>
  <c r="X172" i="11"/>
  <c r="W172" i="11"/>
  <c r="V172" i="11"/>
  <c r="AA171" i="11"/>
  <c r="Z171" i="11"/>
  <c r="Y171" i="11"/>
  <c r="X171" i="11"/>
  <c r="W171" i="11"/>
  <c r="V171" i="11"/>
  <c r="AA170" i="11"/>
  <c r="Z170" i="11"/>
  <c r="Y170" i="11"/>
  <c r="X170" i="11"/>
  <c r="W170" i="11"/>
  <c r="V170" i="11"/>
  <c r="AA169" i="11"/>
  <c r="Z169" i="11"/>
  <c r="Y169" i="11"/>
  <c r="X169" i="11"/>
  <c r="W169" i="11"/>
  <c r="V169" i="11"/>
  <c r="AA168" i="11"/>
  <c r="Z168" i="11"/>
  <c r="Y168" i="11"/>
  <c r="X168" i="11"/>
  <c r="W168" i="11"/>
  <c r="V168" i="11"/>
  <c r="AA167" i="11"/>
  <c r="Z167" i="11"/>
  <c r="Y167" i="11"/>
  <c r="X167" i="11"/>
  <c r="W167" i="11"/>
  <c r="V167" i="11"/>
  <c r="AA166" i="11"/>
  <c r="Z166" i="11"/>
  <c r="Y166" i="11"/>
  <c r="X166" i="11"/>
  <c r="W166" i="11"/>
  <c r="V166" i="11"/>
  <c r="AA165" i="11"/>
  <c r="Z165" i="11"/>
  <c r="Y165" i="11"/>
  <c r="X165" i="11"/>
  <c r="W165" i="11"/>
  <c r="V165" i="11"/>
  <c r="AA164" i="11"/>
  <c r="Z164" i="11"/>
  <c r="Y164" i="11"/>
  <c r="X164" i="11"/>
  <c r="W164" i="11"/>
  <c r="V164" i="11"/>
  <c r="AA163" i="11"/>
  <c r="Z163" i="11"/>
  <c r="Y163" i="11"/>
  <c r="X163" i="11"/>
  <c r="W163" i="11"/>
  <c r="V163" i="11"/>
  <c r="AA162" i="11"/>
  <c r="Z162" i="11"/>
  <c r="Y162" i="11"/>
  <c r="X162" i="11"/>
  <c r="W162" i="11"/>
  <c r="V162" i="11"/>
  <c r="V149" i="11"/>
  <c r="V150" i="11"/>
  <c r="V151" i="11"/>
  <c r="V152" i="11"/>
  <c r="V153" i="11"/>
  <c r="V154" i="11"/>
  <c r="V155" i="11"/>
  <c r="V156" i="11"/>
  <c r="V157" i="11"/>
  <c r="Y177" i="11" l="1"/>
  <c r="Z177" i="11"/>
  <c r="AA177" i="11"/>
  <c r="X177" i="11"/>
  <c r="W177" i="11"/>
  <c r="U147" i="11" l="1"/>
  <c r="AB147" i="11" s="1"/>
  <c r="AB159" i="11" s="1"/>
  <c r="AB161" i="11" s="1"/>
  <c r="AA158" i="11"/>
  <c r="Z158" i="11"/>
  <c r="Y158" i="11"/>
  <c r="X158" i="11"/>
  <c r="W158" i="11"/>
  <c r="V158" i="11"/>
  <c r="AA157" i="11"/>
  <c r="Z157" i="11"/>
  <c r="Y157" i="11"/>
  <c r="X157" i="11"/>
  <c r="W157" i="11"/>
  <c r="AA156" i="11"/>
  <c r="Z156" i="11"/>
  <c r="Y156" i="11"/>
  <c r="X156" i="11"/>
  <c r="W156" i="11"/>
  <c r="AA155" i="11"/>
  <c r="Z155" i="11"/>
  <c r="Y155" i="11"/>
  <c r="X155" i="11"/>
  <c r="W155" i="11"/>
  <c r="AA154" i="11"/>
  <c r="Z154" i="11"/>
  <c r="Y154" i="11"/>
  <c r="X154" i="11"/>
  <c r="W154" i="11"/>
  <c r="AA153" i="11"/>
  <c r="Z153" i="11"/>
  <c r="Y153" i="11"/>
  <c r="X153" i="11"/>
  <c r="W153" i="11"/>
  <c r="AA152" i="11"/>
  <c r="Z152" i="11"/>
  <c r="Y152" i="11"/>
  <c r="X152" i="11"/>
  <c r="W152" i="11"/>
  <c r="AA151" i="11"/>
  <c r="Z151" i="11"/>
  <c r="Y151" i="11"/>
  <c r="X151" i="11"/>
  <c r="W151" i="11"/>
  <c r="AA150" i="11"/>
  <c r="Z150" i="11"/>
  <c r="Y150" i="11"/>
  <c r="X150" i="11"/>
  <c r="W150" i="11"/>
  <c r="X149" i="11"/>
  <c r="AA148" i="11"/>
  <c r="Z148" i="11"/>
  <c r="Y148" i="11"/>
  <c r="X148" i="11"/>
  <c r="W148" i="11"/>
  <c r="V148" i="11"/>
  <c r="V147" i="11"/>
  <c r="AA146" i="11"/>
  <c r="Z146" i="11"/>
  <c r="Y146" i="11"/>
  <c r="X146" i="11"/>
  <c r="W146" i="11"/>
  <c r="V146" i="11"/>
  <c r="AA145" i="11"/>
  <c r="Z145" i="11"/>
  <c r="Y145" i="11"/>
  <c r="X145" i="11"/>
  <c r="W145" i="11"/>
  <c r="V145" i="11"/>
  <c r="AA144" i="11"/>
  <c r="Z144" i="11"/>
  <c r="Y144" i="11"/>
  <c r="X144" i="11"/>
  <c r="W144" i="11"/>
  <c r="V144" i="11"/>
  <c r="AA143" i="11"/>
  <c r="Z143" i="11"/>
  <c r="Y143" i="11"/>
  <c r="X143" i="11"/>
  <c r="W143" i="11"/>
  <c r="V143" i="11"/>
  <c r="AA142" i="11"/>
  <c r="Z142" i="11"/>
  <c r="Y142" i="11"/>
  <c r="X142" i="11"/>
  <c r="W142" i="11"/>
  <c r="V142" i="11"/>
  <c r="AA141" i="11"/>
  <c r="Z141" i="11"/>
  <c r="Y141" i="11"/>
  <c r="X141" i="11"/>
  <c r="W141" i="11"/>
  <c r="V141" i="11"/>
  <c r="U128" i="11"/>
  <c r="AB128" i="11" s="1"/>
  <c r="AB138" i="11" s="1"/>
  <c r="AB140" i="11" s="1"/>
  <c r="AA137" i="11"/>
  <c r="Z137" i="11"/>
  <c r="Y137" i="11"/>
  <c r="X137" i="11"/>
  <c r="W137" i="11"/>
  <c r="V137" i="11"/>
  <c r="AA136" i="11"/>
  <c r="Z136" i="11"/>
  <c r="Y136" i="11"/>
  <c r="X136" i="11"/>
  <c r="W136" i="11"/>
  <c r="V136" i="11"/>
  <c r="AA135" i="11"/>
  <c r="Z135" i="11"/>
  <c r="Y135" i="11"/>
  <c r="X135" i="11"/>
  <c r="W135" i="11"/>
  <c r="V135" i="11"/>
  <c r="AA134" i="11"/>
  <c r="Z134" i="11"/>
  <c r="Y134" i="11"/>
  <c r="X134" i="11"/>
  <c r="W134" i="11"/>
  <c r="V134" i="11"/>
  <c r="AA133" i="11"/>
  <c r="Z133" i="11"/>
  <c r="Y133" i="11"/>
  <c r="X133" i="11"/>
  <c r="W133" i="11"/>
  <c r="V133" i="11"/>
  <c r="AA132" i="11"/>
  <c r="Z132" i="11"/>
  <c r="Y132" i="11"/>
  <c r="X132" i="11"/>
  <c r="W132" i="11"/>
  <c r="V132" i="11"/>
  <c r="AA131" i="11"/>
  <c r="Z131" i="11"/>
  <c r="Y131" i="11"/>
  <c r="X131" i="11"/>
  <c r="W131" i="11"/>
  <c r="V131" i="11"/>
  <c r="AA130" i="11"/>
  <c r="Z130" i="11"/>
  <c r="Y130" i="11"/>
  <c r="X130" i="11"/>
  <c r="W130" i="11"/>
  <c r="V130" i="11"/>
  <c r="AA129" i="11"/>
  <c r="Z129" i="11"/>
  <c r="Y129" i="11"/>
  <c r="X129" i="11"/>
  <c r="W129" i="11"/>
  <c r="V129" i="11"/>
  <c r="V128" i="11"/>
  <c r="AA127" i="11"/>
  <c r="Z127" i="11"/>
  <c r="Y127" i="11"/>
  <c r="X127" i="11"/>
  <c r="W127" i="11"/>
  <c r="V127" i="11"/>
  <c r="V126" i="11"/>
  <c r="W126" i="11"/>
  <c r="AA125" i="11"/>
  <c r="Z125" i="11"/>
  <c r="Y125" i="11"/>
  <c r="X125" i="11"/>
  <c r="W125" i="11"/>
  <c r="V125" i="11"/>
  <c r="AA124" i="11"/>
  <c r="Z124" i="11"/>
  <c r="Y124" i="11"/>
  <c r="X124" i="11"/>
  <c r="W124" i="11"/>
  <c r="V124" i="11"/>
  <c r="AA123" i="11"/>
  <c r="Z123" i="11"/>
  <c r="Y123" i="11"/>
  <c r="X123" i="11"/>
  <c r="W123" i="11"/>
  <c r="V123" i="11"/>
  <c r="AA122" i="11"/>
  <c r="Z122" i="11"/>
  <c r="Y122" i="11"/>
  <c r="X122" i="11"/>
  <c r="W122" i="11"/>
  <c r="V122" i="11"/>
  <c r="AA121" i="11"/>
  <c r="Z121" i="11"/>
  <c r="Y121" i="11"/>
  <c r="X121" i="11"/>
  <c r="W121" i="11"/>
  <c r="V121" i="11"/>
  <c r="AA120" i="11"/>
  <c r="Z120" i="11"/>
  <c r="Y120" i="11"/>
  <c r="X120" i="11"/>
  <c r="W120" i="11"/>
  <c r="V120" i="11"/>
  <c r="U108" i="11"/>
  <c r="AB108" i="11" s="1"/>
  <c r="AB117" i="11" s="1"/>
  <c r="AB119" i="11" s="1"/>
  <c r="AA147" i="11" l="1"/>
  <c r="Z147" i="11"/>
  <c r="Y147" i="11"/>
  <c r="X147" i="11"/>
  <c r="X159" i="11" s="1"/>
  <c r="W147" i="11"/>
  <c r="Z128" i="11"/>
  <c r="AA128" i="11"/>
  <c r="Y149" i="11"/>
  <c r="AA149" i="11"/>
  <c r="Z149" i="11"/>
  <c r="W149" i="11"/>
  <c r="W128" i="11"/>
  <c r="W138" i="11" s="1"/>
  <c r="X128" i="11"/>
  <c r="Y128" i="11"/>
  <c r="Y126" i="11"/>
  <c r="Z126" i="11"/>
  <c r="AA126" i="11"/>
  <c r="X126" i="11"/>
  <c r="Z138" i="11" l="1"/>
  <c r="AA138" i="11"/>
  <c r="X138" i="11"/>
  <c r="AA159" i="11"/>
  <c r="Y159" i="11"/>
  <c r="Z159" i="11"/>
  <c r="W159" i="11"/>
  <c r="Y138" i="11"/>
  <c r="V98" i="11"/>
  <c r="W98" i="11"/>
  <c r="X98" i="11"/>
  <c r="Y98" i="11"/>
  <c r="Z98" i="11"/>
  <c r="AA98" i="11"/>
  <c r="AA116" i="11"/>
  <c r="Z116" i="11"/>
  <c r="Y116" i="11"/>
  <c r="X116" i="11"/>
  <c r="W116" i="11"/>
  <c r="V116" i="11"/>
  <c r="AA115" i="11"/>
  <c r="Z115" i="11"/>
  <c r="Y115" i="11"/>
  <c r="X115" i="11"/>
  <c r="W115" i="11"/>
  <c r="V115" i="11"/>
  <c r="AA114" i="11"/>
  <c r="Z114" i="11"/>
  <c r="Y114" i="11"/>
  <c r="X114" i="11"/>
  <c r="W114" i="11"/>
  <c r="V114" i="11"/>
  <c r="AA113" i="11"/>
  <c r="Z113" i="11"/>
  <c r="Y113" i="11"/>
  <c r="X113" i="11"/>
  <c r="W113" i="11"/>
  <c r="V113" i="11"/>
  <c r="AA112" i="11"/>
  <c r="Z112" i="11"/>
  <c r="Y112" i="11"/>
  <c r="X112" i="11"/>
  <c r="W112" i="11"/>
  <c r="V112" i="11"/>
  <c r="AA111" i="11"/>
  <c r="Z111" i="11"/>
  <c r="Y111" i="11"/>
  <c r="X111" i="11"/>
  <c r="W111" i="11"/>
  <c r="V111" i="11"/>
  <c r="AA110" i="11"/>
  <c r="Z110" i="11"/>
  <c r="Y110" i="11"/>
  <c r="X110" i="11"/>
  <c r="W110" i="11"/>
  <c r="V110" i="11"/>
  <c r="AA109" i="11"/>
  <c r="Z109" i="11"/>
  <c r="Y109" i="11"/>
  <c r="X109" i="11"/>
  <c r="W109" i="11"/>
  <c r="V109" i="11"/>
  <c r="AA108" i="11"/>
  <c r="Z108" i="11"/>
  <c r="Y108" i="11"/>
  <c r="X108" i="11"/>
  <c r="W108" i="11"/>
  <c r="V108" i="11"/>
  <c r="AA107" i="11"/>
  <c r="Z107" i="11"/>
  <c r="Y107" i="11"/>
  <c r="X107" i="11"/>
  <c r="W107" i="11"/>
  <c r="V107" i="11"/>
  <c r="AA106" i="11"/>
  <c r="Z106" i="11"/>
  <c r="Y106" i="11"/>
  <c r="X106" i="11"/>
  <c r="W106" i="11"/>
  <c r="V106" i="11"/>
  <c r="AA105" i="11"/>
  <c r="Z105" i="11"/>
  <c r="Y105" i="11"/>
  <c r="X105" i="11"/>
  <c r="W105" i="11"/>
  <c r="V105" i="11"/>
  <c r="AA104" i="11"/>
  <c r="Z104" i="11"/>
  <c r="Y104" i="11"/>
  <c r="X104" i="11"/>
  <c r="W104" i="11"/>
  <c r="V104" i="11"/>
  <c r="AA103" i="11"/>
  <c r="Z103" i="11"/>
  <c r="Y103" i="11"/>
  <c r="X103" i="11"/>
  <c r="W103" i="11"/>
  <c r="V103" i="11"/>
  <c r="AA102" i="11"/>
  <c r="Z102" i="11"/>
  <c r="Y102" i="11"/>
  <c r="X102" i="11"/>
  <c r="W102" i="11"/>
  <c r="V102" i="11"/>
  <c r="V91" i="11"/>
  <c r="W91" i="11"/>
  <c r="X91" i="11"/>
  <c r="Y91" i="11"/>
  <c r="Z91" i="11"/>
  <c r="AA91" i="11"/>
  <c r="V92" i="11"/>
  <c r="W92" i="11"/>
  <c r="X92" i="11"/>
  <c r="Y92" i="11"/>
  <c r="Z92" i="11"/>
  <c r="AA92" i="11"/>
  <c r="V93" i="11"/>
  <c r="W93" i="11"/>
  <c r="X93" i="11"/>
  <c r="Y93" i="11"/>
  <c r="Z93" i="11"/>
  <c r="AA93" i="11"/>
  <c r="V94" i="11"/>
  <c r="W94" i="11"/>
  <c r="X94" i="11"/>
  <c r="Y94" i="11"/>
  <c r="Z94" i="11"/>
  <c r="AA94" i="11"/>
  <c r="V95" i="11"/>
  <c r="W95" i="11"/>
  <c r="X95" i="11"/>
  <c r="Y95" i="11"/>
  <c r="Z95" i="11"/>
  <c r="AA95" i="11"/>
  <c r="V96" i="11"/>
  <c r="W96" i="11"/>
  <c r="X96" i="11"/>
  <c r="Y96" i="11"/>
  <c r="Z96" i="11"/>
  <c r="AA96" i="11"/>
  <c r="V97" i="11"/>
  <c r="W97" i="11"/>
  <c r="X97" i="11"/>
  <c r="Y97" i="11"/>
  <c r="Z97" i="11"/>
  <c r="AA97" i="11"/>
  <c r="W117" i="11" l="1"/>
  <c r="X117" i="11"/>
  <c r="Y117" i="11"/>
  <c r="AA117" i="11"/>
  <c r="Z117" i="11"/>
  <c r="V79" i="11"/>
  <c r="W79" i="11"/>
  <c r="X79" i="11"/>
  <c r="Y79" i="11"/>
  <c r="Z79" i="11"/>
  <c r="AA79" i="11"/>
  <c r="V83" i="11"/>
  <c r="W83" i="11"/>
  <c r="X83" i="11"/>
  <c r="Y83" i="11"/>
  <c r="Z83" i="11"/>
  <c r="AA83" i="11"/>
  <c r="V84" i="11"/>
  <c r="W84" i="11"/>
  <c r="X84" i="11"/>
  <c r="Y84" i="11"/>
  <c r="Z84" i="11"/>
  <c r="AA84" i="11"/>
  <c r="V85" i="11"/>
  <c r="W85" i="11"/>
  <c r="X85" i="11"/>
  <c r="Y85" i="11"/>
  <c r="Z85" i="11"/>
  <c r="AA85" i="11"/>
  <c r="V86" i="11"/>
  <c r="W86" i="11"/>
  <c r="X86" i="11"/>
  <c r="Y86" i="11"/>
  <c r="Z86" i="11"/>
  <c r="AA86" i="11"/>
  <c r="V87" i="11"/>
  <c r="W87" i="11"/>
  <c r="X87" i="11"/>
  <c r="Y87" i="11"/>
  <c r="Z87" i="11"/>
  <c r="AA87" i="11"/>
  <c r="V88" i="11"/>
  <c r="W88" i="11"/>
  <c r="X88" i="11"/>
  <c r="Y88" i="11"/>
  <c r="Z88" i="11"/>
  <c r="AA88" i="11"/>
  <c r="V89" i="11"/>
  <c r="W89" i="11"/>
  <c r="X89" i="11"/>
  <c r="Y89" i="11"/>
  <c r="Z89" i="11"/>
  <c r="AA89" i="11"/>
  <c r="V90" i="11"/>
  <c r="W90" i="11"/>
  <c r="X90" i="11"/>
  <c r="Y90" i="11"/>
  <c r="Z90" i="11"/>
  <c r="AA90" i="11"/>
  <c r="V62" i="11"/>
  <c r="W62" i="11"/>
  <c r="X62" i="11"/>
  <c r="Y62" i="11"/>
  <c r="Z62" i="11"/>
  <c r="AA62" i="11"/>
  <c r="V63" i="11"/>
  <c r="W63" i="11"/>
  <c r="X63" i="11"/>
  <c r="Y63" i="11"/>
  <c r="Z63" i="11"/>
  <c r="AA63" i="11"/>
  <c r="V64" i="11"/>
  <c r="W64" i="11"/>
  <c r="X64" i="11"/>
  <c r="Y64" i="11"/>
  <c r="Z64" i="11"/>
  <c r="AA64" i="11"/>
  <c r="V65" i="11"/>
  <c r="W65" i="11"/>
  <c r="X65" i="11"/>
  <c r="Y65" i="11"/>
  <c r="Z65" i="11"/>
  <c r="AA65" i="11"/>
  <c r="V66" i="11"/>
  <c r="W66" i="11"/>
  <c r="X66" i="11"/>
  <c r="Y66" i="11"/>
  <c r="Z66" i="11"/>
  <c r="AA66" i="11"/>
  <c r="V67" i="11"/>
  <c r="W67" i="11"/>
  <c r="X67" i="11"/>
  <c r="Y67" i="11"/>
  <c r="Z67" i="11"/>
  <c r="AA67" i="11"/>
  <c r="V68" i="11"/>
  <c r="W68" i="11"/>
  <c r="X68" i="11"/>
  <c r="Y68" i="11"/>
  <c r="Z68" i="11"/>
  <c r="AA68" i="11"/>
  <c r="V69" i="11"/>
  <c r="W69" i="11"/>
  <c r="X69" i="11"/>
  <c r="Y69" i="11"/>
  <c r="Z69" i="11"/>
  <c r="AA69" i="11"/>
  <c r="V70" i="11"/>
  <c r="W70" i="11"/>
  <c r="X70" i="11"/>
  <c r="Y70" i="11"/>
  <c r="Z70" i="11"/>
  <c r="AA70" i="11"/>
  <c r="V71" i="11"/>
  <c r="W71" i="11"/>
  <c r="X71" i="11"/>
  <c r="Y71" i="11"/>
  <c r="Z71" i="11"/>
  <c r="AA71" i="11"/>
  <c r="V72" i="11"/>
  <c r="W72" i="11"/>
  <c r="X72" i="11"/>
  <c r="Y72" i="11"/>
  <c r="Z72" i="11"/>
  <c r="AA72" i="11"/>
  <c r="V73" i="11"/>
  <c r="W73" i="11"/>
  <c r="X73" i="11"/>
  <c r="Y73" i="11"/>
  <c r="Z73" i="11"/>
  <c r="AA73" i="11"/>
  <c r="V74" i="11"/>
  <c r="W74" i="11"/>
  <c r="X74" i="11"/>
  <c r="Y74" i="11"/>
  <c r="Z74" i="11"/>
  <c r="AA74" i="11"/>
  <c r="V75" i="11"/>
  <c r="W75" i="11"/>
  <c r="X75" i="11"/>
  <c r="Y75" i="11"/>
  <c r="Z75" i="11"/>
  <c r="AA75" i="11"/>
  <c r="V76" i="11"/>
  <c r="W76" i="11"/>
  <c r="X76" i="11"/>
  <c r="Y76" i="11"/>
  <c r="Z76" i="11"/>
  <c r="AA76" i="11"/>
  <c r="V77" i="11"/>
  <c r="W77" i="11"/>
  <c r="X77" i="11"/>
  <c r="Y77" i="11"/>
  <c r="Z77" i="11"/>
  <c r="AA77" i="11"/>
  <c r="V78" i="11"/>
  <c r="W78" i="11"/>
  <c r="X78" i="11"/>
  <c r="Y78" i="11"/>
  <c r="Z78" i="11"/>
  <c r="AA78" i="11"/>
  <c r="V43" i="11"/>
  <c r="W43" i="11"/>
  <c r="X43" i="11"/>
  <c r="Y43" i="11"/>
  <c r="Z43" i="11"/>
  <c r="AA43" i="11"/>
  <c r="V44" i="11"/>
  <c r="W44" i="11"/>
  <c r="X44" i="11"/>
  <c r="Y44" i="11"/>
  <c r="Z44" i="11"/>
  <c r="AA44" i="11"/>
  <c r="V45" i="11"/>
  <c r="W45" i="11"/>
  <c r="X45" i="11"/>
  <c r="Y45" i="11"/>
  <c r="Z45" i="11"/>
  <c r="AA45" i="11"/>
  <c r="V46" i="11"/>
  <c r="W46" i="11"/>
  <c r="X46" i="11"/>
  <c r="Y46" i="11"/>
  <c r="Z46" i="11"/>
  <c r="AA46" i="11"/>
  <c r="V47" i="11"/>
  <c r="W47" i="11"/>
  <c r="X47" i="11"/>
  <c r="Y47" i="11"/>
  <c r="Z47" i="11"/>
  <c r="AA47" i="11"/>
  <c r="V48" i="11"/>
  <c r="W48" i="11"/>
  <c r="X48" i="11"/>
  <c r="Y48" i="11"/>
  <c r="Z48" i="11"/>
  <c r="AA48" i="11"/>
  <c r="V49" i="11"/>
  <c r="W49" i="11"/>
  <c r="X49" i="11"/>
  <c r="Y49" i="11"/>
  <c r="Z49" i="11"/>
  <c r="AA49" i="11"/>
  <c r="V50" i="11"/>
  <c r="W50" i="11"/>
  <c r="X50" i="11"/>
  <c r="Y50" i="11"/>
  <c r="Z50" i="11"/>
  <c r="AA50" i="11"/>
  <c r="V51" i="11"/>
  <c r="W51" i="11"/>
  <c r="X51" i="11"/>
  <c r="Y51" i="11"/>
  <c r="Z51" i="11"/>
  <c r="AA51" i="11"/>
  <c r="V52" i="11"/>
  <c r="W52" i="11"/>
  <c r="X52" i="11"/>
  <c r="Y52" i="11"/>
  <c r="Z52" i="11"/>
  <c r="AA52" i="11"/>
  <c r="V53" i="11"/>
  <c r="W53" i="11"/>
  <c r="X53" i="11"/>
  <c r="Y53" i="11"/>
  <c r="Z53" i="11"/>
  <c r="AA53" i="11"/>
  <c r="V54" i="11"/>
  <c r="W54" i="11"/>
  <c r="X54" i="11"/>
  <c r="Y54" i="11"/>
  <c r="Z54" i="11"/>
  <c r="AA54" i="11"/>
  <c r="V55" i="11"/>
  <c r="W55" i="11"/>
  <c r="X55" i="11"/>
  <c r="Y55" i="11"/>
  <c r="Z55" i="11"/>
  <c r="AA55" i="11"/>
  <c r="V56" i="11"/>
  <c r="W56" i="11"/>
  <c r="X56" i="11"/>
  <c r="Y56" i="11"/>
  <c r="Z56" i="11"/>
  <c r="AA56" i="11"/>
  <c r="V57" i="11"/>
  <c r="W57" i="11"/>
  <c r="X57" i="11"/>
  <c r="Y57" i="11"/>
  <c r="Z57" i="11"/>
  <c r="AA57" i="11"/>
  <c r="V58" i="11"/>
  <c r="W58" i="11"/>
  <c r="X58" i="11"/>
  <c r="Y58" i="11"/>
  <c r="Z58" i="11"/>
  <c r="AA58" i="11"/>
  <c r="W23" i="11"/>
  <c r="X23" i="11"/>
  <c r="Y23" i="11"/>
  <c r="Z23" i="11"/>
  <c r="AA23" i="11"/>
  <c r="V34" i="11"/>
  <c r="V33" i="11"/>
  <c r="V23" i="11"/>
  <c r="V24" i="11"/>
  <c r="W24" i="11"/>
  <c r="X24" i="11"/>
  <c r="Y24" i="11"/>
  <c r="Z24" i="11"/>
  <c r="AA24" i="11"/>
  <c r="V25" i="11"/>
  <c r="W25" i="11"/>
  <c r="X25" i="11"/>
  <c r="Y25" i="11"/>
  <c r="Z25" i="11"/>
  <c r="AA25" i="11"/>
  <c r="V26" i="11"/>
  <c r="W26" i="11"/>
  <c r="X26" i="11"/>
  <c r="Y26" i="11"/>
  <c r="Z26" i="11"/>
  <c r="AA26" i="11"/>
  <c r="V27" i="11"/>
  <c r="W27" i="11"/>
  <c r="X27" i="11"/>
  <c r="Y27" i="11"/>
  <c r="Z27" i="11"/>
  <c r="AA27" i="11"/>
  <c r="V28" i="11"/>
  <c r="W28" i="11"/>
  <c r="X28" i="11"/>
  <c r="Y28" i="11"/>
  <c r="Z28" i="11"/>
  <c r="AA28" i="11"/>
  <c r="V29" i="11"/>
  <c r="W29" i="11"/>
  <c r="X29" i="11"/>
  <c r="Y29" i="11"/>
  <c r="Z29" i="11"/>
  <c r="AA29" i="11"/>
  <c r="V30" i="11"/>
  <c r="W30" i="11"/>
  <c r="X30" i="11"/>
  <c r="Y30" i="11"/>
  <c r="Z30" i="11"/>
  <c r="AA30" i="11"/>
  <c r="V31" i="11"/>
  <c r="W31" i="11"/>
  <c r="X31" i="11"/>
  <c r="Y31" i="11"/>
  <c r="Z31" i="11"/>
  <c r="AA31" i="11"/>
  <c r="V32" i="11"/>
  <c r="W32" i="11"/>
  <c r="X32" i="11"/>
  <c r="Y32" i="11"/>
  <c r="Z32" i="11"/>
  <c r="AA32" i="11"/>
  <c r="W33" i="11"/>
  <c r="X33" i="11"/>
  <c r="Y33" i="11"/>
  <c r="Z33" i="11"/>
  <c r="AA33" i="11"/>
  <c r="W34" i="11"/>
  <c r="X34" i="11"/>
  <c r="Y34" i="11"/>
  <c r="Z34" i="11"/>
  <c r="AA34" i="11"/>
  <c r="V35" i="11"/>
  <c r="W35" i="11"/>
  <c r="X35" i="11"/>
  <c r="Y35" i="11"/>
  <c r="Z35" i="11"/>
  <c r="AA35" i="11"/>
  <c r="V36" i="11"/>
  <c r="W36" i="11"/>
  <c r="X36" i="11"/>
  <c r="Y36" i="11"/>
  <c r="Z36" i="11"/>
  <c r="AA36" i="11"/>
  <c r="V37" i="11"/>
  <c r="W37" i="11"/>
  <c r="X37" i="11"/>
  <c r="Y37" i="11"/>
  <c r="Z37" i="11"/>
  <c r="AA37" i="11"/>
  <c r="V38" i="11"/>
  <c r="W38" i="11"/>
  <c r="X38" i="11"/>
  <c r="Y38" i="11"/>
  <c r="Z38" i="11"/>
  <c r="AA38" i="11"/>
  <c r="V39" i="11"/>
  <c r="W39" i="11"/>
  <c r="X39" i="11"/>
  <c r="Y39" i="11"/>
  <c r="Z39" i="11"/>
  <c r="AA39" i="11"/>
  <c r="V9" i="11"/>
  <c r="V16" i="11"/>
  <c r="KE3" i="5" a="1"/>
  <c r="KE3" i="5" s="1"/>
  <c r="B29" i="11"/>
  <c r="AA19" i="11"/>
  <c r="Z19" i="11"/>
  <c r="Y19" i="11"/>
  <c r="X19" i="11"/>
  <c r="W19" i="11"/>
  <c r="V19" i="11"/>
  <c r="AA18" i="11"/>
  <c r="Z18" i="11"/>
  <c r="Y18" i="11"/>
  <c r="X18" i="11"/>
  <c r="W18" i="11"/>
  <c r="V18" i="11"/>
  <c r="AA17" i="11"/>
  <c r="Z17" i="11"/>
  <c r="Y17" i="11"/>
  <c r="X17" i="11"/>
  <c r="W17" i="11"/>
  <c r="V17" i="11"/>
  <c r="AA16" i="11"/>
  <c r="Z16" i="11"/>
  <c r="Y16" i="11"/>
  <c r="X16" i="11"/>
  <c r="W16" i="11"/>
  <c r="AA15" i="11"/>
  <c r="Z15" i="11"/>
  <c r="Y15" i="11"/>
  <c r="X15" i="11"/>
  <c r="W15" i="11"/>
  <c r="V15" i="11"/>
  <c r="AA14" i="11"/>
  <c r="Z14" i="11"/>
  <c r="Y14" i="11"/>
  <c r="X14" i="11"/>
  <c r="W14" i="11"/>
  <c r="V14" i="11"/>
  <c r="AA13" i="11"/>
  <c r="Z13" i="11"/>
  <c r="Y13" i="11"/>
  <c r="X13" i="11"/>
  <c r="W13" i="11"/>
  <c r="V13" i="11"/>
  <c r="AA12" i="11"/>
  <c r="Z12" i="11"/>
  <c r="Y12" i="11"/>
  <c r="X12" i="11"/>
  <c r="W12" i="11"/>
  <c r="V12" i="11"/>
  <c r="AA11" i="11"/>
  <c r="Z11" i="11"/>
  <c r="Y11" i="11"/>
  <c r="X11" i="11"/>
  <c r="W11" i="11"/>
  <c r="V11" i="11"/>
  <c r="AA10" i="11"/>
  <c r="Z10" i="11"/>
  <c r="Y10" i="11"/>
  <c r="X10" i="11"/>
  <c r="W10" i="11"/>
  <c r="V10" i="11"/>
  <c r="AA9" i="11"/>
  <c r="Z9" i="11"/>
  <c r="Y9" i="11"/>
  <c r="X9" i="11"/>
  <c r="W9" i="11"/>
  <c r="AA8" i="11"/>
  <c r="Z8" i="11"/>
  <c r="Y8" i="11"/>
  <c r="X8" i="11"/>
  <c r="W8" i="11"/>
  <c r="V8" i="11"/>
  <c r="AA7" i="11"/>
  <c r="Z7" i="11"/>
  <c r="Y7" i="11"/>
  <c r="X7" i="11"/>
  <c r="W7" i="11"/>
  <c r="V7" i="11"/>
  <c r="AA6" i="11"/>
  <c r="Z6" i="11"/>
  <c r="Y6" i="11"/>
  <c r="X6" i="11"/>
  <c r="W6" i="11"/>
  <c r="V6" i="11"/>
  <c r="AA5" i="11"/>
  <c r="Z5" i="11"/>
  <c r="Y5" i="11"/>
  <c r="X5" i="11"/>
  <c r="W5" i="11"/>
  <c r="V5" i="11"/>
  <c r="B30" i="11"/>
  <c r="B25" i="11"/>
  <c r="B26" i="11" s="1"/>
  <c r="B27" i="11" s="1"/>
  <c r="B24" i="11"/>
  <c r="B64" i="8"/>
  <c r="B65" i="8"/>
  <c r="B70" i="8" s="1"/>
  <c r="B69" i="8"/>
  <c r="B60" i="8"/>
  <c r="B61" i="8" s="1"/>
  <c r="B62" i="8" s="1"/>
  <c r="B59" i="8"/>
  <c r="B29" i="8"/>
  <c r="JE114" i="5" a="1"/>
  <c r="JE114" i="5" s="1"/>
  <c r="IZ47" i="5"/>
  <c r="IY47" i="5"/>
  <c r="IW47" i="5"/>
  <c r="IV47" i="5"/>
  <c r="IS47" i="5"/>
  <c r="IT47" i="5"/>
  <c r="IQ47" i="5"/>
  <c r="IN47" i="5"/>
  <c r="IM47" i="5"/>
  <c r="S529" i="8"/>
  <c r="T529" i="8"/>
  <c r="U529" i="8"/>
  <c r="V529" i="8"/>
  <c r="W529" i="8"/>
  <c r="X529" i="8"/>
  <c r="S530" i="8"/>
  <c r="T530" i="8"/>
  <c r="U530" i="8"/>
  <c r="V530" i="8"/>
  <c r="W530" i="8"/>
  <c r="X530" i="8"/>
  <c r="S531" i="8"/>
  <c r="T531" i="8"/>
  <c r="U531" i="8"/>
  <c r="V531" i="8"/>
  <c r="W531" i="8"/>
  <c r="X531" i="8"/>
  <c r="S532" i="8"/>
  <c r="T532" i="8"/>
  <c r="U532" i="8"/>
  <c r="V532" i="8"/>
  <c r="W532" i="8"/>
  <c r="X532" i="8"/>
  <c r="S533" i="8"/>
  <c r="T533" i="8"/>
  <c r="U533" i="8"/>
  <c r="V533" i="8"/>
  <c r="W533" i="8"/>
  <c r="X533" i="8"/>
  <c r="S534" i="8"/>
  <c r="T534" i="8"/>
  <c r="U534" i="8"/>
  <c r="V534" i="8"/>
  <c r="W534" i="8"/>
  <c r="X534" i="8"/>
  <c r="S535" i="8"/>
  <c r="T535" i="8"/>
  <c r="U535" i="8"/>
  <c r="V535" i="8"/>
  <c r="W535" i="8"/>
  <c r="X535" i="8"/>
  <c r="S536" i="8"/>
  <c r="T536" i="8"/>
  <c r="U536" i="8"/>
  <c r="V536" i="8"/>
  <c r="W536" i="8"/>
  <c r="X536" i="8"/>
  <c r="S537" i="8"/>
  <c r="T537" i="8"/>
  <c r="U537" i="8"/>
  <c r="V537" i="8"/>
  <c r="W537" i="8"/>
  <c r="X537" i="8"/>
  <c r="S538" i="8"/>
  <c r="T538" i="8"/>
  <c r="U538" i="8"/>
  <c r="V538" i="8"/>
  <c r="W538" i="8"/>
  <c r="X538" i="8"/>
  <c r="S539" i="8"/>
  <c r="T539" i="8"/>
  <c r="U539" i="8"/>
  <c r="V539" i="8"/>
  <c r="W539" i="8"/>
  <c r="X539" i="8"/>
  <c r="S540" i="8"/>
  <c r="T540" i="8"/>
  <c r="U540" i="8"/>
  <c r="V540" i="8"/>
  <c r="W540" i="8"/>
  <c r="X540" i="8"/>
  <c r="S541" i="8"/>
  <c r="T541" i="8"/>
  <c r="U541" i="8"/>
  <c r="V541" i="8"/>
  <c r="W541" i="8"/>
  <c r="X541" i="8"/>
  <c r="S542" i="8"/>
  <c r="T542" i="8"/>
  <c r="U542" i="8"/>
  <c r="V542" i="8"/>
  <c r="W542" i="8"/>
  <c r="X542" i="8"/>
  <c r="S543" i="8"/>
  <c r="T543" i="8"/>
  <c r="U543" i="8"/>
  <c r="V543" i="8"/>
  <c r="W543" i="8"/>
  <c r="X543" i="8"/>
  <c r="S544" i="8"/>
  <c r="T544" i="8"/>
  <c r="U544" i="8"/>
  <c r="V544" i="8"/>
  <c r="W544" i="8"/>
  <c r="X544" i="8"/>
  <c r="S545" i="8"/>
  <c r="T545" i="8"/>
  <c r="U545" i="8"/>
  <c r="V545" i="8"/>
  <c r="W545" i="8"/>
  <c r="X545" i="8"/>
  <c r="S523" i="8"/>
  <c r="T523" i="8"/>
  <c r="U523" i="8"/>
  <c r="V523" i="8"/>
  <c r="W523" i="8"/>
  <c r="X523" i="8"/>
  <c r="S524" i="8"/>
  <c r="T524" i="8"/>
  <c r="U524" i="8"/>
  <c r="V524" i="8"/>
  <c r="W524" i="8"/>
  <c r="X524" i="8"/>
  <c r="S525" i="8"/>
  <c r="T525" i="8"/>
  <c r="U525" i="8"/>
  <c r="V525" i="8"/>
  <c r="W525" i="8"/>
  <c r="X525" i="8"/>
  <c r="S521" i="8"/>
  <c r="T521" i="8"/>
  <c r="U521" i="8"/>
  <c r="V521" i="8"/>
  <c r="W521" i="8"/>
  <c r="X521" i="8"/>
  <c r="S510" i="8"/>
  <c r="JE113" i="5" a="1"/>
  <c r="JE113" i="5" s="1"/>
  <c r="IV44" i="5"/>
  <c r="IW44" i="5"/>
  <c r="IT44" i="5"/>
  <c r="IQ44" i="5"/>
  <c r="IN44" i="5"/>
  <c r="IS44" i="5"/>
  <c r="IP44" i="5"/>
  <c r="IM44" i="5"/>
  <c r="S509" i="8"/>
  <c r="T509" i="8"/>
  <c r="U509" i="8"/>
  <c r="V509" i="8"/>
  <c r="W509" i="8"/>
  <c r="X509" i="8"/>
  <c r="T510" i="8"/>
  <c r="U510" i="8"/>
  <c r="V510" i="8"/>
  <c r="W510" i="8"/>
  <c r="X510" i="8"/>
  <c r="S511" i="8"/>
  <c r="T511" i="8"/>
  <c r="U511" i="8"/>
  <c r="V511" i="8"/>
  <c r="W511" i="8"/>
  <c r="X511" i="8"/>
  <c r="S512" i="8"/>
  <c r="T512" i="8"/>
  <c r="U512" i="8"/>
  <c r="V512" i="8"/>
  <c r="W512" i="8"/>
  <c r="X512" i="8"/>
  <c r="S513" i="8"/>
  <c r="T513" i="8"/>
  <c r="U513" i="8"/>
  <c r="V513" i="8"/>
  <c r="W513" i="8"/>
  <c r="X513" i="8"/>
  <c r="S514" i="8"/>
  <c r="T514" i="8"/>
  <c r="U514" i="8"/>
  <c r="V514" i="8"/>
  <c r="W514" i="8"/>
  <c r="X514" i="8"/>
  <c r="S515" i="8"/>
  <c r="T515" i="8"/>
  <c r="U515" i="8"/>
  <c r="V515" i="8"/>
  <c r="W515" i="8"/>
  <c r="X515" i="8"/>
  <c r="S516" i="8"/>
  <c r="T516" i="8"/>
  <c r="U516" i="8"/>
  <c r="V516" i="8"/>
  <c r="W516" i="8"/>
  <c r="X516" i="8"/>
  <c r="S517" i="8"/>
  <c r="T517" i="8"/>
  <c r="U517" i="8"/>
  <c r="V517" i="8"/>
  <c r="W517" i="8"/>
  <c r="X517" i="8"/>
  <c r="S518" i="8"/>
  <c r="T518" i="8"/>
  <c r="U518" i="8"/>
  <c r="V518" i="8"/>
  <c r="W518" i="8"/>
  <c r="X518" i="8"/>
  <c r="S519" i="8"/>
  <c r="T519" i="8"/>
  <c r="U519" i="8"/>
  <c r="V519" i="8"/>
  <c r="W519" i="8"/>
  <c r="X519" i="8"/>
  <c r="S520" i="8"/>
  <c r="T520" i="8"/>
  <c r="U520" i="8"/>
  <c r="V520" i="8"/>
  <c r="W520" i="8"/>
  <c r="X520" i="8"/>
  <c r="S522" i="8"/>
  <c r="T522" i="8"/>
  <c r="U522" i="8"/>
  <c r="V522" i="8"/>
  <c r="W522" i="8"/>
  <c r="X522" i="8"/>
  <c r="HB56" i="5"/>
  <c r="JE14" i="5"/>
  <c r="IW38" i="5"/>
  <c r="IV38" i="5"/>
  <c r="IP38" i="5"/>
  <c r="IT38" i="5"/>
  <c r="IQ38" i="5"/>
  <c r="IQ17" i="5"/>
  <c r="IN38" i="5"/>
  <c r="IM38" i="5"/>
  <c r="JF39" i="5"/>
  <c r="JF30" i="5"/>
  <c r="JC35" i="5"/>
  <c r="IZ35" i="5"/>
  <c r="IY35" i="5"/>
  <c r="IW35" i="5"/>
  <c r="IT35" i="5"/>
  <c r="IQ35" i="5"/>
  <c r="IN35" i="5"/>
  <c r="IM35" i="5"/>
  <c r="JF24" i="5"/>
  <c r="IW23" i="5"/>
  <c r="IV23" i="5"/>
  <c r="IT23" i="5"/>
  <c r="IS23" i="5"/>
  <c r="IQ23" i="5"/>
  <c r="IP23" i="5"/>
  <c r="IN23" i="5"/>
  <c r="IM23" i="5"/>
  <c r="IQ29" i="5"/>
  <c r="IP29" i="5"/>
  <c r="IN29" i="5"/>
  <c r="IM29" i="5"/>
  <c r="Y1919" i="11" l="1"/>
  <c r="Y1920" i="11" s="1"/>
  <c r="Y1950" i="11"/>
  <c r="Y1951" i="11" s="1"/>
  <c r="Y1931" i="11"/>
  <c r="Y1932" i="11" s="1"/>
  <c r="X1919" i="11"/>
  <c r="X1920" i="11" s="1"/>
  <c r="X1931" i="11"/>
  <c r="X1932" i="11" s="1"/>
  <c r="X1950" i="11"/>
  <c r="X1951" i="11" s="1"/>
  <c r="W1919" i="11"/>
  <c r="W1920" i="11" s="1"/>
  <c r="W1931" i="11"/>
  <c r="W1932" i="11" s="1"/>
  <c r="W1950" i="11"/>
  <c r="W1951" i="11" s="1"/>
  <c r="X1789" i="11"/>
  <c r="X1790" i="11" s="1"/>
  <c r="X1883" i="11"/>
  <c r="X1884" i="11" s="1"/>
  <c r="X1902" i="11"/>
  <c r="X1903" i="11" s="1"/>
  <c r="X1849" i="11"/>
  <c r="X1850" i="11" s="1"/>
  <c r="X1866" i="11"/>
  <c r="X1867" i="11" s="1"/>
  <c r="Y1789" i="11"/>
  <c r="Y1790" i="11" s="1"/>
  <c r="Y1866" i="11"/>
  <c r="Y1867" i="11" s="1"/>
  <c r="Y1883" i="11"/>
  <c r="Y1884" i="11" s="1"/>
  <c r="Y1902" i="11"/>
  <c r="Y1903" i="11" s="1"/>
  <c r="Y1849" i="11"/>
  <c r="Y1850" i="11" s="1"/>
  <c r="W1789" i="11"/>
  <c r="W1790" i="11" s="1"/>
  <c r="W1902" i="11"/>
  <c r="W1903" i="11" s="1"/>
  <c r="W1849" i="11"/>
  <c r="W1850" i="11" s="1"/>
  <c r="W1866" i="11"/>
  <c r="W1867" i="11" s="1"/>
  <c r="W1883" i="11"/>
  <c r="W1884" i="11" s="1"/>
  <c r="Y1805" i="11"/>
  <c r="X1805" i="11"/>
  <c r="W1805" i="11"/>
  <c r="W1671" i="11"/>
  <c r="W1672" i="11" s="1"/>
  <c r="W816" i="11"/>
  <c r="W817" i="11" s="1"/>
  <c r="W719" i="11"/>
  <c r="W720" i="11" s="1"/>
  <c r="W1839" i="11"/>
  <c r="W1840" i="11" s="1"/>
  <c r="Y1671" i="11"/>
  <c r="Y1672" i="11" s="1"/>
  <c r="Y719" i="11"/>
  <c r="Y720" i="11" s="1"/>
  <c r="Y816" i="11"/>
  <c r="Y817" i="11" s="1"/>
  <c r="Y1839" i="11"/>
  <c r="Y1840" i="11" s="1"/>
  <c r="X1671" i="11"/>
  <c r="X1672" i="11" s="1"/>
  <c r="X816" i="11"/>
  <c r="X817" i="11" s="1"/>
  <c r="X719" i="11"/>
  <c r="X720" i="11" s="1"/>
  <c r="X1839" i="11"/>
  <c r="X1840" i="11" s="1"/>
  <c r="W1823" i="11"/>
  <c r="W1824" i="11" s="1"/>
  <c r="W1806" i="11"/>
  <c r="W1753" i="11"/>
  <c r="W1754" i="11" s="1"/>
  <c r="W1771" i="11"/>
  <c r="W1772" i="11" s="1"/>
  <c r="W1707" i="11"/>
  <c r="W1708" i="11" s="1"/>
  <c r="W1630" i="11"/>
  <c r="W1631" i="11" s="1"/>
  <c r="W1736" i="11"/>
  <c r="W1737" i="11" s="1"/>
  <c r="W1688" i="11"/>
  <c r="W1689" i="11" s="1"/>
  <c r="W1652" i="11"/>
  <c r="W1653" i="11" s="1"/>
  <c r="W1614" i="11"/>
  <c r="W1615" i="11" s="1"/>
  <c r="W1719" i="11"/>
  <c r="W1720" i="11" s="1"/>
  <c r="Y1823" i="11"/>
  <c r="Y1824" i="11" s="1"/>
  <c r="Y1806" i="11"/>
  <c r="Y1753" i="11"/>
  <c r="Y1754" i="11" s="1"/>
  <c r="Y1771" i="11"/>
  <c r="Y1772" i="11" s="1"/>
  <c r="Y1707" i="11"/>
  <c r="Y1708" i="11" s="1"/>
  <c r="Y1630" i="11"/>
  <c r="Y1631" i="11" s="1"/>
  <c r="Y1736" i="11"/>
  <c r="Y1737" i="11" s="1"/>
  <c r="Y1688" i="11"/>
  <c r="Y1689" i="11" s="1"/>
  <c r="Y1652" i="11"/>
  <c r="Y1653" i="11" s="1"/>
  <c r="Y1614" i="11"/>
  <c r="Y1615" i="11" s="1"/>
  <c r="Y1719" i="11"/>
  <c r="Y1720" i="11" s="1"/>
  <c r="X1823" i="11"/>
  <c r="X1824" i="11" s="1"/>
  <c r="X1806" i="11"/>
  <c r="X1753" i="11"/>
  <c r="X1754" i="11" s="1"/>
  <c r="X1771" i="11"/>
  <c r="X1772" i="11" s="1"/>
  <c r="X1707" i="11"/>
  <c r="X1708" i="11" s="1"/>
  <c r="X1630" i="11"/>
  <c r="X1631" i="11" s="1"/>
  <c r="X1736" i="11"/>
  <c r="X1737" i="11" s="1"/>
  <c r="X1688" i="11"/>
  <c r="X1689" i="11" s="1"/>
  <c r="X1652" i="11"/>
  <c r="X1653" i="11" s="1"/>
  <c r="X1614" i="11"/>
  <c r="X1615" i="11" s="1"/>
  <c r="X1719" i="11"/>
  <c r="X1720" i="11" s="1"/>
  <c r="Y1500" i="11"/>
  <c r="Y1501" i="11" s="1"/>
  <c r="Y1558" i="11"/>
  <c r="Y1559" i="11" s="1"/>
  <c r="Y1545" i="11"/>
  <c r="Y1546" i="11" s="1"/>
  <c r="Y1527" i="11"/>
  <c r="Y1528" i="11" s="1"/>
  <c r="Y1510" i="11"/>
  <c r="Y1511" i="11" s="1"/>
  <c r="Y1596" i="11"/>
  <c r="Y1597" i="11" s="1"/>
  <c r="Y1576" i="11"/>
  <c r="Y1577" i="11" s="1"/>
  <c r="X1500" i="11"/>
  <c r="X1501" i="11" s="1"/>
  <c r="X1545" i="11"/>
  <c r="X1546" i="11" s="1"/>
  <c r="X1527" i="11"/>
  <c r="X1528" i="11" s="1"/>
  <c r="X1510" i="11"/>
  <c r="X1511" i="11" s="1"/>
  <c r="X1596" i="11"/>
  <c r="X1597" i="11" s="1"/>
  <c r="X1576" i="11"/>
  <c r="X1577" i="11" s="1"/>
  <c r="X1558" i="11"/>
  <c r="X1559" i="11" s="1"/>
  <c r="W1500" i="11"/>
  <c r="W1501" i="11" s="1"/>
  <c r="W1596" i="11"/>
  <c r="W1597" i="11" s="1"/>
  <c r="W1576" i="11"/>
  <c r="W1577" i="11" s="1"/>
  <c r="W1558" i="11"/>
  <c r="W1559" i="11" s="1"/>
  <c r="W1545" i="11"/>
  <c r="W1546" i="11" s="1"/>
  <c r="W1527" i="11"/>
  <c r="W1528" i="11" s="1"/>
  <c r="W1510" i="11"/>
  <c r="W1511" i="11" s="1"/>
  <c r="Y1455" i="11"/>
  <c r="Y1456" i="11" s="1"/>
  <c r="Y1482" i="11"/>
  <c r="Y1483" i="11" s="1"/>
  <c r="X1455" i="11"/>
  <c r="X1456" i="11" s="1"/>
  <c r="X1482" i="11"/>
  <c r="X1483" i="11" s="1"/>
  <c r="W1455" i="11"/>
  <c r="W1456" i="11" s="1"/>
  <c r="W1482" i="11"/>
  <c r="W1483" i="11" s="1"/>
  <c r="X1423" i="11"/>
  <c r="X1424" i="11" s="1"/>
  <c r="X1440" i="11"/>
  <c r="X1441" i="11" s="1"/>
  <c r="X1404" i="11"/>
  <c r="X1405" i="11" s="1"/>
  <c r="Y1423" i="11"/>
  <c r="Y1424" i="11" s="1"/>
  <c r="Y1440" i="11"/>
  <c r="Y1441" i="11" s="1"/>
  <c r="Y1404" i="11"/>
  <c r="Y1405" i="11" s="1"/>
  <c r="W1423" i="11"/>
  <c r="W1424" i="11" s="1"/>
  <c r="W1440" i="11"/>
  <c r="W1441" i="11" s="1"/>
  <c r="W1404" i="11"/>
  <c r="W1405" i="11" s="1"/>
  <c r="X1317" i="11"/>
  <c r="X1318" i="11" s="1"/>
  <c r="X1388" i="11"/>
  <c r="X1389" i="11" s="1"/>
  <c r="X1364" i="11"/>
  <c r="X1365" i="11" s="1"/>
  <c r="X1339" i="11"/>
  <c r="X1340" i="11" s="1"/>
  <c r="Y1317" i="11"/>
  <c r="Y1318" i="11" s="1"/>
  <c r="Y1388" i="11"/>
  <c r="Y1389" i="11" s="1"/>
  <c r="Y1364" i="11"/>
  <c r="Y1365" i="11" s="1"/>
  <c r="Y1339" i="11"/>
  <c r="Y1340" i="11" s="1"/>
  <c r="W1317" i="11"/>
  <c r="W1318" i="11" s="1"/>
  <c r="W1388" i="11"/>
  <c r="W1389" i="11" s="1"/>
  <c r="W1364" i="11"/>
  <c r="W1365" i="11" s="1"/>
  <c r="W1339" i="11"/>
  <c r="W1340" i="11" s="1"/>
  <c r="Y1296" i="11"/>
  <c r="Y1297" i="11" s="1"/>
  <c r="AM1270" i="11"/>
  <c r="X1296" i="11"/>
  <c r="X1297" i="11" s="1"/>
  <c r="AL1270" i="11"/>
  <c r="AK1270" i="11"/>
  <c r="W1296" i="11"/>
  <c r="W1297" i="11" s="1"/>
  <c r="W1255" i="11"/>
  <c r="W1256" i="11" s="1"/>
  <c r="W1236" i="11"/>
  <c r="W1237" i="11" s="1"/>
  <c r="W1275" i="11"/>
  <c r="W1276" i="11" s="1"/>
  <c r="Y1236" i="11"/>
  <c r="Y1237" i="11" s="1"/>
  <c r="Y1275" i="11"/>
  <c r="Y1276" i="11" s="1"/>
  <c r="Y1255" i="11"/>
  <c r="Y1256" i="11" s="1"/>
  <c r="X1275" i="11"/>
  <c r="X1276" i="11" s="1"/>
  <c r="X1255" i="11"/>
  <c r="X1256" i="11" s="1"/>
  <c r="X1236" i="11"/>
  <c r="X1237" i="11" s="1"/>
  <c r="Y1199" i="11"/>
  <c r="Y1200" i="11" s="1"/>
  <c r="Y1214" i="11"/>
  <c r="Y1215" i="11" s="1"/>
  <c r="X1214" i="11"/>
  <c r="X1215" i="11" s="1"/>
  <c r="X1199" i="11"/>
  <c r="X1200" i="11" s="1"/>
  <c r="W1214" i="11"/>
  <c r="W1215" i="11" s="1"/>
  <c r="W1199" i="11"/>
  <c r="W1200" i="11" s="1"/>
  <c r="W1170" i="11"/>
  <c r="W1171" i="11" s="1"/>
  <c r="W1150" i="11"/>
  <c r="W1151" i="11" s="1"/>
  <c r="W1133" i="11"/>
  <c r="W1134" i="11" s="1"/>
  <c r="W1119" i="11"/>
  <c r="W1120" i="11" s="1"/>
  <c r="W1186" i="11"/>
  <c r="W1187" i="11" s="1"/>
  <c r="W1105" i="11"/>
  <c r="W1106" i="11" s="1"/>
  <c r="Y1119" i="11"/>
  <c r="Y1120" i="11" s="1"/>
  <c r="Y1186" i="11"/>
  <c r="Y1187" i="11" s="1"/>
  <c r="Y1105" i="11"/>
  <c r="Y1106" i="11" s="1"/>
  <c r="Y1170" i="11"/>
  <c r="Y1171" i="11" s="1"/>
  <c r="Y1150" i="11"/>
  <c r="Y1151" i="11" s="1"/>
  <c r="Y1133" i="11"/>
  <c r="Y1134" i="11" s="1"/>
  <c r="X1186" i="11"/>
  <c r="X1187" i="11" s="1"/>
  <c r="X1133" i="11"/>
  <c r="X1134" i="11" s="1"/>
  <c r="X1105" i="11"/>
  <c r="X1106" i="11" s="1"/>
  <c r="X1119" i="11"/>
  <c r="X1120" i="11" s="1"/>
  <c r="X1170" i="11"/>
  <c r="X1171" i="11" s="1"/>
  <c r="X1150" i="11"/>
  <c r="X1151" i="11" s="1"/>
  <c r="X1038" i="11"/>
  <c r="X1039" i="11" s="1"/>
  <c r="X1019" i="11"/>
  <c r="X1020" i="11" s="1"/>
  <c r="X1006" i="11"/>
  <c r="X1007" i="11" s="1"/>
  <c r="X1056" i="11"/>
  <c r="X1057" i="11" s="1"/>
  <c r="X1075" i="11"/>
  <c r="X1076" i="11" s="1"/>
  <c r="X1097" i="11"/>
  <c r="X1098" i="11" s="1"/>
  <c r="Y1038" i="11"/>
  <c r="Y1039" i="11" s="1"/>
  <c r="Y1019" i="11"/>
  <c r="Y1020" i="11" s="1"/>
  <c r="Y1006" i="11"/>
  <c r="Y1007" i="11" s="1"/>
  <c r="Y1056" i="11"/>
  <c r="Y1057" i="11" s="1"/>
  <c r="Y1075" i="11"/>
  <c r="Y1076" i="11" s="1"/>
  <c r="Y1097" i="11"/>
  <c r="Y1098" i="11" s="1"/>
  <c r="W1038" i="11"/>
  <c r="W1039" i="11" s="1"/>
  <c r="W1019" i="11"/>
  <c r="W1020" i="11" s="1"/>
  <c r="W1006" i="11"/>
  <c r="W1007" i="11" s="1"/>
  <c r="W1056" i="11"/>
  <c r="W1057" i="11" s="1"/>
  <c r="W1097" i="11"/>
  <c r="W1098" i="11" s="1"/>
  <c r="W1075" i="11"/>
  <c r="W1076" i="11" s="1"/>
  <c r="X994" i="11"/>
  <c r="X995" i="11" s="1"/>
  <c r="X978" i="11"/>
  <c r="X979" i="11" s="1"/>
  <c r="Y994" i="11"/>
  <c r="Y995" i="11" s="1"/>
  <c r="Y978" i="11"/>
  <c r="Y979" i="11" s="1"/>
  <c r="W994" i="11"/>
  <c r="W995" i="11" s="1"/>
  <c r="W978" i="11"/>
  <c r="W979" i="11" s="1"/>
  <c r="X958" i="11"/>
  <c r="X959" i="11" s="1"/>
  <c r="X940" i="11"/>
  <c r="X941" i="11" s="1"/>
  <c r="X921" i="11"/>
  <c r="X922" i="11" s="1"/>
  <c r="Y958" i="11"/>
  <c r="Y959" i="11" s="1"/>
  <c r="Y940" i="11"/>
  <c r="Y941" i="11" s="1"/>
  <c r="Y921" i="11"/>
  <c r="Y922" i="11" s="1"/>
  <c r="W958" i="11"/>
  <c r="W959" i="11" s="1"/>
  <c r="W940" i="11"/>
  <c r="W941" i="11" s="1"/>
  <c r="W921" i="11"/>
  <c r="W922" i="11" s="1"/>
  <c r="X870" i="11"/>
  <c r="X871" i="11" s="1"/>
  <c r="X902" i="11"/>
  <c r="X903" i="11" s="1"/>
  <c r="X886" i="11"/>
  <c r="X887" i="11" s="1"/>
  <c r="Y870" i="11"/>
  <c r="Y871" i="11" s="1"/>
  <c r="Y902" i="11"/>
  <c r="Y903" i="11" s="1"/>
  <c r="Y886" i="11"/>
  <c r="Y887" i="11" s="1"/>
  <c r="W870" i="11"/>
  <c r="W871" i="11" s="1"/>
  <c r="W902" i="11"/>
  <c r="W903" i="11" s="1"/>
  <c r="W886" i="11"/>
  <c r="W887" i="11" s="1"/>
  <c r="X851" i="11"/>
  <c r="X852" i="11" s="1"/>
  <c r="X836" i="11"/>
  <c r="X837" i="11" s="1"/>
  <c r="Y851" i="11"/>
  <c r="Y852" i="11" s="1"/>
  <c r="Y836" i="11"/>
  <c r="Y837" i="11" s="1"/>
  <c r="W851" i="11"/>
  <c r="W852" i="11" s="1"/>
  <c r="W836" i="11"/>
  <c r="W837" i="11" s="1"/>
  <c r="Y799" i="11"/>
  <c r="Y800" i="11" s="1"/>
  <c r="Y766" i="11"/>
  <c r="Y767" i="11" s="1"/>
  <c r="Y784" i="11"/>
  <c r="Y785" i="11" s="1"/>
  <c r="X799" i="11"/>
  <c r="X800" i="11" s="1"/>
  <c r="X766" i="11"/>
  <c r="X767" i="11" s="1"/>
  <c r="X784" i="11"/>
  <c r="X785" i="11" s="1"/>
  <c r="W784" i="11"/>
  <c r="W785" i="11" s="1"/>
  <c r="W799" i="11"/>
  <c r="W800" i="11" s="1"/>
  <c r="W766" i="11"/>
  <c r="W767" i="11" s="1"/>
  <c r="Y736" i="11"/>
  <c r="Y737" i="11" s="1"/>
  <c r="Y753" i="11"/>
  <c r="Y754" i="11" s="1"/>
  <c r="X736" i="11"/>
  <c r="X737" i="11" s="1"/>
  <c r="X753" i="11"/>
  <c r="X754" i="11" s="1"/>
  <c r="W736" i="11"/>
  <c r="W737" i="11" s="1"/>
  <c r="W753" i="11"/>
  <c r="W754" i="11" s="1"/>
  <c r="W696" i="11"/>
  <c r="W697" i="11" s="1"/>
  <c r="Y696" i="11"/>
  <c r="Y697" i="11" s="1"/>
  <c r="X696" i="11"/>
  <c r="X697" i="11" s="1"/>
  <c r="W675" i="11"/>
  <c r="W676" i="11" s="1"/>
  <c r="W658" i="11"/>
  <c r="W659" i="11" s="1"/>
  <c r="W642" i="11"/>
  <c r="W643" i="11" s="1"/>
  <c r="Y658" i="11"/>
  <c r="Y659" i="11" s="1"/>
  <c r="Y642" i="11"/>
  <c r="Y643" i="11" s="1"/>
  <c r="Y675" i="11"/>
  <c r="Y676" i="11" s="1"/>
  <c r="X675" i="11"/>
  <c r="X676" i="11" s="1"/>
  <c r="X658" i="11"/>
  <c r="X659" i="11" s="1"/>
  <c r="X642" i="11"/>
  <c r="X643" i="11" s="1"/>
  <c r="W602" i="11"/>
  <c r="W603" i="11" s="1"/>
  <c r="W627" i="11"/>
  <c r="W628" i="11" s="1"/>
  <c r="W616" i="11"/>
  <c r="W617" i="11" s="1"/>
  <c r="Y602" i="11"/>
  <c r="Y603" i="11" s="1"/>
  <c r="Y627" i="11"/>
  <c r="Y628" i="11" s="1"/>
  <c r="Y616" i="11"/>
  <c r="Y617" i="11" s="1"/>
  <c r="X602" i="11"/>
  <c r="X603" i="11" s="1"/>
  <c r="X627" i="11"/>
  <c r="X628" i="11" s="1"/>
  <c r="X616" i="11"/>
  <c r="X617" i="11" s="1"/>
  <c r="Y581" i="11"/>
  <c r="Y582" i="11" s="1"/>
  <c r="Y562" i="11"/>
  <c r="Y563" i="11" s="1"/>
  <c r="X562" i="11"/>
  <c r="X563" i="11" s="1"/>
  <c r="X581" i="11"/>
  <c r="X582" i="11" s="1"/>
  <c r="W581" i="11"/>
  <c r="W582" i="11" s="1"/>
  <c r="W562" i="11"/>
  <c r="W563" i="11" s="1"/>
  <c r="X532" i="11"/>
  <c r="X533" i="11" s="1"/>
  <c r="X546" i="11"/>
  <c r="X547" i="11" s="1"/>
  <c r="Y532" i="11"/>
  <c r="Y533" i="11" s="1"/>
  <c r="Y546" i="11"/>
  <c r="Y547" i="11" s="1"/>
  <c r="W532" i="11"/>
  <c r="W533" i="11" s="1"/>
  <c r="W546" i="11"/>
  <c r="W547" i="11" s="1"/>
  <c r="W487" i="11"/>
  <c r="W488" i="11" s="1"/>
  <c r="W519" i="11"/>
  <c r="W520" i="11" s="1"/>
  <c r="W507" i="11"/>
  <c r="W508" i="11" s="1"/>
  <c r="Y487" i="11"/>
  <c r="Y488" i="11" s="1"/>
  <c r="Y519" i="11"/>
  <c r="Y520" i="11" s="1"/>
  <c r="Y507" i="11"/>
  <c r="Y508" i="11" s="1"/>
  <c r="X487" i="11"/>
  <c r="X488" i="11" s="1"/>
  <c r="X519" i="11"/>
  <c r="X520" i="11" s="1"/>
  <c r="X507" i="11"/>
  <c r="X508" i="11" s="1"/>
  <c r="W454" i="11"/>
  <c r="W455" i="11" s="1"/>
  <c r="W473" i="11"/>
  <c r="W474" i="11" s="1"/>
  <c r="Y454" i="11"/>
  <c r="Y455" i="11" s="1"/>
  <c r="Y473" i="11"/>
  <c r="Y474" i="11" s="1"/>
  <c r="X454" i="11"/>
  <c r="X455" i="11" s="1"/>
  <c r="X473" i="11"/>
  <c r="X474" i="11" s="1"/>
  <c r="W411" i="11"/>
  <c r="W412" i="11" s="1"/>
  <c r="W438" i="11"/>
  <c r="W439" i="11" s="1"/>
  <c r="W424" i="11"/>
  <c r="W425" i="11" s="1"/>
  <c r="Y411" i="11"/>
  <c r="Y412" i="11" s="1"/>
  <c r="Y438" i="11"/>
  <c r="Y439" i="11" s="1"/>
  <c r="Y424" i="11"/>
  <c r="Y425" i="11" s="1"/>
  <c r="X411" i="11"/>
  <c r="X412" i="11" s="1"/>
  <c r="X438" i="11"/>
  <c r="X439" i="11" s="1"/>
  <c r="X424" i="11"/>
  <c r="X425" i="11" s="1"/>
  <c r="Y375" i="11"/>
  <c r="Y376" i="11" s="1"/>
  <c r="Y395" i="11"/>
  <c r="Y396" i="11" s="1"/>
  <c r="X375" i="11"/>
  <c r="X376" i="11" s="1"/>
  <c r="X395" i="11"/>
  <c r="X396" i="11" s="1"/>
  <c r="W375" i="11"/>
  <c r="W376" i="11" s="1"/>
  <c r="W395" i="11"/>
  <c r="W396" i="11" s="1"/>
  <c r="W321" i="11"/>
  <c r="W322" i="11" s="1"/>
  <c r="W356" i="11"/>
  <c r="W357" i="11" s="1"/>
  <c r="W339" i="11"/>
  <c r="W340" i="11" s="1"/>
  <c r="Y321" i="11"/>
  <c r="Y322" i="11" s="1"/>
  <c r="Y356" i="11"/>
  <c r="Y357" i="11" s="1"/>
  <c r="Y339" i="11"/>
  <c r="Y340" i="11" s="1"/>
  <c r="X321" i="11"/>
  <c r="X322" i="11" s="1"/>
  <c r="X356" i="11"/>
  <c r="X357" i="11" s="1"/>
  <c r="X339" i="11"/>
  <c r="X340" i="11" s="1"/>
  <c r="W233" i="11"/>
  <c r="W234" i="11" s="1"/>
  <c r="W305" i="11"/>
  <c r="W306" i="11" s="1"/>
  <c r="W290" i="11"/>
  <c r="W291" i="11" s="1"/>
  <c r="W270" i="11"/>
  <c r="W271" i="11" s="1"/>
  <c r="W253" i="11"/>
  <c r="W254" i="11" s="1"/>
  <c r="Y233" i="11"/>
  <c r="Y234" i="11" s="1"/>
  <c r="Y305" i="11"/>
  <c r="Y306" i="11" s="1"/>
  <c r="Y290" i="11"/>
  <c r="Y291" i="11" s="1"/>
  <c r="Y270" i="11"/>
  <c r="Y271" i="11" s="1"/>
  <c r="Y253" i="11"/>
  <c r="Y254" i="11" s="1"/>
  <c r="B34" i="11"/>
  <c r="X305" i="11"/>
  <c r="X306" i="11" s="1"/>
  <c r="X290" i="11"/>
  <c r="X291" i="11" s="1"/>
  <c r="X270" i="11"/>
  <c r="X271" i="11" s="1"/>
  <c r="X253" i="11"/>
  <c r="X254" i="11" s="1"/>
  <c r="X41" i="11"/>
  <c r="X233" i="11"/>
  <c r="X234" i="11" s="1"/>
  <c r="Y81" i="11"/>
  <c r="Y186" i="11"/>
  <c r="Y187" i="11" s="1"/>
  <c r="Y202" i="11"/>
  <c r="Y203" i="11" s="1"/>
  <c r="Y219" i="11"/>
  <c r="Y220" i="11" s="1"/>
  <c r="X100" i="11"/>
  <c r="X202" i="11"/>
  <c r="X203" i="11" s="1"/>
  <c r="X219" i="11"/>
  <c r="X220" i="11" s="1"/>
  <c r="X186" i="11"/>
  <c r="X187" i="11" s="1"/>
  <c r="W41" i="11"/>
  <c r="W202" i="11"/>
  <c r="W203" i="11" s="1"/>
  <c r="W219" i="11"/>
  <c r="W220" i="11" s="1"/>
  <c r="W186" i="11"/>
  <c r="W187" i="11" s="1"/>
  <c r="Y100" i="11"/>
  <c r="W100" i="11"/>
  <c r="X178" i="11"/>
  <c r="X179" i="11" s="1"/>
  <c r="X160" i="11"/>
  <c r="X161" i="11" s="1"/>
  <c r="X139" i="11"/>
  <c r="X140" i="11" s="1"/>
  <c r="X118" i="11"/>
  <c r="X119" i="11" s="1"/>
  <c r="W21" i="11"/>
  <c r="Y41" i="11"/>
  <c r="X21" i="11"/>
  <c r="Y21" i="11"/>
  <c r="Y60" i="11"/>
  <c r="X60" i="11"/>
  <c r="W178" i="11"/>
  <c r="W179" i="11" s="1"/>
  <c r="W160" i="11"/>
  <c r="W161" i="11" s="1"/>
  <c r="W139" i="11"/>
  <c r="W140" i="11" s="1"/>
  <c r="W118" i="11"/>
  <c r="W119" i="11" s="1"/>
  <c r="X81" i="11"/>
  <c r="W60" i="11"/>
  <c r="Y178" i="11"/>
  <c r="Y179" i="11" s="1"/>
  <c r="Y160" i="11"/>
  <c r="Y161" i="11" s="1"/>
  <c r="Y139" i="11"/>
  <c r="Y140" i="11" s="1"/>
  <c r="Y118" i="11"/>
  <c r="Y119" i="11" s="1"/>
  <c r="B35" i="11"/>
  <c r="W81" i="11"/>
  <c r="U546" i="8"/>
  <c r="W99" i="11"/>
  <c r="W101" i="11" s="1"/>
  <c r="AA99" i="11"/>
  <c r="Z99" i="11"/>
  <c r="Y99" i="11"/>
  <c r="Y101" i="11" s="1"/>
  <c r="X99" i="11"/>
  <c r="Z20" i="11"/>
  <c r="W20" i="11"/>
  <c r="AA20" i="11"/>
  <c r="Y20" i="11"/>
  <c r="AA80" i="11"/>
  <c r="W80" i="11"/>
  <c r="W82" i="11" s="1"/>
  <c r="Z80" i="11"/>
  <c r="Y80" i="11"/>
  <c r="X80" i="11"/>
  <c r="X20" i="11"/>
  <c r="Y40" i="11"/>
  <c r="Z40" i="11"/>
  <c r="X40" i="11"/>
  <c r="X42" i="11" s="1"/>
  <c r="AA40" i="11"/>
  <c r="W40" i="11"/>
  <c r="W42" i="11" s="1"/>
  <c r="B32" i="11"/>
  <c r="B31" i="11"/>
  <c r="B67" i="8"/>
  <c r="B66" i="8"/>
  <c r="B71" i="8" s="1"/>
  <c r="B72" i="8" s="1"/>
  <c r="T546" i="8"/>
  <c r="V546" i="8"/>
  <c r="X546" i="8"/>
  <c r="W546" i="8"/>
  <c r="U526" i="8"/>
  <c r="W526" i="8"/>
  <c r="T526" i="8"/>
  <c r="X526" i="8"/>
  <c r="V526" i="8"/>
  <c r="S492" i="8"/>
  <c r="T492" i="8"/>
  <c r="U492" i="8"/>
  <c r="V492" i="8"/>
  <c r="W492" i="8"/>
  <c r="X492" i="8"/>
  <c r="S493" i="8"/>
  <c r="T493" i="8"/>
  <c r="U493" i="8"/>
  <c r="V493" i="8"/>
  <c r="W493" i="8"/>
  <c r="X493" i="8"/>
  <c r="S494" i="8"/>
  <c r="T494" i="8"/>
  <c r="U494" i="8"/>
  <c r="V494" i="8"/>
  <c r="W494" i="8"/>
  <c r="X494" i="8"/>
  <c r="S495" i="8"/>
  <c r="T495" i="8"/>
  <c r="U495" i="8"/>
  <c r="V495" i="8"/>
  <c r="W495" i="8"/>
  <c r="X495" i="8"/>
  <c r="S496" i="8"/>
  <c r="T496" i="8"/>
  <c r="U496" i="8"/>
  <c r="V496" i="8"/>
  <c r="W496" i="8"/>
  <c r="X496" i="8"/>
  <c r="S497" i="8"/>
  <c r="T497" i="8"/>
  <c r="U497" i="8"/>
  <c r="V497" i="8"/>
  <c r="W497" i="8"/>
  <c r="X497" i="8"/>
  <c r="S498" i="8"/>
  <c r="T498" i="8"/>
  <c r="U498" i="8"/>
  <c r="V498" i="8"/>
  <c r="W498" i="8"/>
  <c r="X498" i="8"/>
  <c r="S499" i="8"/>
  <c r="T499" i="8"/>
  <c r="U499" i="8"/>
  <c r="V499" i="8"/>
  <c r="W499" i="8"/>
  <c r="X499" i="8"/>
  <c r="S500" i="8"/>
  <c r="T500" i="8"/>
  <c r="U500" i="8"/>
  <c r="V500" i="8"/>
  <c r="W500" i="8"/>
  <c r="X500" i="8"/>
  <c r="S501" i="8"/>
  <c r="T501" i="8"/>
  <c r="U501" i="8"/>
  <c r="V501" i="8"/>
  <c r="W501" i="8"/>
  <c r="X501" i="8"/>
  <c r="S502" i="8"/>
  <c r="T502" i="8"/>
  <c r="U502" i="8"/>
  <c r="V502" i="8"/>
  <c r="W502" i="8"/>
  <c r="X502" i="8"/>
  <c r="S503" i="8"/>
  <c r="T503" i="8"/>
  <c r="U503" i="8"/>
  <c r="V503" i="8"/>
  <c r="W503" i="8"/>
  <c r="X503" i="8"/>
  <c r="S504" i="8"/>
  <c r="T504" i="8"/>
  <c r="U504" i="8"/>
  <c r="V504" i="8"/>
  <c r="W504" i="8"/>
  <c r="X504" i="8"/>
  <c r="S505" i="8"/>
  <c r="T505" i="8"/>
  <c r="U505" i="8"/>
  <c r="V505" i="8"/>
  <c r="W505" i="8"/>
  <c r="X505" i="8"/>
  <c r="IN20" i="5"/>
  <c r="IH115" i="5" a="1"/>
  <c r="IH115" i="5" s="1"/>
  <c r="IH116" i="5" a="1"/>
  <c r="IH116" i="5" s="1"/>
  <c r="IH120" i="5" a="1"/>
  <c r="IH120" i="5" s="1"/>
  <c r="IH121" i="5" a="1"/>
  <c r="IH121" i="5" s="1"/>
  <c r="IH122" i="5" a="1"/>
  <c r="IH122" i="5" s="1"/>
  <c r="IH123" i="5" a="1"/>
  <c r="IH123" i="5" s="1"/>
  <c r="II75" i="5"/>
  <c r="IH124" i="5" s="1" a="1"/>
  <c r="IH124" i="5" s="1"/>
  <c r="HT74" i="5"/>
  <c r="Z1919" i="11" l="1"/>
  <c r="Z1920" i="11" s="1"/>
  <c r="Z1950" i="11"/>
  <c r="Z1951" i="11" s="1"/>
  <c r="Z1931" i="11"/>
  <c r="Z1932" i="11" s="1"/>
  <c r="AA1919" i="11"/>
  <c r="AA1920" i="11" s="1"/>
  <c r="AA1931" i="11"/>
  <c r="AA1932" i="11" s="1"/>
  <c r="AA1950" i="11"/>
  <c r="AA1951" i="11" s="1"/>
  <c r="AA1789" i="11"/>
  <c r="AA1790" i="11" s="1"/>
  <c r="AA1902" i="11"/>
  <c r="AA1903" i="11" s="1"/>
  <c r="AA1849" i="11"/>
  <c r="AA1850" i="11" s="1"/>
  <c r="AA1866" i="11"/>
  <c r="AA1867" i="11" s="1"/>
  <c r="AA1883" i="11"/>
  <c r="AA1884" i="11" s="1"/>
  <c r="Z1789" i="11"/>
  <c r="Z1790" i="11" s="1"/>
  <c r="Z1866" i="11"/>
  <c r="Z1867" i="11" s="1"/>
  <c r="Z1883" i="11"/>
  <c r="Z1884" i="11" s="1"/>
  <c r="Z1849" i="11"/>
  <c r="Z1850" i="11" s="1"/>
  <c r="Z1902" i="11"/>
  <c r="Z1903" i="11" s="1"/>
  <c r="W1807" i="11"/>
  <c r="AA1805" i="11"/>
  <c r="Y42" i="11"/>
  <c r="Y1807" i="11"/>
  <c r="X1807" i="11"/>
  <c r="Z1805" i="11"/>
  <c r="Z1671" i="11"/>
  <c r="Z1672" i="11" s="1"/>
  <c r="Z719" i="11"/>
  <c r="Z720" i="11" s="1"/>
  <c r="Z816" i="11"/>
  <c r="Z817" i="11" s="1"/>
  <c r="Z1839" i="11"/>
  <c r="Z1840" i="11" s="1"/>
  <c r="X82" i="11"/>
  <c r="AA1671" i="11"/>
  <c r="AA1672" i="11" s="1"/>
  <c r="AA816" i="11"/>
  <c r="AA817" i="11" s="1"/>
  <c r="AA719" i="11"/>
  <c r="AA720" i="11" s="1"/>
  <c r="AA1839" i="11"/>
  <c r="AA1840" i="11" s="1"/>
  <c r="Y82" i="11"/>
  <c r="X101" i="11"/>
  <c r="Z1823" i="11"/>
  <c r="Z1824" i="11" s="1"/>
  <c r="Z1806" i="11"/>
  <c r="Z1753" i="11"/>
  <c r="Z1754" i="11" s="1"/>
  <c r="Z1771" i="11"/>
  <c r="Z1772" i="11" s="1"/>
  <c r="Z1736" i="11"/>
  <c r="Z1737" i="11" s="1"/>
  <c r="Z1688" i="11"/>
  <c r="Z1689" i="11" s="1"/>
  <c r="Z1652" i="11"/>
  <c r="Z1653" i="11" s="1"/>
  <c r="Z1614" i="11"/>
  <c r="Z1615" i="11" s="1"/>
  <c r="Z1719" i="11"/>
  <c r="Z1720" i="11" s="1"/>
  <c r="Z1707" i="11"/>
  <c r="Z1708" i="11" s="1"/>
  <c r="Z1630" i="11"/>
  <c r="Z1631" i="11" s="1"/>
  <c r="AA1823" i="11"/>
  <c r="AA1824" i="11" s="1"/>
  <c r="AA1806" i="11"/>
  <c r="AA1807" i="11" s="1"/>
  <c r="AA1753" i="11"/>
  <c r="AA1754" i="11" s="1"/>
  <c r="AA1771" i="11"/>
  <c r="AA1772" i="11" s="1"/>
  <c r="AA1688" i="11"/>
  <c r="AA1689" i="11" s="1"/>
  <c r="AA1652" i="11"/>
  <c r="AA1653" i="11" s="1"/>
  <c r="AA1614" i="11"/>
  <c r="AA1615" i="11" s="1"/>
  <c r="AA1719" i="11"/>
  <c r="AA1720" i="11" s="1"/>
  <c r="AA1707" i="11"/>
  <c r="AA1708" i="11" s="1"/>
  <c r="AA1630" i="11"/>
  <c r="AA1631" i="11" s="1"/>
  <c r="AA1736" i="11"/>
  <c r="AA1737" i="11" s="1"/>
  <c r="Z1500" i="11"/>
  <c r="Z1501" i="11" s="1"/>
  <c r="Z1596" i="11"/>
  <c r="Z1597" i="11" s="1"/>
  <c r="Z1576" i="11"/>
  <c r="Z1577" i="11" s="1"/>
  <c r="Z1527" i="11"/>
  <c r="Z1528" i="11" s="1"/>
  <c r="Z1558" i="11"/>
  <c r="Z1559" i="11" s="1"/>
  <c r="Z1545" i="11"/>
  <c r="Z1546" i="11" s="1"/>
  <c r="Z1510" i="11"/>
  <c r="Z1511" i="11" s="1"/>
  <c r="AA1500" i="11"/>
  <c r="AA1501" i="11" s="1"/>
  <c r="AA1596" i="11"/>
  <c r="AA1597" i="11" s="1"/>
  <c r="AA1576" i="11"/>
  <c r="AA1577" i="11" s="1"/>
  <c r="AA1558" i="11"/>
  <c r="AA1559" i="11" s="1"/>
  <c r="AA1545" i="11"/>
  <c r="AA1546" i="11" s="1"/>
  <c r="AA1527" i="11"/>
  <c r="AA1528" i="11" s="1"/>
  <c r="AA1510" i="11"/>
  <c r="AA1511" i="11" s="1"/>
  <c r="Z1455" i="11"/>
  <c r="Z1456" i="11" s="1"/>
  <c r="Z1482" i="11"/>
  <c r="Z1483" i="11" s="1"/>
  <c r="AA1455" i="11"/>
  <c r="AA1456" i="11" s="1"/>
  <c r="AA1482" i="11"/>
  <c r="AA1483" i="11" s="1"/>
  <c r="AA1423" i="11"/>
  <c r="AA1424" i="11" s="1"/>
  <c r="AA1440" i="11"/>
  <c r="AA1441" i="11" s="1"/>
  <c r="AA1404" i="11"/>
  <c r="AA1405" i="11" s="1"/>
  <c r="Z1423" i="11"/>
  <c r="Z1424" i="11" s="1"/>
  <c r="Z1440" i="11"/>
  <c r="Z1441" i="11" s="1"/>
  <c r="Z1404" i="11"/>
  <c r="Z1405" i="11" s="1"/>
  <c r="AA1317" i="11"/>
  <c r="AA1318" i="11" s="1"/>
  <c r="AA1388" i="11"/>
  <c r="AA1389" i="11" s="1"/>
  <c r="AA1364" i="11"/>
  <c r="AA1365" i="11" s="1"/>
  <c r="AA1339" i="11"/>
  <c r="AA1340" i="11" s="1"/>
  <c r="Z1317" i="11"/>
  <c r="Z1318" i="11" s="1"/>
  <c r="Z1388" i="11"/>
  <c r="Z1389" i="11" s="1"/>
  <c r="Z1364" i="11"/>
  <c r="Z1365" i="11" s="1"/>
  <c r="Z1339" i="11"/>
  <c r="Z1340" i="11" s="1"/>
  <c r="AN1270" i="11"/>
  <c r="Z1296" i="11"/>
  <c r="Z1297" i="11" s="1"/>
  <c r="AO1270" i="11"/>
  <c r="AA1296" i="11"/>
  <c r="AA1297" i="11" s="1"/>
  <c r="Z1255" i="11"/>
  <c r="Z1256" i="11" s="1"/>
  <c r="Z1236" i="11"/>
  <c r="Z1237" i="11" s="1"/>
  <c r="Z1275" i="11"/>
  <c r="Z1276" i="11" s="1"/>
  <c r="AA1255" i="11"/>
  <c r="AA1256" i="11" s="1"/>
  <c r="AA1236" i="11"/>
  <c r="AA1237" i="11" s="1"/>
  <c r="AA1275" i="11"/>
  <c r="AA1276" i="11" s="1"/>
  <c r="AA1214" i="11"/>
  <c r="AA1215" i="11" s="1"/>
  <c r="AA1199" i="11"/>
  <c r="AA1200" i="11" s="1"/>
  <c r="Z1214" i="11"/>
  <c r="Z1215" i="11" s="1"/>
  <c r="Z1199" i="11"/>
  <c r="Z1200" i="11" s="1"/>
  <c r="Z1170" i="11"/>
  <c r="Z1171" i="11" s="1"/>
  <c r="Z1150" i="11"/>
  <c r="Z1151" i="11" s="1"/>
  <c r="Z1186" i="11"/>
  <c r="Z1187" i="11" s="1"/>
  <c r="Z1133" i="11"/>
  <c r="Z1134" i="11" s="1"/>
  <c r="Z1105" i="11"/>
  <c r="Z1106" i="11" s="1"/>
  <c r="Z1119" i="11"/>
  <c r="Z1120" i="11" s="1"/>
  <c r="AA1170" i="11"/>
  <c r="AA1171" i="11" s="1"/>
  <c r="AA1150" i="11"/>
  <c r="AA1151" i="11" s="1"/>
  <c r="AA1133" i="11"/>
  <c r="AA1134" i="11" s="1"/>
  <c r="AA1119" i="11"/>
  <c r="AA1120" i="11" s="1"/>
  <c r="AA1186" i="11"/>
  <c r="AA1187" i="11" s="1"/>
  <c r="AA1105" i="11"/>
  <c r="AA1106" i="11" s="1"/>
  <c r="AA1038" i="11"/>
  <c r="AA1039" i="11" s="1"/>
  <c r="AA1019" i="11"/>
  <c r="AA1020" i="11" s="1"/>
  <c r="AA1006" i="11"/>
  <c r="AA1007" i="11" s="1"/>
  <c r="AA1056" i="11"/>
  <c r="AA1057" i="11" s="1"/>
  <c r="AA1075" i="11"/>
  <c r="AA1076" i="11" s="1"/>
  <c r="AA1097" i="11"/>
  <c r="AA1098" i="11" s="1"/>
  <c r="Z1038" i="11"/>
  <c r="Z1039" i="11" s="1"/>
  <c r="Z1019" i="11"/>
  <c r="Z1020" i="11" s="1"/>
  <c r="Z1006" i="11"/>
  <c r="Z1007" i="11" s="1"/>
  <c r="Z1056" i="11"/>
  <c r="Z1057" i="11" s="1"/>
  <c r="Z1075" i="11"/>
  <c r="Z1076" i="11" s="1"/>
  <c r="Z1097" i="11"/>
  <c r="Z1098" i="11" s="1"/>
  <c r="AA994" i="11"/>
  <c r="AA995" i="11" s="1"/>
  <c r="AA978" i="11"/>
  <c r="AA979" i="11" s="1"/>
  <c r="Z994" i="11"/>
  <c r="Z995" i="11" s="1"/>
  <c r="Z978" i="11"/>
  <c r="Z979" i="11" s="1"/>
  <c r="AA958" i="11"/>
  <c r="AA959" i="11" s="1"/>
  <c r="AA940" i="11"/>
  <c r="AA941" i="11" s="1"/>
  <c r="AA921" i="11"/>
  <c r="AA922" i="11" s="1"/>
  <c r="Z958" i="11"/>
  <c r="Z959" i="11" s="1"/>
  <c r="Z940" i="11"/>
  <c r="Z941" i="11" s="1"/>
  <c r="Z921" i="11"/>
  <c r="Z922" i="11" s="1"/>
  <c r="AA870" i="11"/>
  <c r="AA871" i="11" s="1"/>
  <c r="AA902" i="11"/>
  <c r="AA903" i="11" s="1"/>
  <c r="AA886" i="11"/>
  <c r="AA887" i="11" s="1"/>
  <c r="Z870" i="11"/>
  <c r="Z871" i="11" s="1"/>
  <c r="Z902" i="11"/>
  <c r="Z903" i="11" s="1"/>
  <c r="Z886" i="11"/>
  <c r="Z887" i="11" s="1"/>
  <c r="AA851" i="11"/>
  <c r="AA852" i="11" s="1"/>
  <c r="AA836" i="11"/>
  <c r="AA837" i="11" s="1"/>
  <c r="Z851" i="11"/>
  <c r="Z852" i="11" s="1"/>
  <c r="Z836" i="11"/>
  <c r="Z837" i="11" s="1"/>
  <c r="Z799" i="11"/>
  <c r="Z800" i="11" s="1"/>
  <c r="Z766" i="11"/>
  <c r="Z767" i="11" s="1"/>
  <c r="Z784" i="11"/>
  <c r="Z785" i="11" s="1"/>
  <c r="AA784" i="11"/>
  <c r="AA785" i="11" s="1"/>
  <c r="AA799" i="11"/>
  <c r="AA800" i="11" s="1"/>
  <c r="AA766" i="11"/>
  <c r="AA767" i="11" s="1"/>
  <c r="AA736" i="11"/>
  <c r="AA737" i="11" s="1"/>
  <c r="AA753" i="11"/>
  <c r="AA754" i="11" s="1"/>
  <c r="Z736" i="11"/>
  <c r="Z737" i="11" s="1"/>
  <c r="Z753" i="11"/>
  <c r="Z754" i="11" s="1"/>
  <c r="Z696" i="11"/>
  <c r="Z697" i="11" s="1"/>
  <c r="AA696" i="11"/>
  <c r="AA697" i="11" s="1"/>
  <c r="AA675" i="11"/>
  <c r="AA676" i="11" s="1"/>
  <c r="AA658" i="11"/>
  <c r="AA659" i="11" s="1"/>
  <c r="AA642" i="11"/>
  <c r="AA643" i="11" s="1"/>
  <c r="Z658" i="11"/>
  <c r="Z659" i="11" s="1"/>
  <c r="Z642" i="11"/>
  <c r="Z643" i="11" s="1"/>
  <c r="Z675" i="11"/>
  <c r="Z676" i="11" s="1"/>
  <c r="Z602" i="11"/>
  <c r="Z603" i="11" s="1"/>
  <c r="Z616" i="11"/>
  <c r="Z617" i="11" s="1"/>
  <c r="Z627" i="11"/>
  <c r="Z628" i="11" s="1"/>
  <c r="AA602" i="11"/>
  <c r="AA603" i="11" s="1"/>
  <c r="AA627" i="11"/>
  <c r="AA628" i="11" s="1"/>
  <c r="AA616" i="11"/>
  <c r="AA617" i="11" s="1"/>
  <c r="Z581" i="11"/>
  <c r="Z582" i="11" s="1"/>
  <c r="Z562" i="11"/>
  <c r="Z563" i="11" s="1"/>
  <c r="AA581" i="11"/>
  <c r="AA582" i="11" s="1"/>
  <c r="AA562" i="11"/>
  <c r="AA563" i="11" s="1"/>
  <c r="AA532" i="11"/>
  <c r="AA533" i="11" s="1"/>
  <c r="AA546" i="11"/>
  <c r="AA547" i="11" s="1"/>
  <c r="Z532" i="11"/>
  <c r="Z533" i="11" s="1"/>
  <c r="Z546" i="11"/>
  <c r="Z547" i="11" s="1"/>
  <c r="AA487" i="11"/>
  <c r="AA488" i="11" s="1"/>
  <c r="AA519" i="11"/>
  <c r="AA520" i="11" s="1"/>
  <c r="AA507" i="11"/>
  <c r="AA508" i="11" s="1"/>
  <c r="Z487" i="11"/>
  <c r="Z488" i="11" s="1"/>
  <c r="Z519" i="11"/>
  <c r="Z520" i="11" s="1"/>
  <c r="Z507" i="11"/>
  <c r="Z508" i="11" s="1"/>
  <c r="Z454" i="11"/>
  <c r="Z455" i="11" s="1"/>
  <c r="Z473" i="11"/>
  <c r="Z474" i="11" s="1"/>
  <c r="AA473" i="11"/>
  <c r="AA474" i="11" s="1"/>
  <c r="AA454" i="11"/>
  <c r="AA455" i="11" s="1"/>
  <c r="Z411" i="11"/>
  <c r="Z412" i="11" s="1"/>
  <c r="Z438" i="11"/>
  <c r="Z439" i="11" s="1"/>
  <c r="Z424" i="11"/>
  <c r="Z425" i="11" s="1"/>
  <c r="AA411" i="11"/>
  <c r="AA412" i="11" s="1"/>
  <c r="AA438" i="11"/>
  <c r="AA439" i="11" s="1"/>
  <c r="AA424" i="11"/>
  <c r="AA425" i="11" s="1"/>
  <c r="Z375" i="11"/>
  <c r="Z376" i="11" s="1"/>
  <c r="Z395" i="11"/>
  <c r="Z396" i="11" s="1"/>
  <c r="AA375" i="11"/>
  <c r="AA376" i="11" s="1"/>
  <c r="AA395" i="11"/>
  <c r="AA396" i="11" s="1"/>
  <c r="X59" i="11"/>
  <c r="X61" i="11" s="1"/>
  <c r="AA321" i="11"/>
  <c r="AA322" i="11" s="1"/>
  <c r="AA356" i="11"/>
  <c r="AA357" i="11" s="1"/>
  <c r="AA339" i="11"/>
  <c r="AA340" i="11" s="1"/>
  <c r="Z321" i="11"/>
  <c r="Z322" i="11" s="1"/>
  <c r="Z339" i="11"/>
  <c r="Z340" i="11" s="1"/>
  <c r="Z356" i="11"/>
  <c r="Z357" i="11" s="1"/>
  <c r="AA233" i="11"/>
  <c r="AA234" i="11" s="1"/>
  <c r="AA305" i="11"/>
  <c r="AA306" i="11" s="1"/>
  <c r="AA290" i="11"/>
  <c r="AA291" i="11" s="1"/>
  <c r="AA270" i="11"/>
  <c r="AA271" i="11" s="1"/>
  <c r="AA253" i="11"/>
  <c r="AA254" i="11" s="1"/>
  <c r="Z233" i="11"/>
  <c r="Z234" i="11" s="1"/>
  <c r="Z305" i="11"/>
  <c r="Z306" i="11" s="1"/>
  <c r="Z290" i="11"/>
  <c r="Z291" i="11" s="1"/>
  <c r="Z270" i="11"/>
  <c r="Z271" i="11" s="1"/>
  <c r="Z253" i="11"/>
  <c r="Z254" i="11" s="1"/>
  <c r="X22" i="11"/>
  <c r="W59" i="11"/>
  <c r="W61" i="11" s="1"/>
  <c r="Y59" i="11"/>
  <c r="Y61" i="11" s="1"/>
  <c r="AA219" i="11"/>
  <c r="AA220" i="11" s="1"/>
  <c r="AA202" i="11"/>
  <c r="AA203" i="11" s="1"/>
  <c r="AA186" i="11"/>
  <c r="AA187" i="11" s="1"/>
  <c r="Z186" i="11"/>
  <c r="Z187" i="11" s="1"/>
  <c r="Z219" i="11"/>
  <c r="Z220" i="11" s="1"/>
  <c r="Z202" i="11"/>
  <c r="Z203" i="11" s="1"/>
  <c r="Z178" i="11"/>
  <c r="Z179" i="11" s="1"/>
  <c r="Z139" i="11"/>
  <c r="Z140" i="11" s="1"/>
  <c r="Z160" i="11"/>
  <c r="Z161" i="11" s="1"/>
  <c r="Z118" i="11"/>
  <c r="Z119" i="11" s="1"/>
  <c r="Z81" i="11"/>
  <c r="Z82" i="11" s="1"/>
  <c r="Z60" i="11"/>
  <c r="Z21" i="11"/>
  <c r="Z22" i="11" s="1"/>
  <c r="Z100" i="11"/>
  <c r="Z101" i="11" s="1"/>
  <c r="Z41" i="11"/>
  <c r="AA178" i="11"/>
  <c r="AA179" i="11" s="1"/>
  <c r="AA139" i="11"/>
  <c r="AA140" i="11" s="1"/>
  <c r="AA160" i="11"/>
  <c r="AA161" i="11" s="1"/>
  <c r="AA118" i="11"/>
  <c r="AA119" i="11" s="1"/>
  <c r="AA100" i="11"/>
  <c r="AA101" i="11" s="1"/>
  <c r="AA81" i="11"/>
  <c r="AA82" i="11" s="1"/>
  <c r="AA60" i="11"/>
  <c r="AA21" i="11"/>
  <c r="AA22" i="11" s="1"/>
  <c r="AA41" i="11"/>
  <c r="Y22" i="11"/>
  <c r="W22" i="11"/>
  <c r="B36" i="11"/>
  <c r="B37" i="11" s="1"/>
  <c r="II78" i="5"/>
  <c r="W506" i="8"/>
  <c r="U506" i="8"/>
  <c r="V506" i="8"/>
  <c r="X506" i="8"/>
  <c r="T506" i="8"/>
  <c r="HR71" i="5"/>
  <c r="HU68" i="5"/>
  <c r="HX65" i="5"/>
  <c r="HQ65" i="5"/>
  <c r="HR65" i="5"/>
  <c r="II54" i="5"/>
  <c r="IH117" i="5" s="1" a="1"/>
  <c r="IH117" i="5" s="1"/>
  <c r="HR53" i="5"/>
  <c r="HW50" i="5"/>
  <c r="HX50" i="5"/>
  <c r="HT50" i="5"/>
  <c r="HQ50" i="5"/>
  <c r="HR50" i="5"/>
  <c r="HU50" i="5"/>
  <c r="Z1807" i="11" l="1"/>
  <c r="Z42" i="11"/>
  <c r="Z59" i="11" s="1"/>
  <c r="AA42" i="11"/>
  <c r="AA59" i="11" s="1"/>
  <c r="AL1269" i="11"/>
  <c r="AK1269" i="11"/>
  <c r="AM1269" i="11"/>
  <c r="II57" i="5"/>
  <c r="II81" i="5"/>
  <c r="IH125" i="5" a="1"/>
  <c r="IH125" i="5" s="1"/>
  <c r="S479" i="8"/>
  <c r="T479" i="8"/>
  <c r="U479" i="8"/>
  <c r="V479" i="8"/>
  <c r="W479" i="8"/>
  <c r="X479" i="8"/>
  <c r="S480" i="8"/>
  <c r="T480" i="8"/>
  <c r="U480" i="8"/>
  <c r="V480" i="8"/>
  <c r="W480" i="8"/>
  <c r="X480" i="8"/>
  <c r="S481" i="8"/>
  <c r="T481" i="8"/>
  <c r="U481" i="8"/>
  <c r="V481" i="8"/>
  <c r="W481" i="8"/>
  <c r="X481" i="8"/>
  <c r="S482" i="8"/>
  <c r="T482" i="8"/>
  <c r="U482" i="8"/>
  <c r="V482" i="8"/>
  <c r="W482" i="8"/>
  <c r="X482" i="8"/>
  <c r="S483" i="8"/>
  <c r="T483" i="8"/>
  <c r="U483" i="8"/>
  <c r="V483" i="8"/>
  <c r="W483" i="8"/>
  <c r="X483" i="8"/>
  <c r="S484" i="8"/>
  <c r="T484" i="8"/>
  <c r="U484" i="8"/>
  <c r="V484" i="8"/>
  <c r="W484" i="8"/>
  <c r="X484" i="8"/>
  <c r="S485" i="8"/>
  <c r="T485" i="8"/>
  <c r="U485" i="8"/>
  <c r="V485" i="8"/>
  <c r="W485" i="8"/>
  <c r="X485" i="8"/>
  <c r="S486" i="8"/>
  <c r="T486" i="8"/>
  <c r="U486" i="8"/>
  <c r="V486" i="8"/>
  <c r="W486" i="8"/>
  <c r="X486" i="8"/>
  <c r="S487" i="8"/>
  <c r="T487" i="8"/>
  <c r="U487" i="8"/>
  <c r="V487" i="8"/>
  <c r="W487" i="8"/>
  <c r="X487" i="8"/>
  <c r="S488" i="8"/>
  <c r="T488" i="8"/>
  <c r="U488" i="8"/>
  <c r="V488" i="8"/>
  <c r="W488" i="8"/>
  <c r="X488" i="8"/>
  <c r="S473" i="8"/>
  <c r="S474" i="8"/>
  <c r="S475" i="8"/>
  <c r="S464" i="8"/>
  <c r="S465" i="8"/>
  <c r="S466" i="8"/>
  <c r="S467" i="8"/>
  <c r="S468" i="8"/>
  <c r="S469" i="8"/>
  <c r="S470" i="8"/>
  <c r="S471" i="8"/>
  <c r="T464" i="8"/>
  <c r="U464" i="8"/>
  <c r="V464" i="8"/>
  <c r="W464" i="8"/>
  <c r="X464" i="8"/>
  <c r="T465" i="8"/>
  <c r="U465" i="8"/>
  <c r="V465" i="8"/>
  <c r="W465" i="8"/>
  <c r="X465" i="8"/>
  <c r="T466" i="8"/>
  <c r="U466" i="8"/>
  <c r="V466" i="8"/>
  <c r="W466" i="8"/>
  <c r="X466" i="8"/>
  <c r="T467" i="8"/>
  <c r="U467" i="8"/>
  <c r="V467" i="8"/>
  <c r="W467" i="8"/>
  <c r="X467" i="8"/>
  <c r="T468" i="8"/>
  <c r="U468" i="8"/>
  <c r="V468" i="8"/>
  <c r="W468" i="8"/>
  <c r="X468" i="8"/>
  <c r="T469" i="8"/>
  <c r="U469" i="8"/>
  <c r="V469" i="8"/>
  <c r="W469" i="8"/>
  <c r="X469" i="8"/>
  <c r="T470" i="8"/>
  <c r="U470" i="8"/>
  <c r="V470" i="8"/>
  <c r="W470" i="8"/>
  <c r="X470" i="8"/>
  <c r="T471" i="8"/>
  <c r="U471" i="8"/>
  <c r="V471" i="8"/>
  <c r="W471" i="8"/>
  <c r="X471" i="8"/>
  <c r="T473" i="8"/>
  <c r="U473" i="8"/>
  <c r="V473" i="8"/>
  <c r="W473" i="8"/>
  <c r="X473" i="8"/>
  <c r="T474" i="8"/>
  <c r="U474" i="8"/>
  <c r="V474" i="8"/>
  <c r="W474" i="8"/>
  <c r="X474" i="8"/>
  <c r="T475" i="8"/>
  <c r="U475" i="8"/>
  <c r="V475" i="8"/>
  <c r="W475" i="8"/>
  <c r="X475" i="8"/>
  <c r="X472" i="8"/>
  <c r="W472" i="8"/>
  <c r="V472" i="8"/>
  <c r="U472" i="8"/>
  <c r="T472" i="8"/>
  <c r="S472" i="8"/>
  <c r="S454" i="8"/>
  <c r="T454" i="8"/>
  <c r="U454" i="8"/>
  <c r="V454" i="8"/>
  <c r="W454" i="8"/>
  <c r="X454" i="8"/>
  <c r="S455" i="8"/>
  <c r="T455" i="8"/>
  <c r="U455" i="8"/>
  <c r="V455" i="8"/>
  <c r="W455" i="8"/>
  <c r="X455" i="8"/>
  <c r="S456" i="8"/>
  <c r="T456" i="8"/>
  <c r="U456" i="8"/>
  <c r="V456" i="8"/>
  <c r="W456" i="8"/>
  <c r="X456" i="8"/>
  <c r="S457" i="8"/>
  <c r="T457" i="8"/>
  <c r="U457" i="8"/>
  <c r="V457" i="8"/>
  <c r="W457" i="8"/>
  <c r="X457" i="8"/>
  <c r="S458" i="8"/>
  <c r="T458" i="8"/>
  <c r="U458" i="8"/>
  <c r="V458" i="8"/>
  <c r="W458" i="8"/>
  <c r="X458" i="8"/>
  <c r="S459" i="8"/>
  <c r="T459" i="8"/>
  <c r="U459" i="8"/>
  <c r="V459" i="8"/>
  <c r="W459" i="8"/>
  <c r="X459" i="8"/>
  <c r="S460" i="8"/>
  <c r="T460" i="8"/>
  <c r="U460" i="8"/>
  <c r="V460" i="8"/>
  <c r="W460" i="8"/>
  <c r="X460" i="8"/>
  <c r="S441" i="8"/>
  <c r="T441" i="8"/>
  <c r="U441" i="8"/>
  <c r="V441" i="8"/>
  <c r="W441" i="8"/>
  <c r="X441" i="8"/>
  <c r="S442" i="8"/>
  <c r="T442" i="8"/>
  <c r="U442" i="8"/>
  <c r="V442" i="8"/>
  <c r="W442" i="8"/>
  <c r="X442" i="8"/>
  <c r="S443" i="8"/>
  <c r="T443" i="8"/>
  <c r="U443" i="8"/>
  <c r="V443" i="8"/>
  <c r="W443" i="8"/>
  <c r="X443" i="8"/>
  <c r="S444" i="8"/>
  <c r="T444" i="8"/>
  <c r="U444" i="8"/>
  <c r="V444" i="8"/>
  <c r="W444" i="8"/>
  <c r="X444" i="8"/>
  <c r="S445" i="8"/>
  <c r="T445" i="8"/>
  <c r="U445" i="8"/>
  <c r="V445" i="8"/>
  <c r="W445" i="8"/>
  <c r="X445" i="8"/>
  <c r="S446" i="8"/>
  <c r="T446" i="8"/>
  <c r="U446" i="8"/>
  <c r="V446" i="8"/>
  <c r="W446" i="8"/>
  <c r="X446" i="8"/>
  <c r="S447" i="8"/>
  <c r="T447" i="8"/>
  <c r="U447" i="8"/>
  <c r="V447" i="8"/>
  <c r="W447" i="8"/>
  <c r="X447" i="8"/>
  <c r="S448" i="8"/>
  <c r="T448" i="8"/>
  <c r="U448" i="8"/>
  <c r="V448" i="8"/>
  <c r="W448" i="8"/>
  <c r="X448" i="8"/>
  <c r="S449" i="8"/>
  <c r="T449" i="8"/>
  <c r="U449" i="8"/>
  <c r="V449" i="8"/>
  <c r="W449" i="8"/>
  <c r="X449" i="8"/>
  <c r="S450" i="8"/>
  <c r="T450" i="8"/>
  <c r="U450" i="8"/>
  <c r="V450" i="8"/>
  <c r="W450" i="8"/>
  <c r="X450" i="8"/>
  <c r="S427" i="8"/>
  <c r="T427" i="8"/>
  <c r="U427" i="8"/>
  <c r="V427" i="8"/>
  <c r="W427" i="8"/>
  <c r="X427" i="8"/>
  <c r="S428" i="8"/>
  <c r="T428" i="8"/>
  <c r="U428" i="8"/>
  <c r="V428" i="8"/>
  <c r="W428" i="8"/>
  <c r="X428" i="8"/>
  <c r="S429" i="8"/>
  <c r="T429" i="8"/>
  <c r="U429" i="8"/>
  <c r="V429" i="8"/>
  <c r="W429" i="8"/>
  <c r="X429" i="8"/>
  <c r="S430" i="8"/>
  <c r="T430" i="8"/>
  <c r="U430" i="8"/>
  <c r="V430" i="8"/>
  <c r="W430" i="8"/>
  <c r="X430" i="8"/>
  <c r="S431" i="8"/>
  <c r="T431" i="8"/>
  <c r="U431" i="8"/>
  <c r="V431" i="8"/>
  <c r="W431" i="8"/>
  <c r="X431" i="8"/>
  <c r="S432" i="8"/>
  <c r="T432" i="8"/>
  <c r="U432" i="8"/>
  <c r="V432" i="8"/>
  <c r="W432" i="8"/>
  <c r="X432" i="8"/>
  <c r="S433" i="8"/>
  <c r="T433" i="8"/>
  <c r="U433" i="8"/>
  <c r="V433" i="8"/>
  <c r="W433" i="8"/>
  <c r="X433" i="8"/>
  <c r="S434" i="8"/>
  <c r="T434" i="8"/>
  <c r="U434" i="8"/>
  <c r="V434" i="8"/>
  <c r="W434" i="8"/>
  <c r="X434" i="8"/>
  <c r="S435" i="8"/>
  <c r="T435" i="8"/>
  <c r="U435" i="8"/>
  <c r="V435" i="8"/>
  <c r="W435" i="8"/>
  <c r="X435" i="8"/>
  <c r="S436" i="8"/>
  <c r="T436" i="8"/>
  <c r="U436" i="8"/>
  <c r="V436" i="8"/>
  <c r="W436" i="8"/>
  <c r="X436" i="8"/>
  <c r="S437" i="8"/>
  <c r="T437" i="8"/>
  <c r="U437" i="8"/>
  <c r="V437" i="8"/>
  <c r="W437" i="8"/>
  <c r="X437" i="8"/>
  <c r="AO1269" i="11" l="1"/>
  <c r="AA61" i="11"/>
  <c r="AN1269" i="11"/>
  <c r="Z61" i="11"/>
  <c r="AM1272" i="11"/>
  <c r="AM1273" i="11" s="1"/>
  <c r="AM1271" i="11"/>
  <c r="AK1272" i="11"/>
  <c r="AK1273" i="11" s="1"/>
  <c r="AK1271" i="11"/>
  <c r="AL1272" i="11"/>
  <c r="AL1273" i="11" s="1"/>
  <c r="AL1271" i="11"/>
  <c r="U527" i="8"/>
  <c r="U528" i="8" s="1"/>
  <c r="U547" i="8"/>
  <c r="U548" i="8" s="1"/>
  <c r="X461" i="8"/>
  <c r="IH126" i="5" a="1"/>
  <c r="IH126" i="5" s="1"/>
  <c r="II84" i="5"/>
  <c r="IH118" i="5" a="1"/>
  <c r="IH118" i="5" s="1"/>
  <c r="II60" i="5"/>
  <c r="IH119" i="5" s="1" a="1"/>
  <c r="IH119" i="5" s="1"/>
  <c r="T461" i="8"/>
  <c r="U439" i="8"/>
  <c r="U507" i="8"/>
  <c r="U508" i="8" s="1"/>
  <c r="V461" i="8"/>
  <c r="U476" i="8"/>
  <c r="X451" i="8"/>
  <c r="W461" i="8"/>
  <c r="U461" i="8"/>
  <c r="W451" i="8"/>
  <c r="T451" i="8"/>
  <c r="V451" i="8"/>
  <c r="V476" i="8"/>
  <c r="W476" i="8"/>
  <c r="X476" i="8"/>
  <c r="T476" i="8"/>
  <c r="U451" i="8"/>
  <c r="T489" i="8"/>
  <c r="V489" i="8"/>
  <c r="W489" i="8"/>
  <c r="U489" i="8"/>
  <c r="X489" i="8"/>
  <c r="U490" i="8"/>
  <c r="U462" i="8"/>
  <c r="U477" i="8"/>
  <c r="U452" i="8"/>
  <c r="T438" i="8"/>
  <c r="U438" i="8"/>
  <c r="V438" i="8"/>
  <c r="X438" i="8"/>
  <c r="W438" i="8"/>
  <c r="U425" i="8"/>
  <c r="X423" i="8"/>
  <c r="W423" i="8"/>
  <c r="V423" i="8"/>
  <c r="U423" i="8"/>
  <c r="T423" i="8"/>
  <c r="S423" i="8"/>
  <c r="X422" i="8"/>
  <c r="W422" i="8"/>
  <c r="V422" i="8"/>
  <c r="U422" i="8"/>
  <c r="T422" i="8"/>
  <c r="S422" i="8"/>
  <c r="X421" i="8"/>
  <c r="W421" i="8"/>
  <c r="V421" i="8"/>
  <c r="U421" i="8"/>
  <c r="T421" i="8"/>
  <c r="S421" i="8"/>
  <c r="X420" i="8"/>
  <c r="W420" i="8"/>
  <c r="V420" i="8"/>
  <c r="U420" i="8"/>
  <c r="T420" i="8"/>
  <c r="S420" i="8"/>
  <c r="X419" i="8"/>
  <c r="W419" i="8"/>
  <c r="V419" i="8"/>
  <c r="U419" i="8"/>
  <c r="T419" i="8"/>
  <c r="S419" i="8"/>
  <c r="X418" i="8"/>
  <c r="W418" i="8"/>
  <c r="V418" i="8"/>
  <c r="U418" i="8"/>
  <c r="T418" i="8"/>
  <c r="S418" i="8"/>
  <c r="X417" i="8"/>
  <c r="W417" i="8"/>
  <c r="V417" i="8"/>
  <c r="U417" i="8"/>
  <c r="T417" i="8"/>
  <c r="S417" i="8"/>
  <c r="X416" i="8"/>
  <c r="W416" i="8"/>
  <c r="V416" i="8"/>
  <c r="U416" i="8"/>
  <c r="T416" i="8"/>
  <c r="S416" i="8"/>
  <c r="X415" i="8"/>
  <c r="W415" i="8"/>
  <c r="V415" i="8"/>
  <c r="U415" i="8"/>
  <c r="T415" i="8"/>
  <c r="S415" i="8"/>
  <c r="X414" i="8"/>
  <c r="W414" i="8"/>
  <c r="V414" i="8"/>
  <c r="U414" i="8"/>
  <c r="T414" i="8"/>
  <c r="S414" i="8"/>
  <c r="AN1271" i="11" l="1"/>
  <c r="AN1272" i="11"/>
  <c r="AN1273" i="11" s="1"/>
  <c r="AO1272" i="11"/>
  <c r="AO1273" i="11" s="1"/>
  <c r="AO1271" i="11"/>
  <c r="U440" i="8"/>
  <c r="II87" i="5"/>
  <c r="IH127" i="5" a="1"/>
  <c r="IH127" i="5" s="1"/>
  <c r="U478" i="8"/>
  <c r="U463" i="8"/>
  <c r="U491" i="8"/>
  <c r="U453" i="8"/>
  <c r="V424" i="8"/>
  <c r="X424" i="8"/>
  <c r="W424" i="8"/>
  <c r="T424" i="8"/>
  <c r="U424" i="8"/>
  <c r="U426" i="8" s="1"/>
  <c r="II90" i="5" l="1"/>
  <c r="IH128" i="5" a="1"/>
  <c r="IH128" i="5" s="1"/>
  <c r="S409" i="8"/>
  <c r="S410" i="8"/>
  <c r="S407" i="8"/>
  <c r="S408" i="8"/>
  <c r="S401" i="8"/>
  <c r="T401" i="8"/>
  <c r="U401" i="8"/>
  <c r="V401" i="8"/>
  <c r="W401" i="8"/>
  <c r="X401" i="8"/>
  <c r="S402" i="8"/>
  <c r="T402" i="8"/>
  <c r="U402" i="8"/>
  <c r="V402" i="8"/>
  <c r="W402" i="8"/>
  <c r="X402" i="8"/>
  <c r="S403" i="8"/>
  <c r="T403" i="8"/>
  <c r="U403" i="8"/>
  <c r="V403" i="8"/>
  <c r="W403" i="8"/>
  <c r="X403" i="8"/>
  <c r="S404" i="8"/>
  <c r="T404" i="8"/>
  <c r="U404" i="8"/>
  <c r="V404" i="8"/>
  <c r="W404" i="8"/>
  <c r="X404" i="8"/>
  <c r="S405" i="8"/>
  <c r="T405" i="8"/>
  <c r="U405" i="8"/>
  <c r="V405" i="8"/>
  <c r="W405" i="8"/>
  <c r="X405" i="8"/>
  <c r="S406" i="8"/>
  <c r="T406" i="8"/>
  <c r="U406" i="8"/>
  <c r="V406" i="8"/>
  <c r="W406" i="8"/>
  <c r="X406" i="8"/>
  <c r="T407" i="8"/>
  <c r="U407" i="8"/>
  <c r="V407" i="8"/>
  <c r="W407" i="8"/>
  <c r="X407" i="8"/>
  <c r="T408" i="8"/>
  <c r="U408" i="8"/>
  <c r="V408" i="8"/>
  <c r="W408" i="8"/>
  <c r="X408" i="8"/>
  <c r="T409" i="8"/>
  <c r="U409" i="8"/>
  <c r="V409" i="8"/>
  <c r="W409" i="8"/>
  <c r="X409" i="8"/>
  <c r="T410" i="8"/>
  <c r="U410" i="8"/>
  <c r="V410" i="8"/>
  <c r="W410" i="8"/>
  <c r="X410" i="8"/>
  <c r="U412" i="8"/>
  <c r="IW17" i="5"/>
  <c r="IV17" i="5"/>
  <c r="IP17" i="5"/>
  <c r="IM17" i="5"/>
  <c r="IN17" i="5"/>
  <c r="JE3" i="5"/>
  <c r="JE5" i="5"/>
  <c r="JF130" i="5" a="1"/>
  <c r="JF130" i="5" s="1"/>
  <c r="JF129" i="5" a="1"/>
  <c r="JF129" i="5" s="1"/>
  <c r="JF128" i="5" a="1"/>
  <c r="JF128" i="5" s="1"/>
  <c r="JF127" i="5" a="1"/>
  <c r="JF127" i="5" s="1"/>
  <c r="JF126" i="5" a="1"/>
  <c r="JF126" i="5" s="1"/>
  <c r="JF125" i="5" a="1"/>
  <c r="JF125" i="5" s="1"/>
  <c r="JF124" i="5" a="1"/>
  <c r="JF124" i="5" s="1"/>
  <c r="JF123" i="5" a="1"/>
  <c r="JF123" i="5" s="1"/>
  <c r="JF122" i="5" a="1"/>
  <c r="JF122" i="5" s="1"/>
  <c r="JF121" i="5" a="1"/>
  <c r="JF121" i="5" s="1"/>
  <c r="JF120" i="5" a="1"/>
  <c r="JF120" i="5" s="1"/>
  <c r="JF119" i="5" a="1"/>
  <c r="JF119" i="5" s="1"/>
  <c r="JF118" i="5" a="1"/>
  <c r="JF118" i="5" s="1"/>
  <c r="JF117" i="5" a="1"/>
  <c r="JF117" i="5" s="1"/>
  <c r="JF116" i="5" a="1"/>
  <c r="JF116" i="5" s="1"/>
  <c r="JF115" i="5" a="1"/>
  <c r="JF115" i="5" s="1"/>
  <c r="JF114" i="5" a="1"/>
  <c r="JF114" i="5" s="1"/>
  <c r="JF113" i="5" a="1"/>
  <c r="JF113" i="5" s="1"/>
  <c r="JF112" i="5" a="1"/>
  <c r="JF112" i="5" s="1"/>
  <c r="JF111" i="5" a="1"/>
  <c r="JF111" i="5" s="1"/>
  <c r="JF110" i="5" a="1"/>
  <c r="JF110" i="5" s="1"/>
  <c r="JF109" i="5" a="1"/>
  <c r="JF109" i="5" s="1"/>
  <c r="JE109" i="5" a="1"/>
  <c r="JE109" i="5" s="1"/>
  <c r="JF108" i="5" a="1"/>
  <c r="JF108" i="5" s="1"/>
  <c r="JE108" i="5" a="1"/>
  <c r="JE108" i="5" s="1"/>
  <c r="JF107" i="5" a="1"/>
  <c r="JF107" i="5" s="1"/>
  <c r="JE107" i="5" a="1"/>
  <c r="JE107" i="5" s="1"/>
  <c r="JF106" i="5" a="1"/>
  <c r="JF106" i="5" s="1"/>
  <c r="JE106" i="5" a="1"/>
  <c r="JE106" i="5" s="1"/>
  <c r="JF105" i="5" a="1"/>
  <c r="JF105" i="5" s="1"/>
  <c r="JE105" i="5" a="1"/>
  <c r="JE105" i="5" s="1"/>
  <c r="JF104" i="5" a="1"/>
  <c r="JF104" i="5" s="1"/>
  <c r="JF103" i="5" a="1"/>
  <c r="JF103" i="5" s="1"/>
  <c r="JF102" i="5" a="1"/>
  <c r="JF102" i="5" s="1"/>
  <c r="JF101" i="5" a="1"/>
  <c r="JF101" i="5" s="1"/>
  <c r="JF100" i="5" a="1"/>
  <c r="JF100" i="5" s="1"/>
  <c r="JE95" i="5"/>
  <c r="JE93" i="5"/>
  <c r="JE92" i="5"/>
  <c r="JE90" i="5"/>
  <c r="JE89" i="5"/>
  <c r="JE87" i="5"/>
  <c r="JE86" i="5"/>
  <c r="JE84" i="5"/>
  <c r="JE83" i="5"/>
  <c r="JE81" i="5"/>
  <c r="JE80" i="5"/>
  <c r="JE78" i="5"/>
  <c r="JE77" i="5"/>
  <c r="JE75" i="5"/>
  <c r="JE74" i="5"/>
  <c r="JE72" i="5"/>
  <c r="JE71" i="5"/>
  <c r="JE69" i="5"/>
  <c r="JE68" i="5"/>
  <c r="JE66" i="5"/>
  <c r="JE65" i="5"/>
  <c r="JE63" i="5"/>
  <c r="JE62" i="5"/>
  <c r="JE60" i="5"/>
  <c r="JE59" i="5"/>
  <c r="JE57" i="5"/>
  <c r="JE56" i="5"/>
  <c r="JE54" i="5"/>
  <c r="JE53" i="5"/>
  <c r="JE51" i="5"/>
  <c r="JE50" i="5"/>
  <c r="JE48" i="5"/>
  <c r="JE47" i="5"/>
  <c r="JE45" i="5"/>
  <c r="JE44" i="5"/>
  <c r="JE42" i="5"/>
  <c r="JE41" i="5"/>
  <c r="JE39" i="5"/>
  <c r="JE38" i="5"/>
  <c r="JE36" i="5"/>
  <c r="JE33" i="5"/>
  <c r="JE32" i="5"/>
  <c r="JE30" i="5"/>
  <c r="JE29" i="5"/>
  <c r="JE27" i="5"/>
  <c r="JE26" i="5"/>
  <c r="JE24" i="5"/>
  <c r="JE23" i="5"/>
  <c r="JE21" i="5"/>
  <c r="JE20" i="5"/>
  <c r="JE18" i="5"/>
  <c r="JE104" i="5" a="1"/>
  <c r="JE104" i="5" s="1"/>
  <c r="JE15" i="5"/>
  <c r="JE12" i="5"/>
  <c r="JE11" i="5"/>
  <c r="JE9" i="5"/>
  <c r="JE8" i="5"/>
  <c r="JE6" i="5"/>
  <c r="X397" i="8"/>
  <c r="W397" i="8"/>
  <c r="V397" i="8"/>
  <c r="U397" i="8"/>
  <c r="T397" i="8"/>
  <c r="S397" i="8"/>
  <c r="X396" i="8"/>
  <c r="W396" i="8"/>
  <c r="V396" i="8"/>
  <c r="U396" i="8"/>
  <c r="T396" i="8"/>
  <c r="S396" i="8"/>
  <c r="X395" i="8"/>
  <c r="W395" i="8"/>
  <c r="V395" i="8"/>
  <c r="U395" i="8"/>
  <c r="T395" i="8"/>
  <c r="S395" i="8"/>
  <c r="X394" i="8"/>
  <c r="W394" i="8"/>
  <c r="V394" i="8"/>
  <c r="U394" i="8"/>
  <c r="T394" i="8"/>
  <c r="S394" i="8"/>
  <c r="X393" i="8"/>
  <c r="W393" i="8"/>
  <c r="V393" i="8"/>
  <c r="U393" i="8"/>
  <c r="T393" i="8"/>
  <c r="S393" i="8"/>
  <c r="X392" i="8"/>
  <c r="W392" i="8"/>
  <c r="V392" i="8"/>
  <c r="U392" i="8"/>
  <c r="T392" i="8"/>
  <c r="S392" i="8"/>
  <c r="X391" i="8"/>
  <c r="W391" i="8"/>
  <c r="V391" i="8"/>
  <c r="U391" i="8"/>
  <c r="T391" i="8"/>
  <c r="S391" i="8"/>
  <c r="X390" i="8"/>
  <c r="W390" i="8"/>
  <c r="V390" i="8"/>
  <c r="U390" i="8"/>
  <c r="T390" i="8"/>
  <c r="S390" i="8"/>
  <c r="X389" i="8"/>
  <c r="W389" i="8"/>
  <c r="V389" i="8"/>
  <c r="U389" i="8"/>
  <c r="T389" i="8"/>
  <c r="S389" i="8"/>
  <c r="X388" i="8"/>
  <c r="W388" i="8"/>
  <c r="V388" i="8"/>
  <c r="U388" i="8"/>
  <c r="T388" i="8"/>
  <c r="S388" i="8"/>
  <c r="X387" i="8"/>
  <c r="W387" i="8"/>
  <c r="V387" i="8"/>
  <c r="U387" i="8"/>
  <c r="T387" i="8"/>
  <c r="S387" i="8"/>
  <c r="X386" i="8"/>
  <c r="W386" i="8"/>
  <c r="V386" i="8"/>
  <c r="U386" i="8"/>
  <c r="T386" i="8"/>
  <c r="S386" i="8"/>
  <c r="X385" i="8"/>
  <c r="W385" i="8"/>
  <c r="V385" i="8"/>
  <c r="U385" i="8"/>
  <c r="T385" i="8"/>
  <c r="S385" i="8"/>
  <c r="X384" i="8"/>
  <c r="W384" i="8"/>
  <c r="V384" i="8"/>
  <c r="U384" i="8"/>
  <c r="T384" i="8"/>
  <c r="S384" i="8"/>
  <c r="S376" i="8"/>
  <c r="X380" i="8"/>
  <c r="W380" i="8"/>
  <c r="V380" i="8"/>
  <c r="U380" i="8"/>
  <c r="T380" i="8"/>
  <c r="S380" i="8"/>
  <c r="X379" i="8"/>
  <c r="W379" i="8"/>
  <c r="V379" i="8"/>
  <c r="U379" i="8"/>
  <c r="T379" i="8"/>
  <c r="S379" i="8"/>
  <c r="X378" i="8"/>
  <c r="W378" i="8"/>
  <c r="V378" i="8"/>
  <c r="U378" i="8"/>
  <c r="T378" i="8"/>
  <c r="S378" i="8"/>
  <c r="X377" i="8"/>
  <c r="W377" i="8"/>
  <c r="V377" i="8"/>
  <c r="U377" i="8"/>
  <c r="T377" i="8"/>
  <c r="S377" i="8"/>
  <c r="X376" i="8"/>
  <c r="W376" i="8"/>
  <c r="V376" i="8"/>
  <c r="U376" i="8"/>
  <c r="T376" i="8"/>
  <c r="X375" i="8"/>
  <c r="W375" i="8"/>
  <c r="V375" i="8"/>
  <c r="U375" i="8"/>
  <c r="T375" i="8"/>
  <c r="S375" i="8"/>
  <c r="X371" i="8"/>
  <c r="W371" i="8"/>
  <c r="V371" i="8"/>
  <c r="U371" i="8"/>
  <c r="T371" i="8"/>
  <c r="S371" i="8"/>
  <c r="X370" i="8"/>
  <c r="W370" i="8"/>
  <c r="V370" i="8"/>
  <c r="U370" i="8"/>
  <c r="T370" i="8"/>
  <c r="S370" i="8"/>
  <c r="X369" i="8"/>
  <c r="W369" i="8"/>
  <c r="V369" i="8"/>
  <c r="U369" i="8"/>
  <c r="T369" i="8"/>
  <c r="S369" i="8"/>
  <c r="X368" i="8"/>
  <c r="W368" i="8"/>
  <c r="V368" i="8"/>
  <c r="U368" i="8"/>
  <c r="T368" i="8"/>
  <c r="S368" i="8"/>
  <c r="X367" i="8"/>
  <c r="W367" i="8"/>
  <c r="V367" i="8"/>
  <c r="U367" i="8"/>
  <c r="T367" i="8"/>
  <c r="S367" i="8"/>
  <c r="X366" i="8"/>
  <c r="W366" i="8"/>
  <c r="V366" i="8"/>
  <c r="U366" i="8"/>
  <c r="T366" i="8"/>
  <c r="S366" i="8"/>
  <c r="X365" i="8"/>
  <c r="W365" i="8"/>
  <c r="V365" i="8"/>
  <c r="U365" i="8"/>
  <c r="T365" i="8"/>
  <c r="S365" i="8"/>
  <c r="X364" i="8"/>
  <c r="W364" i="8"/>
  <c r="V364" i="8"/>
  <c r="U364" i="8"/>
  <c r="T364" i="8"/>
  <c r="S364" i="8"/>
  <c r="X363" i="8"/>
  <c r="W363" i="8"/>
  <c r="V363" i="8"/>
  <c r="U363" i="8"/>
  <c r="T363" i="8"/>
  <c r="S363" i="8"/>
  <c r="X362" i="8"/>
  <c r="W362" i="8"/>
  <c r="V362" i="8"/>
  <c r="U362" i="8"/>
  <c r="T362" i="8"/>
  <c r="S362" i="8"/>
  <c r="X361" i="8"/>
  <c r="W361" i="8"/>
  <c r="V361" i="8"/>
  <c r="U361" i="8"/>
  <c r="T361" i="8"/>
  <c r="S361" i="8"/>
  <c r="X360" i="8"/>
  <c r="W360" i="8"/>
  <c r="V360" i="8"/>
  <c r="U360" i="8"/>
  <c r="T360" i="8"/>
  <c r="S360" i="8"/>
  <c r="X359" i="8"/>
  <c r="W359" i="8"/>
  <c r="V359" i="8"/>
  <c r="U359" i="8"/>
  <c r="T359" i="8"/>
  <c r="S359" i="8"/>
  <c r="X358" i="8"/>
  <c r="W358" i="8"/>
  <c r="V358" i="8"/>
  <c r="U358" i="8"/>
  <c r="T358" i="8"/>
  <c r="S358" i="8"/>
  <c r="X354" i="8"/>
  <c r="W354" i="8"/>
  <c r="V354" i="8"/>
  <c r="U354" i="8"/>
  <c r="T354" i="8"/>
  <c r="S354" i="8"/>
  <c r="X353" i="8"/>
  <c r="W353" i="8"/>
  <c r="V353" i="8"/>
  <c r="U353" i="8"/>
  <c r="T353" i="8"/>
  <c r="S353" i="8"/>
  <c r="X352" i="8"/>
  <c r="W352" i="8"/>
  <c r="V352" i="8"/>
  <c r="U352" i="8"/>
  <c r="T352" i="8"/>
  <c r="S352" i="8"/>
  <c r="X351" i="8"/>
  <c r="W351" i="8"/>
  <c r="V351" i="8"/>
  <c r="U351" i="8"/>
  <c r="T351" i="8"/>
  <c r="S351" i="8"/>
  <c r="X350" i="8"/>
  <c r="W350" i="8"/>
  <c r="V350" i="8"/>
  <c r="U350" i="8"/>
  <c r="T350" i="8"/>
  <c r="S350" i="8"/>
  <c r="X349" i="8"/>
  <c r="W349" i="8"/>
  <c r="V349" i="8"/>
  <c r="U349" i="8"/>
  <c r="T349" i="8"/>
  <c r="S349" i="8"/>
  <c r="X348" i="8"/>
  <c r="W348" i="8"/>
  <c r="V348" i="8"/>
  <c r="U348" i="8"/>
  <c r="T348" i="8"/>
  <c r="S348" i="8"/>
  <c r="X347" i="8"/>
  <c r="W347" i="8"/>
  <c r="V347" i="8"/>
  <c r="U347" i="8"/>
  <c r="T347" i="8"/>
  <c r="S347" i="8"/>
  <c r="X346" i="8"/>
  <c r="W346" i="8"/>
  <c r="V346" i="8"/>
  <c r="U346" i="8"/>
  <c r="T346" i="8"/>
  <c r="S346" i="8"/>
  <c r="X345" i="8"/>
  <c r="W345" i="8"/>
  <c r="V345" i="8"/>
  <c r="U345" i="8"/>
  <c r="T345" i="8"/>
  <c r="S345" i="8"/>
  <c r="X344" i="8"/>
  <c r="W344" i="8"/>
  <c r="V344" i="8"/>
  <c r="U344" i="8"/>
  <c r="T344" i="8"/>
  <c r="S344" i="8"/>
  <c r="X343" i="8"/>
  <c r="W343" i="8"/>
  <c r="V343" i="8"/>
  <c r="U343" i="8"/>
  <c r="T343" i="8"/>
  <c r="S343" i="8"/>
  <c r="X342" i="8"/>
  <c r="W342" i="8"/>
  <c r="V342" i="8"/>
  <c r="U342" i="8"/>
  <c r="T342" i="8"/>
  <c r="S342" i="8"/>
  <c r="X341" i="8"/>
  <c r="W341" i="8"/>
  <c r="V341" i="8"/>
  <c r="U341" i="8"/>
  <c r="T341" i="8"/>
  <c r="S341" i="8"/>
  <c r="X337" i="8"/>
  <c r="W337" i="8"/>
  <c r="V337" i="8"/>
  <c r="U337" i="8"/>
  <c r="T337" i="8"/>
  <c r="S337" i="8"/>
  <c r="X336" i="8"/>
  <c r="W336" i="8"/>
  <c r="V336" i="8"/>
  <c r="U336" i="8"/>
  <c r="T336" i="8"/>
  <c r="S336" i="8"/>
  <c r="X335" i="8"/>
  <c r="W335" i="8"/>
  <c r="V335" i="8"/>
  <c r="U335" i="8"/>
  <c r="T335" i="8"/>
  <c r="S335" i="8"/>
  <c r="X334" i="8"/>
  <c r="W334" i="8"/>
  <c r="V334" i="8"/>
  <c r="U334" i="8"/>
  <c r="T334" i="8"/>
  <c r="S334" i="8"/>
  <c r="X333" i="8"/>
  <c r="W333" i="8"/>
  <c r="V333" i="8"/>
  <c r="U333" i="8"/>
  <c r="T333" i="8"/>
  <c r="S333" i="8"/>
  <c r="X332" i="8"/>
  <c r="W332" i="8"/>
  <c r="V332" i="8"/>
  <c r="U332" i="8"/>
  <c r="T332" i="8"/>
  <c r="S332" i="8"/>
  <c r="X331" i="8"/>
  <c r="W331" i="8"/>
  <c r="V331" i="8"/>
  <c r="U331" i="8"/>
  <c r="T331" i="8"/>
  <c r="S331" i="8"/>
  <c r="X330" i="8"/>
  <c r="W330" i="8"/>
  <c r="V330" i="8"/>
  <c r="U330" i="8"/>
  <c r="T330" i="8"/>
  <c r="S330" i="8"/>
  <c r="X329" i="8"/>
  <c r="W329" i="8"/>
  <c r="V329" i="8"/>
  <c r="U329" i="8"/>
  <c r="T329" i="8"/>
  <c r="S329" i="8"/>
  <c r="X328" i="8"/>
  <c r="W328" i="8"/>
  <c r="V328" i="8"/>
  <c r="U328" i="8"/>
  <c r="T328" i="8"/>
  <c r="S328" i="8"/>
  <c r="X327" i="8"/>
  <c r="W327" i="8"/>
  <c r="V327" i="8"/>
  <c r="U327" i="8"/>
  <c r="T327" i="8"/>
  <c r="S327" i="8"/>
  <c r="X326" i="8"/>
  <c r="W326" i="8"/>
  <c r="V326" i="8"/>
  <c r="U326" i="8"/>
  <c r="T326" i="8"/>
  <c r="S326" i="8"/>
  <c r="X325" i="8"/>
  <c r="W325" i="8"/>
  <c r="V325" i="8"/>
  <c r="U325" i="8"/>
  <c r="T325" i="8"/>
  <c r="S325" i="8"/>
  <c r="X324" i="8"/>
  <c r="W324" i="8"/>
  <c r="V324" i="8"/>
  <c r="U324" i="8"/>
  <c r="T324" i="8"/>
  <c r="S324" i="8"/>
  <c r="X320" i="8"/>
  <c r="W320" i="8"/>
  <c r="V320" i="8"/>
  <c r="U320" i="8"/>
  <c r="T320" i="8"/>
  <c r="S320" i="8"/>
  <c r="X319" i="8"/>
  <c r="W319" i="8"/>
  <c r="V319" i="8"/>
  <c r="U319" i="8"/>
  <c r="T319" i="8"/>
  <c r="S319" i="8"/>
  <c r="X318" i="8"/>
  <c r="W318" i="8"/>
  <c r="V318" i="8"/>
  <c r="U318" i="8"/>
  <c r="T318" i="8"/>
  <c r="S318" i="8"/>
  <c r="X317" i="8"/>
  <c r="W317" i="8"/>
  <c r="V317" i="8"/>
  <c r="U317" i="8"/>
  <c r="T317" i="8"/>
  <c r="S317" i="8"/>
  <c r="X316" i="8"/>
  <c r="W316" i="8"/>
  <c r="V316" i="8"/>
  <c r="U316" i="8"/>
  <c r="T316" i="8"/>
  <c r="S316" i="8"/>
  <c r="X315" i="8"/>
  <c r="W315" i="8"/>
  <c r="V315" i="8"/>
  <c r="U315" i="8"/>
  <c r="T315" i="8"/>
  <c r="S315" i="8"/>
  <c r="X314" i="8"/>
  <c r="W314" i="8"/>
  <c r="V314" i="8"/>
  <c r="U314" i="8"/>
  <c r="T314" i="8"/>
  <c r="S314" i="8"/>
  <c r="X313" i="8"/>
  <c r="W313" i="8"/>
  <c r="V313" i="8"/>
  <c r="U313" i="8"/>
  <c r="T313" i="8"/>
  <c r="S313" i="8"/>
  <c r="X312" i="8"/>
  <c r="W312" i="8"/>
  <c r="V312" i="8"/>
  <c r="U312" i="8"/>
  <c r="T312" i="8"/>
  <c r="S312" i="8"/>
  <c r="X311" i="8"/>
  <c r="W311" i="8"/>
  <c r="V311" i="8"/>
  <c r="U311" i="8"/>
  <c r="T311" i="8"/>
  <c r="S311" i="8"/>
  <c r="X310" i="8"/>
  <c r="W310" i="8"/>
  <c r="V310" i="8"/>
  <c r="U310" i="8"/>
  <c r="T310" i="8"/>
  <c r="S310" i="8"/>
  <c r="S309" i="8"/>
  <c r="X308" i="8"/>
  <c r="W308" i="8"/>
  <c r="V308" i="8"/>
  <c r="U308" i="8"/>
  <c r="T308" i="8"/>
  <c r="S308" i="8"/>
  <c r="R292" i="8"/>
  <c r="W292" i="8" s="1"/>
  <c r="X304" i="8"/>
  <c r="W304" i="8"/>
  <c r="V304" i="8"/>
  <c r="U304" i="8"/>
  <c r="T304" i="8"/>
  <c r="S304" i="8"/>
  <c r="X303" i="8"/>
  <c r="W303" i="8"/>
  <c r="V303" i="8"/>
  <c r="U303" i="8"/>
  <c r="T303" i="8"/>
  <c r="S303" i="8"/>
  <c r="X302" i="8"/>
  <c r="W302" i="8"/>
  <c r="V302" i="8"/>
  <c r="U302" i="8"/>
  <c r="T302" i="8"/>
  <c r="S302" i="8"/>
  <c r="X301" i="8"/>
  <c r="W301" i="8"/>
  <c r="V301" i="8"/>
  <c r="U301" i="8"/>
  <c r="T301" i="8"/>
  <c r="S301" i="8"/>
  <c r="X300" i="8"/>
  <c r="W300" i="8"/>
  <c r="V300" i="8"/>
  <c r="U300" i="8"/>
  <c r="T300" i="8"/>
  <c r="S300" i="8"/>
  <c r="X299" i="8"/>
  <c r="W299" i="8"/>
  <c r="V299" i="8"/>
  <c r="U299" i="8"/>
  <c r="T299" i="8"/>
  <c r="S299" i="8"/>
  <c r="X298" i="8"/>
  <c r="W298" i="8"/>
  <c r="V298" i="8"/>
  <c r="U298" i="8"/>
  <c r="T298" i="8"/>
  <c r="S298" i="8"/>
  <c r="X297" i="8"/>
  <c r="W297" i="8"/>
  <c r="V297" i="8"/>
  <c r="U297" i="8"/>
  <c r="T297" i="8"/>
  <c r="S297" i="8"/>
  <c r="X296" i="8"/>
  <c r="W296" i="8"/>
  <c r="V296" i="8"/>
  <c r="U296" i="8"/>
  <c r="T296" i="8"/>
  <c r="S296" i="8"/>
  <c r="X295" i="8"/>
  <c r="W295" i="8"/>
  <c r="V295" i="8"/>
  <c r="U295" i="8"/>
  <c r="T295" i="8"/>
  <c r="S295" i="8"/>
  <c r="X294" i="8"/>
  <c r="W294" i="8"/>
  <c r="V294" i="8"/>
  <c r="U294" i="8"/>
  <c r="T294" i="8"/>
  <c r="S294" i="8"/>
  <c r="X293" i="8"/>
  <c r="W293" i="8"/>
  <c r="V293" i="8"/>
  <c r="U293" i="8"/>
  <c r="T293" i="8"/>
  <c r="S293" i="8"/>
  <c r="X292" i="8"/>
  <c r="T292" i="8"/>
  <c r="S292" i="8"/>
  <c r="X291" i="8"/>
  <c r="W291" i="8"/>
  <c r="V291" i="8"/>
  <c r="U291" i="8"/>
  <c r="T291" i="8"/>
  <c r="S291" i="8"/>
  <c r="X287" i="8"/>
  <c r="W287" i="8"/>
  <c r="V287" i="8"/>
  <c r="U287" i="8"/>
  <c r="T287" i="8"/>
  <c r="S287" i="8"/>
  <c r="X286" i="8"/>
  <c r="W286" i="8"/>
  <c r="V286" i="8"/>
  <c r="U286" i="8"/>
  <c r="T286" i="8"/>
  <c r="S286" i="8"/>
  <c r="X285" i="8"/>
  <c r="W285" i="8"/>
  <c r="V285" i="8"/>
  <c r="U285" i="8"/>
  <c r="T285" i="8"/>
  <c r="S285" i="8"/>
  <c r="X284" i="8"/>
  <c r="W284" i="8"/>
  <c r="V284" i="8"/>
  <c r="U284" i="8"/>
  <c r="T284" i="8"/>
  <c r="S284" i="8"/>
  <c r="X283" i="8"/>
  <c r="W283" i="8"/>
  <c r="V283" i="8"/>
  <c r="U283" i="8"/>
  <c r="T283" i="8"/>
  <c r="S283" i="8"/>
  <c r="X282" i="8"/>
  <c r="W282" i="8"/>
  <c r="V282" i="8"/>
  <c r="U282" i="8"/>
  <c r="T282" i="8"/>
  <c r="S282" i="8"/>
  <c r="X281" i="8"/>
  <c r="W281" i="8"/>
  <c r="V281" i="8"/>
  <c r="U281" i="8"/>
  <c r="T281" i="8"/>
  <c r="S281" i="8"/>
  <c r="X280" i="8"/>
  <c r="W280" i="8"/>
  <c r="V280" i="8"/>
  <c r="U280" i="8"/>
  <c r="T280" i="8"/>
  <c r="S280" i="8"/>
  <c r="X279" i="8"/>
  <c r="W279" i="8"/>
  <c r="V279" i="8"/>
  <c r="U279" i="8"/>
  <c r="T279" i="8"/>
  <c r="S279" i="8"/>
  <c r="X278" i="8"/>
  <c r="W278" i="8"/>
  <c r="V278" i="8"/>
  <c r="U278" i="8"/>
  <c r="T278" i="8"/>
  <c r="S278" i="8"/>
  <c r="X277" i="8"/>
  <c r="W277" i="8"/>
  <c r="V277" i="8"/>
  <c r="U277" i="8"/>
  <c r="T277" i="8"/>
  <c r="S277" i="8"/>
  <c r="X276" i="8"/>
  <c r="W276" i="8"/>
  <c r="V276" i="8"/>
  <c r="U276" i="8"/>
  <c r="T276" i="8"/>
  <c r="S276" i="8"/>
  <c r="X275" i="8"/>
  <c r="W275" i="8"/>
  <c r="V275" i="8"/>
  <c r="U275" i="8"/>
  <c r="T275" i="8"/>
  <c r="S275" i="8"/>
  <c r="X274" i="8"/>
  <c r="W274" i="8"/>
  <c r="V274" i="8"/>
  <c r="U274" i="8"/>
  <c r="T274" i="8"/>
  <c r="S274" i="8"/>
  <c r="X270" i="8"/>
  <c r="W270" i="8"/>
  <c r="V270" i="8"/>
  <c r="U270" i="8"/>
  <c r="T270" i="8"/>
  <c r="S270" i="8"/>
  <c r="X269" i="8"/>
  <c r="W269" i="8"/>
  <c r="V269" i="8"/>
  <c r="U269" i="8"/>
  <c r="T269" i="8"/>
  <c r="S269" i="8"/>
  <c r="X268" i="8"/>
  <c r="W268" i="8"/>
  <c r="V268" i="8"/>
  <c r="U268" i="8"/>
  <c r="T268" i="8"/>
  <c r="S268" i="8"/>
  <c r="X267" i="8"/>
  <c r="W267" i="8"/>
  <c r="V267" i="8"/>
  <c r="U267" i="8"/>
  <c r="T267" i="8"/>
  <c r="S267" i="8"/>
  <c r="X266" i="8"/>
  <c r="W266" i="8"/>
  <c r="V266" i="8"/>
  <c r="U266" i="8"/>
  <c r="T266" i="8"/>
  <c r="S266" i="8"/>
  <c r="II93" i="5" l="1"/>
  <c r="IH129" i="5" a="1"/>
  <c r="IH129" i="5" s="1"/>
  <c r="U292" i="8"/>
  <c r="U305" i="8" s="1"/>
  <c r="T398" i="8"/>
  <c r="T411" i="8"/>
  <c r="X411" i="8"/>
  <c r="W411" i="8"/>
  <c r="U411" i="8"/>
  <c r="U413" i="8" s="1"/>
  <c r="V411" i="8"/>
  <c r="T355" i="8"/>
  <c r="T372" i="8"/>
  <c r="W288" i="8"/>
  <c r="U355" i="8"/>
  <c r="JE17" i="5"/>
  <c r="JE111" i="5" a="1"/>
  <c r="JE111" i="5" s="1"/>
  <c r="JE110" i="5" a="1"/>
  <c r="JE110" i="5" s="1"/>
  <c r="JE35" i="5"/>
  <c r="JE97" i="5" a="1"/>
  <c r="JE97" i="5" s="1"/>
  <c r="X288" i="8"/>
  <c r="V292" i="8"/>
  <c r="V305" i="8" s="1"/>
  <c r="X398" i="8"/>
  <c r="W305" i="8"/>
  <c r="U288" i="8"/>
  <c r="W398" i="8"/>
  <c r="V398" i="8"/>
  <c r="U398" i="8"/>
  <c r="X372" i="8"/>
  <c r="V381" i="8"/>
  <c r="W381" i="8"/>
  <c r="X381" i="8"/>
  <c r="W372" i="8"/>
  <c r="T288" i="8"/>
  <c r="X355" i="8"/>
  <c r="U372" i="8"/>
  <c r="V288" i="8"/>
  <c r="T305" i="8"/>
  <c r="T338" i="8"/>
  <c r="V372" i="8"/>
  <c r="X305" i="8"/>
  <c r="V355" i="8"/>
  <c r="U338" i="8"/>
  <c r="V338" i="8"/>
  <c r="W338" i="8"/>
  <c r="X338" i="8"/>
  <c r="W355" i="8"/>
  <c r="T381" i="8"/>
  <c r="U381" i="8"/>
  <c r="X309" i="8"/>
  <c r="X321" i="8" s="1"/>
  <c r="W309" i="8"/>
  <c r="W321" i="8" s="1"/>
  <c r="V309" i="8"/>
  <c r="V321" i="8" s="1"/>
  <c r="U309" i="8"/>
  <c r="U321" i="8" s="1"/>
  <c r="T309" i="8"/>
  <c r="T321" i="8" s="1"/>
  <c r="U271" i="8"/>
  <c r="T271" i="8"/>
  <c r="W271" i="8"/>
  <c r="V271" i="8"/>
  <c r="X271" i="8"/>
  <c r="S257" i="8"/>
  <c r="T257" i="8"/>
  <c r="U257" i="8"/>
  <c r="V257" i="8"/>
  <c r="W257" i="8"/>
  <c r="X257" i="8"/>
  <c r="S258" i="8"/>
  <c r="T258" i="8"/>
  <c r="U258" i="8"/>
  <c r="V258" i="8"/>
  <c r="W258" i="8"/>
  <c r="X258" i="8"/>
  <c r="S259" i="8"/>
  <c r="T259" i="8"/>
  <c r="U259" i="8"/>
  <c r="V259" i="8"/>
  <c r="W259" i="8"/>
  <c r="X259" i="8"/>
  <c r="S260" i="8"/>
  <c r="T260" i="8"/>
  <c r="U260" i="8"/>
  <c r="V260" i="8"/>
  <c r="W260" i="8"/>
  <c r="X260" i="8"/>
  <c r="S261" i="8"/>
  <c r="T261" i="8"/>
  <c r="U261" i="8"/>
  <c r="V261" i="8"/>
  <c r="W261" i="8"/>
  <c r="X261" i="8"/>
  <c r="S262" i="8"/>
  <c r="T262" i="8"/>
  <c r="U262" i="8"/>
  <c r="V262" i="8"/>
  <c r="W262" i="8"/>
  <c r="X262" i="8"/>
  <c r="B25" i="8"/>
  <c r="B26" i="8" s="1"/>
  <c r="B27" i="8" s="1"/>
  <c r="T547" i="8" s="1"/>
  <c r="T548" i="8" s="1"/>
  <c r="U399" i="8"/>
  <c r="B30" i="8"/>
  <c r="U226" i="8"/>
  <c r="U227" i="8"/>
  <c r="U228" i="8"/>
  <c r="U229" i="8"/>
  <c r="U230" i="8"/>
  <c r="U231" i="8"/>
  <c r="U232" i="8"/>
  <c r="U233" i="8"/>
  <c r="U234" i="8"/>
  <c r="U235" i="8"/>
  <c r="U236" i="8"/>
  <c r="U237" i="8"/>
  <c r="V226" i="8"/>
  <c r="V227" i="8"/>
  <c r="V228" i="8"/>
  <c r="V229" i="8"/>
  <c r="V230" i="8"/>
  <c r="V231" i="8"/>
  <c r="V232" i="8"/>
  <c r="V233" i="8"/>
  <c r="V234" i="8"/>
  <c r="V235" i="8"/>
  <c r="V236" i="8"/>
  <c r="V237" i="8"/>
  <c r="W226" i="8"/>
  <c r="W227" i="8"/>
  <c r="W228" i="8"/>
  <c r="W229" i="8"/>
  <c r="W230" i="8"/>
  <c r="W231" i="8"/>
  <c r="W232" i="8"/>
  <c r="W233" i="8"/>
  <c r="W234" i="8"/>
  <c r="W235" i="8"/>
  <c r="W236" i="8"/>
  <c r="W237" i="8"/>
  <c r="X226" i="8"/>
  <c r="X227" i="8"/>
  <c r="X228" i="8"/>
  <c r="X229" i="8"/>
  <c r="X230" i="8"/>
  <c r="X231" i="8"/>
  <c r="X232" i="8"/>
  <c r="X233" i="8"/>
  <c r="X234" i="8"/>
  <c r="X235" i="8"/>
  <c r="X236" i="8"/>
  <c r="X237" i="8"/>
  <c r="T226" i="8"/>
  <c r="T227" i="8"/>
  <c r="T228" i="8"/>
  <c r="T229" i="8"/>
  <c r="T230" i="8"/>
  <c r="T231" i="8"/>
  <c r="T232" i="8"/>
  <c r="T233" i="8"/>
  <c r="T234" i="8"/>
  <c r="T235" i="8"/>
  <c r="T236" i="8"/>
  <c r="T237" i="8"/>
  <c r="S237" i="8"/>
  <c r="S241" i="8"/>
  <c r="T241" i="8"/>
  <c r="U241" i="8"/>
  <c r="V241" i="8"/>
  <c r="W241" i="8"/>
  <c r="X241" i="8"/>
  <c r="S242" i="8"/>
  <c r="T242" i="8"/>
  <c r="U242" i="8"/>
  <c r="V242" i="8"/>
  <c r="W242" i="8"/>
  <c r="X242" i="8"/>
  <c r="S243" i="8"/>
  <c r="T243" i="8"/>
  <c r="U243" i="8"/>
  <c r="V243" i="8"/>
  <c r="W243" i="8"/>
  <c r="X243" i="8"/>
  <c r="S244" i="8"/>
  <c r="T244" i="8"/>
  <c r="U244" i="8"/>
  <c r="V244" i="8"/>
  <c r="W244" i="8"/>
  <c r="X244" i="8"/>
  <c r="S245" i="8"/>
  <c r="T245" i="8"/>
  <c r="U245" i="8"/>
  <c r="V245" i="8"/>
  <c r="W245" i="8"/>
  <c r="X245" i="8"/>
  <c r="S246" i="8"/>
  <c r="T246" i="8"/>
  <c r="U246" i="8"/>
  <c r="V246" i="8"/>
  <c r="W246" i="8"/>
  <c r="X246" i="8"/>
  <c r="S247" i="8"/>
  <c r="T247" i="8"/>
  <c r="U247" i="8"/>
  <c r="V247" i="8"/>
  <c r="W247" i="8"/>
  <c r="X247" i="8"/>
  <c r="S248" i="8"/>
  <c r="T248" i="8"/>
  <c r="U248" i="8"/>
  <c r="V248" i="8"/>
  <c r="W248" i="8"/>
  <c r="X248" i="8"/>
  <c r="S249" i="8"/>
  <c r="T249" i="8"/>
  <c r="U249" i="8"/>
  <c r="V249" i="8"/>
  <c r="W249" i="8"/>
  <c r="X249" i="8"/>
  <c r="S250" i="8"/>
  <c r="T250" i="8"/>
  <c r="U250" i="8"/>
  <c r="V250" i="8"/>
  <c r="W250" i="8"/>
  <c r="X250" i="8"/>
  <c r="S251" i="8"/>
  <c r="T251" i="8"/>
  <c r="U251" i="8"/>
  <c r="V251" i="8"/>
  <c r="W251" i="8"/>
  <c r="X251" i="8"/>
  <c r="S252" i="8"/>
  <c r="T252" i="8"/>
  <c r="U252" i="8"/>
  <c r="V252" i="8"/>
  <c r="W252" i="8"/>
  <c r="X252" i="8"/>
  <c r="S253" i="8"/>
  <c r="T253" i="8"/>
  <c r="U253" i="8"/>
  <c r="V253" i="8"/>
  <c r="W253" i="8"/>
  <c r="X253" i="8"/>
  <c r="U255" i="8"/>
  <c r="S226" i="8"/>
  <c r="S227" i="8"/>
  <c r="S228" i="8"/>
  <c r="S229" i="8"/>
  <c r="S230" i="8"/>
  <c r="S231" i="8"/>
  <c r="S232" i="8"/>
  <c r="S233" i="8"/>
  <c r="S234" i="8"/>
  <c r="S235" i="8"/>
  <c r="S236" i="8"/>
  <c r="U239" i="8"/>
  <c r="V239" i="8"/>
  <c r="X213" i="8"/>
  <c r="W213" i="8"/>
  <c r="V213" i="8"/>
  <c r="U213" i="8"/>
  <c r="T213" i="8"/>
  <c r="S213" i="8"/>
  <c r="S210" i="8"/>
  <c r="T210" i="8"/>
  <c r="U210" i="8"/>
  <c r="V210" i="8"/>
  <c r="W210" i="8"/>
  <c r="X210" i="8"/>
  <c r="S211" i="8"/>
  <c r="T211" i="8"/>
  <c r="U211" i="8"/>
  <c r="V211" i="8"/>
  <c r="W211" i="8"/>
  <c r="X211" i="8"/>
  <c r="S212" i="8"/>
  <c r="T212" i="8"/>
  <c r="U212" i="8"/>
  <c r="V212" i="8"/>
  <c r="W212" i="8"/>
  <c r="X212" i="8"/>
  <c r="S214" i="8"/>
  <c r="T214" i="8"/>
  <c r="U214" i="8"/>
  <c r="V214" i="8"/>
  <c r="W214" i="8"/>
  <c r="X214" i="8"/>
  <c r="S215" i="8"/>
  <c r="T215" i="8"/>
  <c r="U215" i="8"/>
  <c r="V215" i="8"/>
  <c r="W215" i="8"/>
  <c r="X215" i="8"/>
  <c r="S216" i="8"/>
  <c r="T216" i="8"/>
  <c r="U216" i="8"/>
  <c r="V216" i="8"/>
  <c r="W216" i="8"/>
  <c r="X216" i="8"/>
  <c r="S217" i="8"/>
  <c r="T217" i="8"/>
  <c r="U217" i="8"/>
  <c r="V217" i="8"/>
  <c r="W217" i="8"/>
  <c r="X217" i="8"/>
  <c r="S218" i="8"/>
  <c r="T218" i="8"/>
  <c r="U218" i="8"/>
  <c r="V218" i="8"/>
  <c r="W218" i="8"/>
  <c r="X218" i="8"/>
  <c r="S219" i="8"/>
  <c r="T219" i="8"/>
  <c r="U219" i="8"/>
  <c r="V219" i="8"/>
  <c r="W219" i="8"/>
  <c r="X219" i="8"/>
  <c r="S220" i="8"/>
  <c r="T220" i="8"/>
  <c r="U220" i="8"/>
  <c r="V220" i="8"/>
  <c r="W220" i="8"/>
  <c r="X220" i="8"/>
  <c r="S221" i="8"/>
  <c r="T221" i="8"/>
  <c r="U221" i="8"/>
  <c r="V221" i="8"/>
  <c r="W221" i="8"/>
  <c r="X221" i="8"/>
  <c r="S222" i="8"/>
  <c r="T222" i="8"/>
  <c r="U222" i="8"/>
  <c r="V222" i="8"/>
  <c r="W222" i="8"/>
  <c r="X222" i="8"/>
  <c r="U224" i="8"/>
  <c r="V224" i="8"/>
  <c r="S204" i="8"/>
  <c r="S205" i="8"/>
  <c r="S206" i="8"/>
  <c r="T204" i="8"/>
  <c r="U204" i="8"/>
  <c r="V204" i="8"/>
  <c r="W204" i="8"/>
  <c r="X204" i="8"/>
  <c r="T205" i="8"/>
  <c r="U205" i="8"/>
  <c r="V205" i="8"/>
  <c r="W205" i="8"/>
  <c r="X205" i="8"/>
  <c r="T206" i="8"/>
  <c r="U206" i="8"/>
  <c r="V206" i="8"/>
  <c r="W206" i="8"/>
  <c r="X206" i="8"/>
  <c r="T203" i="8"/>
  <c r="S203" i="8"/>
  <c r="U203" i="8"/>
  <c r="V203" i="8"/>
  <c r="W203" i="8"/>
  <c r="X203" i="8"/>
  <c r="S194" i="8"/>
  <c r="T194" i="8"/>
  <c r="U194" i="8"/>
  <c r="V194" i="8"/>
  <c r="W194" i="8"/>
  <c r="X194" i="8"/>
  <c r="S195" i="8"/>
  <c r="T195" i="8"/>
  <c r="U195" i="8"/>
  <c r="V195" i="8"/>
  <c r="W195" i="8"/>
  <c r="X195" i="8"/>
  <c r="S196" i="8"/>
  <c r="T196" i="8"/>
  <c r="U196" i="8"/>
  <c r="V196" i="8"/>
  <c r="W196" i="8"/>
  <c r="X196" i="8"/>
  <c r="S197" i="8"/>
  <c r="T197" i="8"/>
  <c r="U197" i="8"/>
  <c r="V197" i="8"/>
  <c r="W197" i="8"/>
  <c r="X197" i="8"/>
  <c r="S198" i="8"/>
  <c r="T198" i="8"/>
  <c r="U198" i="8"/>
  <c r="V198" i="8"/>
  <c r="W198" i="8"/>
  <c r="X198" i="8"/>
  <c r="S199" i="8"/>
  <c r="T199" i="8"/>
  <c r="U199" i="8"/>
  <c r="V199" i="8"/>
  <c r="W199" i="8"/>
  <c r="X199" i="8"/>
  <c r="S200" i="8"/>
  <c r="T200" i="8"/>
  <c r="U200" i="8"/>
  <c r="V200" i="8"/>
  <c r="W200" i="8"/>
  <c r="X200" i="8"/>
  <c r="S201" i="8"/>
  <c r="T201" i="8"/>
  <c r="U201" i="8"/>
  <c r="V201" i="8"/>
  <c r="W201" i="8"/>
  <c r="X201" i="8"/>
  <c r="S202" i="8"/>
  <c r="T202" i="8"/>
  <c r="U202" i="8"/>
  <c r="V202" i="8"/>
  <c r="W202" i="8"/>
  <c r="X202" i="8"/>
  <c r="S179" i="8"/>
  <c r="T179" i="8"/>
  <c r="U179" i="8"/>
  <c r="V179" i="8"/>
  <c r="W179" i="8"/>
  <c r="X179" i="8"/>
  <c r="S180" i="8"/>
  <c r="T180" i="8"/>
  <c r="U180" i="8"/>
  <c r="V180" i="8"/>
  <c r="W180" i="8"/>
  <c r="X180" i="8"/>
  <c r="S181" i="8"/>
  <c r="T181" i="8"/>
  <c r="U181" i="8"/>
  <c r="V181" i="8"/>
  <c r="W181" i="8"/>
  <c r="X181" i="8"/>
  <c r="S182" i="8"/>
  <c r="T182" i="8"/>
  <c r="U182" i="8"/>
  <c r="V182" i="8"/>
  <c r="W182" i="8"/>
  <c r="X182" i="8"/>
  <c r="S183" i="8"/>
  <c r="T183" i="8"/>
  <c r="U183" i="8"/>
  <c r="V183" i="8"/>
  <c r="W183" i="8"/>
  <c r="X183" i="8"/>
  <c r="S184" i="8"/>
  <c r="T184" i="8"/>
  <c r="U184" i="8"/>
  <c r="V184" i="8"/>
  <c r="W184" i="8"/>
  <c r="X184" i="8"/>
  <c r="S185" i="8"/>
  <c r="T185" i="8"/>
  <c r="U185" i="8"/>
  <c r="V185" i="8"/>
  <c r="W185" i="8"/>
  <c r="X185" i="8"/>
  <c r="S186" i="8"/>
  <c r="T186" i="8"/>
  <c r="U186" i="8"/>
  <c r="V186" i="8"/>
  <c r="W186" i="8"/>
  <c r="X186" i="8"/>
  <c r="S187" i="8"/>
  <c r="T187" i="8"/>
  <c r="U187" i="8"/>
  <c r="V187" i="8"/>
  <c r="W187" i="8"/>
  <c r="X187" i="8"/>
  <c r="S188" i="8"/>
  <c r="T188" i="8"/>
  <c r="U188" i="8"/>
  <c r="V188" i="8"/>
  <c r="W188" i="8"/>
  <c r="X188" i="8"/>
  <c r="S189" i="8"/>
  <c r="T189" i="8"/>
  <c r="U189" i="8"/>
  <c r="V189" i="8"/>
  <c r="W189" i="8"/>
  <c r="X189" i="8"/>
  <c r="S190" i="8"/>
  <c r="T190" i="8"/>
  <c r="U190" i="8"/>
  <c r="V190" i="8"/>
  <c r="W190" i="8"/>
  <c r="X190" i="8"/>
  <c r="S162" i="8"/>
  <c r="T162" i="8"/>
  <c r="U162" i="8"/>
  <c r="V162" i="8"/>
  <c r="W162" i="8"/>
  <c r="X162" i="8"/>
  <c r="S163" i="8"/>
  <c r="T163" i="8"/>
  <c r="U163" i="8"/>
  <c r="V163" i="8"/>
  <c r="W163" i="8"/>
  <c r="X163" i="8"/>
  <c r="S164" i="8"/>
  <c r="T164" i="8"/>
  <c r="U164" i="8"/>
  <c r="V164" i="8"/>
  <c r="W164" i="8"/>
  <c r="X164" i="8"/>
  <c r="S165" i="8"/>
  <c r="T165" i="8"/>
  <c r="U165" i="8"/>
  <c r="V165" i="8"/>
  <c r="W165" i="8"/>
  <c r="X165" i="8"/>
  <c r="S166" i="8"/>
  <c r="T166" i="8"/>
  <c r="U166" i="8"/>
  <c r="V166" i="8"/>
  <c r="W166" i="8"/>
  <c r="X166" i="8"/>
  <c r="S167" i="8"/>
  <c r="T167" i="8"/>
  <c r="U167" i="8"/>
  <c r="V167" i="8"/>
  <c r="W167" i="8"/>
  <c r="X167" i="8"/>
  <c r="S168" i="8"/>
  <c r="T168" i="8"/>
  <c r="U168" i="8"/>
  <c r="V168" i="8"/>
  <c r="W168" i="8"/>
  <c r="X168" i="8"/>
  <c r="S169" i="8"/>
  <c r="T169" i="8"/>
  <c r="U169" i="8"/>
  <c r="V169" i="8"/>
  <c r="W169" i="8"/>
  <c r="X169" i="8"/>
  <c r="S170" i="8"/>
  <c r="T170" i="8"/>
  <c r="U170" i="8"/>
  <c r="V170" i="8"/>
  <c r="W170" i="8"/>
  <c r="X170" i="8"/>
  <c r="S171" i="8"/>
  <c r="T171" i="8"/>
  <c r="U171" i="8"/>
  <c r="V171" i="8"/>
  <c r="W171" i="8"/>
  <c r="X171" i="8"/>
  <c r="S172" i="8"/>
  <c r="T172" i="8"/>
  <c r="U172" i="8"/>
  <c r="V172" i="8"/>
  <c r="W172" i="8"/>
  <c r="X172" i="8"/>
  <c r="S173" i="8"/>
  <c r="T173" i="8"/>
  <c r="U173" i="8"/>
  <c r="V173" i="8"/>
  <c r="W173" i="8"/>
  <c r="X173" i="8"/>
  <c r="S174" i="8"/>
  <c r="T174" i="8"/>
  <c r="U174" i="8"/>
  <c r="V174" i="8"/>
  <c r="W174" i="8"/>
  <c r="X174" i="8"/>
  <c r="S175" i="8"/>
  <c r="T175" i="8"/>
  <c r="U175" i="8"/>
  <c r="V175" i="8"/>
  <c r="W175" i="8"/>
  <c r="X175" i="8"/>
  <c r="S149" i="8"/>
  <c r="T149" i="8"/>
  <c r="U149" i="8"/>
  <c r="V149" i="8"/>
  <c r="W149" i="8"/>
  <c r="X149" i="8"/>
  <c r="S150" i="8"/>
  <c r="T150" i="8"/>
  <c r="U150" i="8"/>
  <c r="V150" i="8"/>
  <c r="W150" i="8"/>
  <c r="X150" i="8"/>
  <c r="S151" i="8"/>
  <c r="T151" i="8"/>
  <c r="U151" i="8"/>
  <c r="V151" i="8"/>
  <c r="W151" i="8"/>
  <c r="X151" i="8"/>
  <c r="S152" i="8"/>
  <c r="T152" i="8"/>
  <c r="U152" i="8"/>
  <c r="V152" i="8"/>
  <c r="W152" i="8"/>
  <c r="X152" i="8"/>
  <c r="S153" i="8"/>
  <c r="T153" i="8"/>
  <c r="U153" i="8"/>
  <c r="V153" i="8"/>
  <c r="W153" i="8"/>
  <c r="X153" i="8"/>
  <c r="S154" i="8"/>
  <c r="T154" i="8"/>
  <c r="U154" i="8"/>
  <c r="V154" i="8"/>
  <c r="W154" i="8"/>
  <c r="X154" i="8"/>
  <c r="S155" i="8"/>
  <c r="T155" i="8"/>
  <c r="U155" i="8"/>
  <c r="V155" i="8"/>
  <c r="W155" i="8"/>
  <c r="X155" i="8"/>
  <c r="S156" i="8"/>
  <c r="T156" i="8"/>
  <c r="U156" i="8"/>
  <c r="V156" i="8"/>
  <c r="W156" i="8"/>
  <c r="X156" i="8"/>
  <c r="S157" i="8"/>
  <c r="T157" i="8"/>
  <c r="U157" i="8"/>
  <c r="V157" i="8"/>
  <c r="W157" i="8"/>
  <c r="X157" i="8"/>
  <c r="S158" i="8"/>
  <c r="T158" i="8"/>
  <c r="U158" i="8"/>
  <c r="V158" i="8"/>
  <c r="W158" i="8"/>
  <c r="X158" i="8"/>
  <c r="S137" i="8"/>
  <c r="T132" i="8"/>
  <c r="U132" i="8"/>
  <c r="V132" i="8"/>
  <c r="W132" i="8"/>
  <c r="X132" i="8"/>
  <c r="S144" i="8"/>
  <c r="S138" i="8"/>
  <c r="S139" i="8"/>
  <c r="S140" i="8"/>
  <c r="S141" i="8"/>
  <c r="S142" i="8"/>
  <c r="S143" i="8"/>
  <c r="S145" i="8"/>
  <c r="S127" i="8"/>
  <c r="S128" i="8"/>
  <c r="S129" i="8"/>
  <c r="S130" i="8"/>
  <c r="S131" i="8"/>
  <c r="S132" i="8"/>
  <c r="S133" i="8"/>
  <c r="S126" i="8"/>
  <c r="T137" i="8"/>
  <c r="U137" i="8"/>
  <c r="V137" i="8"/>
  <c r="W137" i="8"/>
  <c r="X137" i="8"/>
  <c r="T138" i="8"/>
  <c r="U138" i="8"/>
  <c r="V138" i="8"/>
  <c r="W138" i="8"/>
  <c r="X138" i="8"/>
  <c r="T139" i="8"/>
  <c r="U139" i="8"/>
  <c r="V139" i="8"/>
  <c r="W139" i="8"/>
  <c r="X139" i="8"/>
  <c r="T140" i="8"/>
  <c r="U140" i="8"/>
  <c r="V140" i="8"/>
  <c r="W140" i="8"/>
  <c r="X140" i="8"/>
  <c r="T141" i="8"/>
  <c r="U141" i="8"/>
  <c r="V141" i="8"/>
  <c r="W141" i="8"/>
  <c r="X141" i="8"/>
  <c r="T142" i="8"/>
  <c r="U142" i="8"/>
  <c r="V142" i="8"/>
  <c r="W142" i="8"/>
  <c r="X142" i="8"/>
  <c r="T143" i="8"/>
  <c r="U143" i="8"/>
  <c r="V143" i="8"/>
  <c r="W143" i="8"/>
  <c r="X143" i="8"/>
  <c r="T144" i="8"/>
  <c r="U144" i="8"/>
  <c r="V144" i="8"/>
  <c r="W144" i="8"/>
  <c r="X144" i="8"/>
  <c r="T145" i="8"/>
  <c r="U145" i="8"/>
  <c r="V145" i="8"/>
  <c r="W145" i="8"/>
  <c r="X145" i="8"/>
  <c r="T126" i="8"/>
  <c r="U126" i="8"/>
  <c r="V126" i="8"/>
  <c r="W126" i="8"/>
  <c r="X126" i="8"/>
  <c r="T127" i="8"/>
  <c r="U127" i="8"/>
  <c r="V127" i="8"/>
  <c r="W127" i="8"/>
  <c r="X127" i="8"/>
  <c r="T128" i="8"/>
  <c r="U128" i="8"/>
  <c r="V128" i="8"/>
  <c r="W128" i="8"/>
  <c r="X128" i="8"/>
  <c r="T129" i="8"/>
  <c r="U129" i="8"/>
  <c r="V129" i="8"/>
  <c r="W129" i="8"/>
  <c r="X129" i="8"/>
  <c r="T130" i="8"/>
  <c r="U130" i="8"/>
  <c r="V130" i="8"/>
  <c r="W130" i="8"/>
  <c r="X130" i="8"/>
  <c r="T131" i="8"/>
  <c r="U131" i="8"/>
  <c r="V131" i="8"/>
  <c r="W131" i="8"/>
  <c r="X131" i="8"/>
  <c r="T133" i="8"/>
  <c r="U133" i="8"/>
  <c r="V133" i="8"/>
  <c r="W133" i="8"/>
  <c r="X133" i="8"/>
  <c r="S122" i="8"/>
  <c r="T122" i="8"/>
  <c r="U122" i="8"/>
  <c r="V122" i="8"/>
  <c r="W122" i="8"/>
  <c r="X122" i="8"/>
  <c r="S120" i="8"/>
  <c r="T120" i="8"/>
  <c r="U120" i="8"/>
  <c r="V120" i="8"/>
  <c r="W120" i="8"/>
  <c r="X120" i="8"/>
  <c r="S121" i="8"/>
  <c r="T121" i="8"/>
  <c r="U121" i="8"/>
  <c r="V121" i="8"/>
  <c r="W121" i="8"/>
  <c r="X121" i="8"/>
  <c r="T119" i="8"/>
  <c r="T117" i="8"/>
  <c r="U118" i="8"/>
  <c r="S116" i="8"/>
  <c r="T116" i="8"/>
  <c r="S112" i="8"/>
  <c r="S114" i="8"/>
  <c r="S109" i="8"/>
  <c r="T109" i="8"/>
  <c r="U109" i="8"/>
  <c r="V109" i="8"/>
  <c r="W109" i="8"/>
  <c r="X109" i="8"/>
  <c r="S110" i="8"/>
  <c r="T110" i="8"/>
  <c r="U110" i="8"/>
  <c r="V110" i="8"/>
  <c r="W110" i="8"/>
  <c r="X110" i="8"/>
  <c r="S111" i="8"/>
  <c r="T111" i="8"/>
  <c r="U111" i="8"/>
  <c r="V111" i="8"/>
  <c r="W111" i="8"/>
  <c r="X111" i="8"/>
  <c r="T112" i="8"/>
  <c r="U112" i="8"/>
  <c r="V112" i="8"/>
  <c r="W112" i="8"/>
  <c r="X112" i="8"/>
  <c r="S113" i="8"/>
  <c r="T113" i="8"/>
  <c r="U113" i="8"/>
  <c r="V113" i="8"/>
  <c r="W113" i="8"/>
  <c r="X113" i="8"/>
  <c r="T114" i="8"/>
  <c r="U114" i="8"/>
  <c r="V114" i="8"/>
  <c r="W114" i="8"/>
  <c r="X114" i="8"/>
  <c r="S115" i="8"/>
  <c r="T115" i="8"/>
  <c r="U115" i="8"/>
  <c r="V115" i="8"/>
  <c r="W115" i="8"/>
  <c r="X115" i="8"/>
  <c r="U116" i="8"/>
  <c r="V116" i="8"/>
  <c r="W116" i="8"/>
  <c r="X116" i="8"/>
  <c r="S117" i="8"/>
  <c r="U117" i="8"/>
  <c r="V117" i="8"/>
  <c r="W117" i="8"/>
  <c r="X117" i="8"/>
  <c r="S118" i="8"/>
  <c r="T118" i="8"/>
  <c r="V118" i="8"/>
  <c r="W118" i="8"/>
  <c r="X118" i="8"/>
  <c r="S119" i="8"/>
  <c r="U119" i="8"/>
  <c r="V119" i="8"/>
  <c r="W119" i="8"/>
  <c r="X119" i="8"/>
  <c r="S101" i="8"/>
  <c r="S102" i="8"/>
  <c r="S23" i="8"/>
  <c r="S100" i="8"/>
  <c r="S95" i="8"/>
  <c r="S96" i="8"/>
  <c r="T95" i="8"/>
  <c r="U95" i="8"/>
  <c r="V95" i="8"/>
  <c r="W95" i="8"/>
  <c r="X95" i="8"/>
  <c r="T96" i="8"/>
  <c r="U96" i="8"/>
  <c r="V96" i="8"/>
  <c r="W96" i="8"/>
  <c r="X96" i="8"/>
  <c r="S97" i="8"/>
  <c r="T97" i="8"/>
  <c r="U97" i="8"/>
  <c r="V97" i="8"/>
  <c r="W97" i="8"/>
  <c r="X97" i="8"/>
  <c r="S98" i="8"/>
  <c r="T98" i="8"/>
  <c r="U98" i="8"/>
  <c r="V98" i="8"/>
  <c r="W98" i="8"/>
  <c r="X98" i="8"/>
  <c r="S99" i="8"/>
  <c r="T99" i="8"/>
  <c r="U99" i="8"/>
  <c r="V99" i="8"/>
  <c r="W99" i="8"/>
  <c r="X99" i="8"/>
  <c r="T100" i="8"/>
  <c r="U100" i="8"/>
  <c r="V100" i="8"/>
  <c r="W100" i="8"/>
  <c r="X100" i="8"/>
  <c r="T101" i="8"/>
  <c r="U101" i="8"/>
  <c r="V101" i="8"/>
  <c r="W101" i="8"/>
  <c r="X101" i="8"/>
  <c r="T102" i="8"/>
  <c r="U102" i="8"/>
  <c r="V102" i="8"/>
  <c r="W102" i="8"/>
  <c r="X102" i="8"/>
  <c r="S103" i="8"/>
  <c r="T103" i="8"/>
  <c r="U103" i="8"/>
  <c r="V103" i="8"/>
  <c r="W103" i="8"/>
  <c r="X103" i="8"/>
  <c r="S104" i="8"/>
  <c r="T104" i="8"/>
  <c r="U104" i="8"/>
  <c r="V104" i="8"/>
  <c r="W104" i="8"/>
  <c r="X104" i="8"/>
  <c r="S105" i="8"/>
  <c r="T105" i="8"/>
  <c r="U105" i="8"/>
  <c r="V105" i="8"/>
  <c r="W105" i="8"/>
  <c r="X105" i="8"/>
  <c r="S90" i="8"/>
  <c r="S81" i="8"/>
  <c r="T81" i="8"/>
  <c r="U81" i="8"/>
  <c r="V81" i="8"/>
  <c r="W81" i="8"/>
  <c r="X81" i="8"/>
  <c r="IH109" i="5" a="1"/>
  <c r="IH109" i="5" s="1"/>
  <c r="IH114" i="5" a="1"/>
  <c r="IH114" i="5" s="1"/>
  <c r="HX47" i="5"/>
  <c r="HW47" i="5"/>
  <c r="HT47" i="5"/>
  <c r="HQ47" i="5"/>
  <c r="S80" i="8"/>
  <c r="S75" i="8"/>
  <c r="T75" i="8"/>
  <c r="U75" i="8"/>
  <c r="V75" i="8"/>
  <c r="W75" i="8"/>
  <c r="X75" i="8"/>
  <c r="S5" i="8"/>
  <c r="T5" i="8"/>
  <c r="U5" i="8"/>
  <c r="V5" i="8"/>
  <c r="W5" i="8"/>
  <c r="X5" i="8"/>
  <c r="S6" i="8"/>
  <c r="T6" i="8"/>
  <c r="U6" i="8"/>
  <c r="V6" i="8"/>
  <c r="W6" i="8"/>
  <c r="X6" i="8"/>
  <c r="S7" i="8"/>
  <c r="T7" i="8"/>
  <c r="U7" i="8"/>
  <c r="V7" i="8"/>
  <c r="W7" i="8"/>
  <c r="X7" i="8"/>
  <c r="S8" i="8"/>
  <c r="T8" i="8"/>
  <c r="U8" i="8"/>
  <c r="V8" i="8"/>
  <c r="W8" i="8"/>
  <c r="X8" i="8"/>
  <c r="S9" i="8"/>
  <c r="T9" i="8"/>
  <c r="U9" i="8"/>
  <c r="V9" i="8"/>
  <c r="W9" i="8"/>
  <c r="X9" i="8"/>
  <c r="S10" i="8"/>
  <c r="T10" i="8"/>
  <c r="U10" i="8"/>
  <c r="V10" i="8"/>
  <c r="W10" i="8"/>
  <c r="X10" i="8"/>
  <c r="S11" i="8"/>
  <c r="T11" i="8"/>
  <c r="U11" i="8"/>
  <c r="V11" i="8"/>
  <c r="W11" i="8"/>
  <c r="X11" i="8"/>
  <c r="S12" i="8"/>
  <c r="T12" i="8"/>
  <c r="U12" i="8"/>
  <c r="V12" i="8"/>
  <c r="W12" i="8"/>
  <c r="X12" i="8"/>
  <c r="S13" i="8"/>
  <c r="T13" i="8"/>
  <c r="U13" i="8"/>
  <c r="V13" i="8"/>
  <c r="W13" i="8"/>
  <c r="X13" i="8"/>
  <c r="S14" i="8"/>
  <c r="T14" i="8"/>
  <c r="U14" i="8"/>
  <c r="V14" i="8"/>
  <c r="W14" i="8"/>
  <c r="X14" i="8"/>
  <c r="S15" i="8"/>
  <c r="T15" i="8"/>
  <c r="U15" i="8"/>
  <c r="V15" i="8"/>
  <c r="W15" i="8"/>
  <c r="X15" i="8"/>
  <c r="S19" i="8"/>
  <c r="T19" i="8"/>
  <c r="U19" i="8"/>
  <c r="V19" i="8"/>
  <c r="W19" i="8"/>
  <c r="X19" i="8"/>
  <c r="S20" i="8"/>
  <c r="T20" i="8"/>
  <c r="U20" i="8"/>
  <c r="V20" i="8"/>
  <c r="W20" i="8"/>
  <c r="X20" i="8"/>
  <c r="S21" i="8"/>
  <c r="T21" i="8"/>
  <c r="U21" i="8"/>
  <c r="V21" i="8"/>
  <c r="W21" i="8"/>
  <c r="X21" i="8"/>
  <c r="S22" i="8"/>
  <c r="T22" i="8"/>
  <c r="U22" i="8"/>
  <c r="V22" i="8"/>
  <c r="W22" i="8"/>
  <c r="X22" i="8"/>
  <c r="T23" i="8"/>
  <c r="U23" i="8"/>
  <c r="V23" i="8"/>
  <c r="W23" i="8"/>
  <c r="X23" i="8"/>
  <c r="B24" i="8"/>
  <c r="S24" i="8"/>
  <c r="T24" i="8"/>
  <c r="U24" i="8"/>
  <c r="V24" i="8"/>
  <c r="W24" i="8"/>
  <c r="X24" i="8"/>
  <c r="S25" i="8"/>
  <c r="T25" i="8"/>
  <c r="U25" i="8"/>
  <c r="V25" i="8"/>
  <c r="W25" i="8"/>
  <c r="X25" i="8"/>
  <c r="S26" i="8"/>
  <c r="T26" i="8"/>
  <c r="U26" i="8"/>
  <c r="V26" i="8"/>
  <c r="W26" i="8"/>
  <c r="X26" i="8"/>
  <c r="S27" i="8"/>
  <c r="T27" i="8"/>
  <c r="U27" i="8"/>
  <c r="V27" i="8"/>
  <c r="W27" i="8"/>
  <c r="X27" i="8"/>
  <c r="S28" i="8"/>
  <c r="T28" i="8"/>
  <c r="U28" i="8"/>
  <c r="V28" i="8"/>
  <c r="W28" i="8"/>
  <c r="X28" i="8"/>
  <c r="U17" i="8"/>
  <c r="V44" i="8"/>
  <c r="S32" i="8"/>
  <c r="T32" i="8"/>
  <c r="U32" i="8"/>
  <c r="V32" i="8"/>
  <c r="W32" i="8"/>
  <c r="X32" i="8"/>
  <c r="S33" i="8"/>
  <c r="T33" i="8"/>
  <c r="U33" i="8"/>
  <c r="V33" i="8"/>
  <c r="W33" i="8"/>
  <c r="X33" i="8"/>
  <c r="S34" i="8"/>
  <c r="T34" i="8"/>
  <c r="U34" i="8"/>
  <c r="V34" i="8"/>
  <c r="W34" i="8"/>
  <c r="X34" i="8"/>
  <c r="S35" i="8"/>
  <c r="T35" i="8"/>
  <c r="U35" i="8"/>
  <c r="V35" i="8"/>
  <c r="W35" i="8"/>
  <c r="X35" i="8"/>
  <c r="S36" i="8"/>
  <c r="T36" i="8"/>
  <c r="U36" i="8"/>
  <c r="V36" i="8"/>
  <c r="W36" i="8"/>
  <c r="X36" i="8"/>
  <c r="S37" i="8"/>
  <c r="T37" i="8"/>
  <c r="U37" i="8"/>
  <c r="V37" i="8"/>
  <c r="W37" i="8"/>
  <c r="X37" i="8"/>
  <c r="S38" i="8"/>
  <c r="T38" i="8"/>
  <c r="U38" i="8"/>
  <c r="V38" i="8"/>
  <c r="W38" i="8"/>
  <c r="X38" i="8"/>
  <c r="S39" i="8"/>
  <c r="T39" i="8"/>
  <c r="U39" i="8"/>
  <c r="V39" i="8"/>
  <c r="W39" i="8"/>
  <c r="X39" i="8"/>
  <c r="S40" i="8"/>
  <c r="T40" i="8"/>
  <c r="U40" i="8"/>
  <c r="V40" i="8"/>
  <c r="W40" i="8"/>
  <c r="X40" i="8"/>
  <c r="S41" i="8"/>
  <c r="T41" i="8"/>
  <c r="U41" i="8"/>
  <c r="V41" i="8"/>
  <c r="W41" i="8"/>
  <c r="X41" i="8"/>
  <c r="S42" i="8"/>
  <c r="T42" i="8"/>
  <c r="U42" i="8"/>
  <c r="V42" i="8"/>
  <c r="W42" i="8"/>
  <c r="X42" i="8"/>
  <c r="S46" i="8"/>
  <c r="T46" i="8"/>
  <c r="U46" i="8"/>
  <c r="V46" i="8"/>
  <c r="W46" i="8"/>
  <c r="X46" i="8"/>
  <c r="S47" i="8"/>
  <c r="T47" i="8"/>
  <c r="U47" i="8"/>
  <c r="V47" i="8"/>
  <c r="W47" i="8"/>
  <c r="X47" i="8"/>
  <c r="S48" i="8"/>
  <c r="T48" i="8"/>
  <c r="U48" i="8"/>
  <c r="V48" i="8"/>
  <c r="W48" i="8"/>
  <c r="X48" i="8"/>
  <c r="S49" i="8"/>
  <c r="T49" i="8"/>
  <c r="U49" i="8"/>
  <c r="V49" i="8"/>
  <c r="W49" i="8"/>
  <c r="X49" i="8"/>
  <c r="S50" i="8"/>
  <c r="T50" i="8"/>
  <c r="U50" i="8"/>
  <c r="V50" i="8"/>
  <c r="W50" i="8"/>
  <c r="X50" i="8"/>
  <c r="S51" i="8"/>
  <c r="T51" i="8"/>
  <c r="U51" i="8"/>
  <c r="V51" i="8"/>
  <c r="W51" i="8"/>
  <c r="X51" i="8"/>
  <c r="S52" i="8"/>
  <c r="T52" i="8"/>
  <c r="U52" i="8"/>
  <c r="V52" i="8"/>
  <c r="W52" i="8"/>
  <c r="X52" i="8"/>
  <c r="S53" i="8"/>
  <c r="T53" i="8"/>
  <c r="U53" i="8"/>
  <c r="V53" i="8"/>
  <c r="W53" i="8"/>
  <c r="X53" i="8"/>
  <c r="S54" i="8"/>
  <c r="T54" i="8"/>
  <c r="U54" i="8"/>
  <c r="V54" i="8"/>
  <c r="W54" i="8"/>
  <c r="X54" i="8"/>
  <c r="S55" i="8"/>
  <c r="T55" i="8"/>
  <c r="U55" i="8"/>
  <c r="V55" i="8"/>
  <c r="W55" i="8"/>
  <c r="X55" i="8"/>
  <c r="S56" i="8"/>
  <c r="T56" i="8"/>
  <c r="U56" i="8"/>
  <c r="V56" i="8"/>
  <c r="W56" i="8"/>
  <c r="X56" i="8"/>
  <c r="S57" i="8"/>
  <c r="T57" i="8"/>
  <c r="U57" i="8"/>
  <c r="V57" i="8"/>
  <c r="W57" i="8"/>
  <c r="X57" i="8"/>
  <c r="S58" i="8"/>
  <c r="T58" i="8"/>
  <c r="U58" i="8"/>
  <c r="V58" i="8"/>
  <c r="W58" i="8"/>
  <c r="X58" i="8"/>
  <c r="U60" i="8"/>
  <c r="V60" i="8"/>
  <c r="S62" i="8"/>
  <c r="T62" i="8"/>
  <c r="U62" i="8"/>
  <c r="V62" i="8"/>
  <c r="W62" i="8"/>
  <c r="X62" i="8"/>
  <c r="S63" i="8"/>
  <c r="T63" i="8"/>
  <c r="U63" i="8"/>
  <c r="V63" i="8"/>
  <c r="W63" i="8"/>
  <c r="X63" i="8"/>
  <c r="S64" i="8"/>
  <c r="T64" i="8"/>
  <c r="U64" i="8"/>
  <c r="V64" i="8"/>
  <c r="W64" i="8"/>
  <c r="X64" i="8"/>
  <c r="S65" i="8"/>
  <c r="T65" i="8"/>
  <c r="U65" i="8"/>
  <c r="V65" i="8"/>
  <c r="W65" i="8"/>
  <c r="X65" i="8"/>
  <c r="S66" i="8"/>
  <c r="T66" i="8"/>
  <c r="U66" i="8"/>
  <c r="V66" i="8"/>
  <c r="W66" i="8"/>
  <c r="X66" i="8"/>
  <c r="S67" i="8"/>
  <c r="T67" i="8"/>
  <c r="U67" i="8"/>
  <c r="V67" i="8"/>
  <c r="W67" i="8"/>
  <c r="X67" i="8"/>
  <c r="S68" i="8"/>
  <c r="T68" i="8"/>
  <c r="U68" i="8"/>
  <c r="V68" i="8"/>
  <c r="W68" i="8"/>
  <c r="X68" i="8"/>
  <c r="S69" i="8"/>
  <c r="T69" i="8"/>
  <c r="U69" i="8"/>
  <c r="V69" i="8"/>
  <c r="W69" i="8"/>
  <c r="X69" i="8"/>
  <c r="S70" i="8"/>
  <c r="T70" i="8"/>
  <c r="U70" i="8"/>
  <c r="V70" i="8"/>
  <c r="W70" i="8"/>
  <c r="X70" i="8"/>
  <c r="S71" i="8"/>
  <c r="T71" i="8"/>
  <c r="U71" i="8"/>
  <c r="V71" i="8"/>
  <c r="W71" i="8"/>
  <c r="X71" i="8"/>
  <c r="S72" i="8"/>
  <c r="T72" i="8"/>
  <c r="U72" i="8"/>
  <c r="V72" i="8"/>
  <c r="W72" i="8"/>
  <c r="X72" i="8"/>
  <c r="S73" i="8"/>
  <c r="T73" i="8"/>
  <c r="U73" i="8"/>
  <c r="V73" i="8"/>
  <c r="W73" i="8"/>
  <c r="X73" i="8"/>
  <c r="S74" i="8"/>
  <c r="T74" i="8"/>
  <c r="U74" i="8"/>
  <c r="V74" i="8"/>
  <c r="W74" i="8"/>
  <c r="X74" i="8"/>
  <c r="U77" i="8"/>
  <c r="V77" i="8"/>
  <c r="S79" i="8"/>
  <c r="T79" i="8"/>
  <c r="U79" i="8"/>
  <c r="V79" i="8"/>
  <c r="W79" i="8"/>
  <c r="X79" i="8"/>
  <c r="T80" i="8"/>
  <c r="U80" i="8"/>
  <c r="V80" i="8"/>
  <c r="W80" i="8"/>
  <c r="X80" i="8"/>
  <c r="S82" i="8"/>
  <c r="T82" i="8"/>
  <c r="U82" i="8"/>
  <c r="V82" i="8"/>
  <c r="W82" i="8"/>
  <c r="X82" i="8"/>
  <c r="S83" i="8"/>
  <c r="T83" i="8"/>
  <c r="U83" i="8"/>
  <c r="V83" i="8"/>
  <c r="W83" i="8"/>
  <c r="X83" i="8"/>
  <c r="S84" i="8"/>
  <c r="T84" i="8"/>
  <c r="U84" i="8"/>
  <c r="V84" i="8"/>
  <c r="W84" i="8"/>
  <c r="X84" i="8"/>
  <c r="S85" i="8"/>
  <c r="T85" i="8"/>
  <c r="U85" i="8"/>
  <c r="V85" i="8"/>
  <c r="W85" i="8"/>
  <c r="X85" i="8"/>
  <c r="S86" i="8"/>
  <c r="T86" i="8"/>
  <c r="U86" i="8"/>
  <c r="V86" i="8"/>
  <c r="W86" i="8"/>
  <c r="X86" i="8"/>
  <c r="S87" i="8"/>
  <c r="T87" i="8"/>
  <c r="U87" i="8"/>
  <c r="V87" i="8"/>
  <c r="W87" i="8"/>
  <c r="X87" i="8"/>
  <c r="S88" i="8"/>
  <c r="T88" i="8"/>
  <c r="U88" i="8"/>
  <c r="V88" i="8"/>
  <c r="W88" i="8"/>
  <c r="X88" i="8"/>
  <c r="S89" i="8"/>
  <c r="T89" i="8"/>
  <c r="U89" i="8"/>
  <c r="V89" i="8"/>
  <c r="W89" i="8"/>
  <c r="X89" i="8"/>
  <c r="T90" i="8"/>
  <c r="U90" i="8"/>
  <c r="V90" i="8"/>
  <c r="W90" i="8"/>
  <c r="X90" i="8"/>
  <c r="S91" i="8"/>
  <c r="T91" i="8"/>
  <c r="U91" i="8"/>
  <c r="V91" i="8"/>
  <c r="W91" i="8"/>
  <c r="X91" i="8"/>
  <c r="U93" i="8"/>
  <c r="V93" i="8"/>
  <c r="II33" i="5"/>
  <c r="HU32" i="5"/>
  <c r="IH32" i="5" s="1"/>
  <c r="KE4" i="5" a="1"/>
  <c r="KE4" i="5" s="1"/>
  <c r="KE5" i="5" a="1"/>
  <c r="KE5" i="5" s="1"/>
  <c r="KE6" i="5" a="1"/>
  <c r="KE6" i="5" s="1"/>
  <c r="KE7" i="5" a="1"/>
  <c r="KE7" i="5" s="1"/>
  <c r="KE8" i="5" a="1"/>
  <c r="KE8" i="5" s="1"/>
  <c r="KE9" i="5" a="1"/>
  <c r="KE9" i="5" s="1"/>
  <c r="KE10" i="5" a="1"/>
  <c r="KE10" i="5" s="1"/>
  <c r="KE11" i="5" a="1"/>
  <c r="KE11" i="5" s="1"/>
  <c r="KE12" i="5" a="1"/>
  <c r="KE12" i="5" s="1"/>
  <c r="KE13" i="5" a="1"/>
  <c r="KE13" i="5" s="1"/>
  <c r="KE14" i="5" a="1"/>
  <c r="KE14" i="5" s="1"/>
  <c r="KE15" i="5" a="1"/>
  <c r="KE15" i="5" s="1"/>
  <c r="KE16" i="5" a="1"/>
  <c r="KE16" i="5" s="1"/>
  <c r="KE17" i="5" a="1"/>
  <c r="KE17" i="5" s="1"/>
  <c r="KE18" i="5" a="1"/>
  <c r="KE18" i="5" s="1"/>
  <c r="KE19" i="5" a="1"/>
  <c r="KE19" i="5" s="1"/>
  <c r="KE20" i="5" a="1"/>
  <c r="KE20" i="5" s="1"/>
  <c r="KE21" i="5" a="1"/>
  <c r="KE21" i="5" s="1"/>
  <c r="KE22" i="5" a="1"/>
  <c r="KE22" i="5" s="1"/>
  <c r="KE23" i="5" a="1"/>
  <c r="KE23" i="5" s="1"/>
  <c r="KE24" i="5" a="1"/>
  <c r="KE24" i="5" s="1"/>
  <c r="KE25" i="5" a="1"/>
  <c r="KE25" i="5" s="1"/>
  <c r="KE26" i="5" a="1"/>
  <c r="KE26" i="5" s="1"/>
  <c r="KE27" i="5" a="1"/>
  <c r="KE27" i="5" s="1"/>
  <c r="KE28" i="5" a="1"/>
  <c r="KE28" i="5" s="1"/>
  <c r="KE29" i="5" a="1"/>
  <c r="KE29" i="5" s="1"/>
  <c r="KE30" i="5" a="1"/>
  <c r="KE30" i="5" s="1"/>
  <c r="KE31" i="5" a="1"/>
  <c r="KE31" i="5" s="1"/>
  <c r="KE32" i="5" a="1"/>
  <c r="KE32" i="5" s="1"/>
  <c r="KE33" i="5" a="1"/>
  <c r="KE33" i="5" s="1"/>
  <c r="KC4" i="5" a="1"/>
  <c r="KC4" i="5" s="1"/>
  <c r="KC5" i="5" a="1"/>
  <c r="KC5" i="5" s="1"/>
  <c r="KC6" i="5" a="1"/>
  <c r="KC6" i="5" s="1"/>
  <c r="KC7" i="5" a="1"/>
  <c r="KC7" i="5" s="1"/>
  <c r="KC8" i="5" a="1"/>
  <c r="KC8" i="5" s="1"/>
  <c r="KC9" i="5" a="1"/>
  <c r="KC9" i="5" s="1"/>
  <c r="KC10" i="5" a="1"/>
  <c r="KC10" i="5" s="1"/>
  <c r="KC11" i="5" a="1"/>
  <c r="KC11" i="5" s="1"/>
  <c r="KC12" i="5" a="1"/>
  <c r="KC12" i="5" s="1"/>
  <c r="KC13" i="5" a="1"/>
  <c r="KC13" i="5" s="1"/>
  <c r="KC14" i="5" a="1"/>
  <c r="KC14" i="5" s="1"/>
  <c r="KC15" i="5" a="1"/>
  <c r="KC15" i="5" s="1"/>
  <c r="KC16" i="5" a="1"/>
  <c r="KC16" i="5" s="1"/>
  <c r="KC17" i="5" a="1"/>
  <c r="KC17" i="5" s="1"/>
  <c r="KC18" i="5" a="1"/>
  <c r="KC18" i="5" s="1"/>
  <c r="KC19" i="5" a="1"/>
  <c r="KC19" i="5" s="1"/>
  <c r="KC20" i="5" a="1"/>
  <c r="KC20" i="5" s="1"/>
  <c r="KC21" i="5" a="1"/>
  <c r="KC21" i="5" s="1"/>
  <c r="KC22" i="5" a="1"/>
  <c r="KC22" i="5" s="1"/>
  <c r="KC23" i="5" a="1"/>
  <c r="KC23" i="5" s="1"/>
  <c r="KC24" i="5" a="1"/>
  <c r="KC24" i="5" s="1"/>
  <c r="KC25" i="5" a="1"/>
  <c r="KC25" i="5" s="1"/>
  <c r="KC26" i="5" a="1"/>
  <c r="KC26" i="5" s="1"/>
  <c r="KC27" i="5" a="1"/>
  <c r="KC27" i="5" s="1"/>
  <c r="KC28" i="5" a="1"/>
  <c r="KC28" i="5" s="1"/>
  <c r="KC29" i="5" a="1"/>
  <c r="KC29" i="5" s="1"/>
  <c r="KC30" i="5" a="1"/>
  <c r="KC30" i="5" s="1"/>
  <c r="KC31" i="5" a="1"/>
  <c r="KC31" i="5" s="1"/>
  <c r="KC32" i="5" a="1"/>
  <c r="KC32" i="5" s="1"/>
  <c r="KC33" i="5" a="1"/>
  <c r="KC33" i="5" s="1"/>
  <c r="KC3" i="5" a="1"/>
  <c r="KC3" i="5" s="1"/>
  <c r="KA3" i="5" a="1"/>
  <c r="KA3" i="5" s="1"/>
  <c r="II15" i="5"/>
  <c r="IH104" i="5" s="1" a="1"/>
  <c r="IH104" i="5" s="1"/>
  <c r="IH17" i="5"/>
  <c r="HR29" i="5"/>
  <c r="IH29" i="5" s="1"/>
  <c r="HT26" i="5"/>
  <c r="HU26" i="5"/>
  <c r="HW23" i="5"/>
  <c r="HX23" i="5"/>
  <c r="HT23" i="5"/>
  <c r="HQ20" i="5"/>
  <c r="HW20" i="5"/>
  <c r="HX20" i="5"/>
  <c r="HU20" i="5"/>
  <c r="HU14" i="5"/>
  <c r="IH14" i="5" s="1"/>
  <c r="II9" i="5"/>
  <c r="IH102" i="5" a="1"/>
  <c r="IH102" i="5" s="1"/>
  <c r="HU8" i="5"/>
  <c r="IH8" i="5" s="1"/>
  <c r="HM90" i="5"/>
  <c r="GV92" i="5" s="1"/>
  <c r="HL92" i="5" s="1"/>
  <c r="GV89" i="5"/>
  <c r="GU89" i="5"/>
  <c r="GY89" i="5"/>
  <c r="GX89" i="5"/>
  <c r="HA89" i="5"/>
  <c r="HD89" i="5"/>
  <c r="HM81" i="5"/>
  <c r="GV80" i="5"/>
  <c r="HL80" i="5" s="1"/>
  <c r="HA77" i="5"/>
  <c r="GY77" i="5"/>
  <c r="HL77" i="5" s="1"/>
  <c r="HM72" i="5"/>
  <c r="HH71" i="5"/>
  <c r="HG71" i="5"/>
  <c r="HB71" i="5"/>
  <c r="HA71" i="5"/>
  <c r="GX71" i="5"/>
  <c r="GU71" i="5"/>
  <c r="GV68" i="5"/>
  <c r="HH68" i="5"/>
  <c r="GY68" i="5"/>
  <c r="HM60" i="5"/>
  <c r="HM63" i="5" s="1"/>
  <c r="HL120" i="5" s="1" a="1"/>
  <c r="HL120" i="5" s="1"/>
  <c r="GV59" i="5"/>
  <c r="HL59" i="5" s="1"/>
  <c r="GU56" i="5"/>
  <c r="GV53" i="5"/>
  <c r="HL53" i="5" s="1"/>
  <c r="HD50" i="5"/>
  <c r="HE50" i="5"/>
  <c r="HH50" i="5"/>
  <c r="GY50" i="5"/>
  <c r="HM45" i="5"/>
  <c r="HL114" i="5" s="1" a="1"/>
  <c r="HL114" i="5" s="1"/>
  <c r="GY44" i="5"/>
  <c r="HL44" i="5" s="1"/>
  <c r="GY35" i="5"/>
  <c r="HL35" i="5" s="1"/>
  <c r="GU41" i="5"/>
  <c r="HL41" i="5" s="1"/>
  <c r="HM36" i="5"/>
  <c r="HM39" i="5" s="1"/>
  <c r="HL112" i="5" s="1" a="1"/>
  <c r="HL112" i="5" s="1"/>
  <c r="IH81" i="5"/>
  <c r="IH83" i="5"/>
  <c r="IH9" i="5"/>
  <c r="IH3" i="5"/>
  <c r="IH108" i="5" a="1"/>
  <c r="IH108" i="5" s="1"/>
  <c r="IH107" i="5" a="1"/>
  <c r="IH107" i="5" s="1"/>
  <c r="IH106" i="5" a="1"/>
  <c r="IH106" i="5" s="1"/>
  <c r="IH105" i="5" a="1"/>
  <c r="IH105" i="5" s="1"/>
  <c r="IH103" i="5" a="1"/>
  <c r="IH103" i="5" s="1"/>
  <c r="IH101" i="5" a="1"/>
  <c r="IH101" i="5" s="1"/>
  <c r="IH95" i="5"/>
  <c r="IH93" i="5"/>
  <c r="IH92" i="5"/>
  <c r="IH90" i="5"/>
  <c r="IH89" i="5"/>
  <c r="IH87" i="5"/>
  <c r="IH86" i="5"/>
  <c r="IH84" i="5"/>
  <c r="IH80" i="5"/>
  <c r="IH78" i="5"/>
  <c r="IH77" i="5"/>
  <c r="IH75" i="5"/>
  <c r="IH74" i="5"/>
  <c r="IH72" i="5"/>
  <c r="IH71" i="5"/>
  <c r="IH69" i="5"/>
  <c r="IH68" i="5"/>
  <c r="IH66" i="5"/>
  <c r="IH65" i="5"/>
  <c r="IH63" i="5"/>
  <c r="IH62" i="5"/>
  <c r="IH60" i="5"/>
  <c r="IH59" i="5"/>
  <c r="IH57" i="5"/>
  <c r="IH56" i="5"/>
  <c r="IH54" i="5"/>
  <c r="IH53" i="5"/>
  <c r="IH51" i="5"/>
  <c r="IH50" i="5"/>
  <c r="IH48" i="5"/>
  <c r="IH45" i="5"/>
  <c r="IH44" i="5"/>
  <c r="IH42" i="5"/>
  <c r="IH41" i="5"/>
  <c r="IH39" i="5"/>
  <c r="IH38" i="5"/>
  <c r="IH36" i="5"/>
  <c r="IH33" i="5"/>
  <c r="IH30" i="5"/>
  <c r="IH27" i="5"/>
  <c r="IH24" i="5"/>
  <c r="IH21" i="5"/>
  <c r="IH18" i="5"/>
  <c r="IH15" i="5"/>
  <c r="IH12" i="5"/>
  <c r="IH11" i="5"/>
  <c r="IH6" i="5"/>
  <c r="IH5" i="5"/>
  <c r="HM30" i="5"/>
  <c r="HL109" i="5" s="1" a="1"/>
  <c r="HL109" i="5" s="1"/>
  <c r="HG29" i="5"/>
  <c r="HD29" i="5"/>
  <c r="HE29" i="5"/>
  <c r="HA29" i="5"/>
  <c r="GX29" i="5"/>
  <c r="GU29" i="5"/>
  <c r="HA26" i="5"/>
  <c r="GX26" i="5"/>
  <c r="GU26" i="5"/>
  <c r="HM15" i="5"/>
  <c r="HL104" i="5" s="1" a="1"/>
  <c r="HL104" i="5" s="1"/>
  <c r="GV14" i="5"/>
  <c r="HL14" i="5" s="1"/>
  <c r="HM3" i="5"/>
  <c r="HL100" i="5" s="1" a="1"/>
  <c r="HL100" i="5" s="1"/>
  <c r="HL6" i="5"/>
  <c r="HM129" i="5" a="1"/>
  <c r="HM129" i="5" s="1"/>
  <c r="HM128" i="5" a="1"/>
  <c r="HM128" i="5" s="1"/>
  <c r="HL128" i="5" a="1"/>
  <c r="HL128" i="5" s="1"/>
  <c r="HM127" i="5" a="1"/>
  <c r="HM127" i="5" s="1"/>
  <c r="HM126" i="5" a="1"/>
  <c r="HM126" i="5" s="1"/>
  <c r="HM125" i="5" a="1"/>
  <c r="HM125" i="5" s="1"/>
  <c r="HL125" i="5" a="1"/>
  <c r="HL125" i="5" s="1"/>
  <c r="HM124" i="5" a="1"/>
  <c r="HM124" i="5" s="1"/>
  <c r="HM123" i="5" a="1"/>
  <c r="HM123" i="5" s="1"/>
  <c r="HL123" i="5" a="1"/>
  <c r="HL123" i="5" s="1"/>
  <c r="HM122" i="5" a="1"/>
  <c r="HM122" i="5" s="1"/>
  <c r="HL122" i="5" a="1"/>
  <c r="HL122" i="5" s="1"/>
  <c r="HM121" i="5" a="1"/>
  <c r="HM121" i="5" s="1"/>
  <c r="HL121" i="5" a="1"/>
  <c r="HL121" i="5" s="1"/>
  <c r="HM120" i="5" a="1"/>
  <c r="HM120" i="5" s="1"/>
  <c r="HM119" i="5" a="1"/>
  <c r="HM119" i="5" s="1"/>
  <c r="HM118" i="5" a="1"/>
  <c r="HM118" i="5" s="1"/>
  <c r="HL118" i="5" a="1"/>
  <c r="HL118" i="5" s="1"/>
  <c r="HM117" i="5" a="1"/>
  <c r="HM117" i="5" s="1"/>
  <c r="HM116" i="5" a="1"/>
  <c r="HM116" i="5" s="1"/>
  <c r="HL116" i="5" a="1"/>
  <c r="HL116" i="5" s="1"/>
  <c r="HM115" i="5" a="1"/>
  <c r="HM115" i="5" s="1"/>
  <c r="HL115" i="5" a="1"/>
  <c r="HL115" i="5" s="1"/>
  <c r="HM114" i="5" a="1"/>
  <c r="HM114" i="5" s="1"/>
  <c r="HM113" i="5" a="1"/>
  <c r="HM113" i="5" s="1"/>
  <c r="HL113" i="5" a="1"/>
  <c r="HL113" i="5" s="1"/>
  <c r="HM112" i="5" a="1"/>
  <c r="HM112" i="5" s="1"/>
  <c r="HM111" i="5" a="1"/>
  <c r="HM111" i="5" s="1"/>
  <c r="HM110" i="5" a="1"/>
  <c r="HM110" i="5" s="1"/>
  <c r="HL110" i="5" a="1"/>
  <c r="HL110" i="5"/>
  <c r="HM109" i="5" a="1"/>
  <c r="HM109" i="5" s="1"/>
  <c r="HM108" i="5" a="1"/>
  <c r="HM108" i="5" s="1"/>
  <c r="HL108" i="5" a="1"/>
  <c r="HL108" i="5" s="1"/>
  <c r="HM107" i="5" a="1"/>
  <c r="HM107" i="5" s="1"/>
  <c r="HM106" i="5" a="1"/>
  <c r="HM106" i="5" s="1"/>
  <c r="HM105" i="5" a="1"/>
  <c r="HM105" i="5" s="1"/>
  <c r="HM104" i="5" a="1"/>
  <c r="HM104" i="5" s="1"/>
  <c r="HM103" i="5" a="1"/>
  <c r="HM103" i="5" s="1"/>
  <c r="HL103" i="5" a="1"/>
  <c r="HL103" i="5" s="1"/>
  <c r="HM102" i="5" a="1"/>
  <c r="HM102" i="5" s="1"/>
  <c r="HM101" i="5" a="1"/>
  <c r="HM101" i="5" s="1"/>
  <c r="HM100" i="5" a="1"/>
  <c r="HM100" i="5" s="1"/>
  <c r="HL95" i="5"/>
  <c r="HL93" i="5"/>
  <c r="HL90" i="5"/>
  <c r="HL87" i="5"/>
  <c r="HL86" i="5"/>
  <c r="HL84" i="5"/>
  <c r="HL83" i="5"/>
  <c r="HL81" i="5"/>
  <c r="HL78" i="5"/>
  <c r="HL124" i="5" a="1"/>
  <c r="HL124" i="5" s="1"/>
  <c r="HL75" i="5"/>
  <c r="HL74" i="5"/>
  <c r="HL72" i="5"/>
  <c r="HL69" i="5"/>
  <c r="HL66" i="5"/>
  <c r="HL65" i="5"/>
  <c r="HL63" i="5"/>
  <c r="HL62" i="5"/>
  <c r="HL60" i="5"/>
  <c r="HL57" i="5"/>
  <c r="HL117" i="5" a="1"/>
  <c r="HL117" i="5" s="1"/>
  <c r="HL54" i="5"/>
  <c r="HL51" i="5"/>
  <c r="HL48" i="5"/>
  <c r="HL47" i="5"/>
  <c r="HL45" i="5"/>
  <c r="HL42" i="5"/>
  <c r="HL39" i="5"/>
  <c r="HL38" i="5"/>
  <c r="HL36" i="5"/>
  <c r="HL33" i="5"/>
  <c r="HL32" i="5"/>
  <c r="HL30" i="5"/>
  <c r="HL27" i="5"/>
  <c r="HL24" i="5"/>
  <c r="HL23" i="5"/>
  <c r="HL21" i="5"/>
  <c r="HL20" i="5"/>
  <c r="HL18" i="5"/>
  <c r="HL17" i="5"/>
  <c r="HL15" i="5"/>
  <c r="HL12" i="5"/>
  <c r="HL11" i="5"/>
  <c r="HL9" i="5"/>
  <c r="HL8" i="5"/>
  <c r="HL5" i="5"/>
  <c r="HL3" i="5"/>
  <c r="GP93" i="5"/>
  <c r="GP78" i="5"/>
  <c r="GP90" i="5"/>
  <c r="GP87" i="5"/>
  <c r="GP84" i="5"/>
  <c r="GP81" i="5"/>
  <c r="GP75" i="5"/>
  <c r="GP72" i="5"/>
  <c r="GP69" i="5"/>
  <c r="GP66" i="5"/>
  <c r="GP63" i="5"/>
  <c r="GP60" i="5"/>
  <c r="GP57" i="5"/>
  <c r="GP54" i="5"/>
  <c r="GP51" i="5"/>
  <c r="GP48" i="5"/>
  <c r="GP45" i="5"/>
  <c r="GP42" i="5"/>
  <c r="GP39" i="5"/>
  <c r="GP36" i="5"/>
  <c r="GP33" i="5"/>
  <c r="GP30" i="5"/>
  <c r="GP24" i="5"/>
  <c r="GP27" i="5"/>
  <c r="GP21" i="5"/>
  <c r="GP18" i="5"/>
  <c r="GP15" i="5"/>
  <c r="GP12" i="5"/>
  <c r="GP9" i="5"/>
  <c r="GP6" i="5"/>
  <c r="GP89" i="5"/>
  <c r="GP77" i="5"/>
  <c r="GP71" i="5"/>
  <c r="GP38" i="5"/>
  <c r="GP35" i="5"/>
  <c r="GP32" i="5"/>
  <c r="GP14" i="5"/>
  <c r="GP11" i="5"/>
  <c r="GP8" i="5"/>
  <c r="GP5" i="5"/>
  <c r="GP3" i="5"/>
  <c r="GP130" i="5" a="1"/>
  <c r="GP130" i="5" s="1"/>
  <c r="GP118" i="5" a="1"/>
  <c r="GP118" i="5" s="1"/>
  <c r="GP119" i="5" a="1"/>
  <c r="GP119" i="5" s="1"/>
  <c r="GP120" i="5" a="1"/>
  <c r="GP120" i="5" s="1"/>
  <c r="GP121" i="5" a="1"/>
  <c r="GP121" i="5" s="1"/>
  <c r="GP123" i="5" a="1"/>
  <c r="GP123" i="5" s="1"/>
  <c r="GP125" i="5" a="1"/>
  <c r="GP125" i="5" s="1"/>
  <c r="GP126" i="5" a="1"/>
  <c r="GP126" i="5" s="1"/>
  <c r="GP127" i="5" a="1"/>
  <c r="GP127" i="5" s="1"/>
  <c r="GP129" i="5" a="1"/>
  <c r="GP129" i="5" s="1"/>
  <c r="GE95" i="5"/>
  <c r="GF95" i="5"/>
  <c r="GB95" i="5"/>
  <c r="GC95" i="5"/>
  <c r="GB92" i="5"/>
  <c r="GC92" i="5"/>
  <c r="GQ87" i="5"/>
  <c r="GP128" i="5" s="1" a="1"/>
  <c r="GP128" i="5" s="1"/>
  <c r="FZ86" i="5"/>
  <c r="GP86" i="5" s="1"/>
  <c r="GH83" i="5"/>
  <c r="GE83" i="5"/>
  <c r="GI65" i="5"/>
  <c r="GC83" i="5"/>
  <c r="GC74" i="5"/>
  <c r="GP74" i="5" s="1"/>
  <c r="GK80" i="5"/>
  <c r="GE80" i="5"/>
  <c r="GF80" i="5"/>
  <c r="GB80" i="5"/>
  <c r="GC80" i="5"/>
  <c r="GQ75" i="5"/>
  <c r="GP124" i="5" s="1" a="1"/>
  <c r="GP124" i="5" s="1"/>
  <c r="FY74" i="5"/>
  <c r="GQ69" i="5"/>
  <c r="GP122" i="5" s="1" a="1"/>
  <c r="GP122" i="5" s="1"/>
  <c r="FZ68" i="5"/>
  <c r="FY68" i="5"/>
  <c r="GE65" i="5"/>
  <c r="FY65" i="5"/>
  <c r="FZ65" i="5"/>
  <c r="FZ62" i="5"/>
  <c r="GP62" i="5" s="1"/>
  <c r="GN59" i="5"/>
  <c r="GE59" i="5"/>
  <c r="GF59" i="5"/>
  <c r="GB59" i="5"/>
  <c r="GC59" i="5"/>
  <c r="FY59" i="5"/>
  <c r="FZ59" i="5"/>
  <c r="GQ54" i="5"/>
  <c r="GP117" i="5" s="1" a="1"/>
  <c r="GP117" i="5" s="1"/>
  <c r="II130" i="5" a="1"/>
  <c r="II130" i="5" s="1"/>
  <c r="II129" i="5" a="1"/>
  <c r="II129" i="5" s="1"/>
  <c r="II128" i="5" a="1"/>
  <c r="II128" i="5" s="1"/>
  <c r="II127" i="5" a="1"/>
  <c r="II127" i="5" s="1"/>
  <c r="II126" i="5" a="1"/>
  <c r="II126" i="5" s="1"/>
  <c r="II125" i="5" a="1"/>
  <c r="II125" i="5" s="1"/>
  <c r="II124" i="5" a="1"/>
  <c r="II124" i="5" s="1"/>
  <c r="II123" i="5" a="1"/>
  <c r="II123" i="5" s="1"/>
  <c r="II122" i="5" a="1"/>
  <c r="II122" i="5" s="1"/>
  <c r="II121" i="5" a="1"/>
  <c r="II121" i="5" s="1"/>
  <c r="II120" i="5" a="1"/>
  <c r="II120" i="5" s="1"/>
  <c r="II119" i="5" a="1"/>
  <c r="II119" i="5" s="1"/>
  <c r="II118" i="5" a="1"/>
  <c r="II118" i="5" s="1"/>
  <c r="II117" i="5" a="1"/>
  <c r="II117" i="5" s="1"/>
  <c r="II116" i="5" a="1"/>
  <c r="II116" i="5" s="1"/>
  <c r="II115" i="5" a="1"/>
  <c r="II115" i="5" s="1"/>
  <c r="II114" i="5" a="1"/>
  <c r="II114" i="5" s="1"/>
  <c r="II113" i="5" a="1"/>
  <c r="II113" i="5" s="1"/>
  <c r="II112" i="5" a="1"/>
  <c r="II112" i="5" s="1"/>
  <c r="II111" i="5" a="1"/>
  <c r="II111" i="5" s="1"/>
  <c r="II110" i="5" a="1"/>
  <c r="II110" i="5" s="1"/>
  <c r="II109" i="5" a="1"/>
  <c r="II109" i="5" s="1"/>
  <c r="II108" i="5" a="1"/>
  <c r="II108" i="5" s="1"/>
  <c r="II107" i="5" a="1"/>
  <c r="II107" i="5" s="1"/>
  <c r="II106" i="5" a="1"/>
  <c r="II106" i="5" s="1"/>
  <c r="II105" i="5" a="1"/>
  <c r="II105" i="5" s="1"/>
  <c r="II104" i="5" a="1"/>
  <c r="II104" i="5" s="1"/>
  <c r="II103" i="5" a="1"/>
  <c r="II103" i="5" s="1"/>
  <c r="II102" i="5" a="1"/>
  <c r="II102" i="5" s="1"/>
  <c r="II101" i="5" a="1"/>
  <c r="II101" i="5" s="1"/>
  <c r="II100" i="5" a="1"/>
  <c r="II100" i="5" s="1"/>
  <c r="EA65" i="5"/>
  <c r="DH71" i="5"/>
  <c r="DO71" i="5" s="1"/>
  <c r="DE29" i="5"/>
  <c r="CI86" i="5"/>
  <c r="CL59" i="5"/>
  <c r="CO38" i="5"/>
  <c r="BI89" i="5"/>
  <c r="BC89" i="5"/>
  <c r="AW89" i="5"/>
  <c r="BI74" i="5"/>
  <c r="BC74" i="5"/>
  <c r="AW74" i="5"/>
  <c r="BC53" i="5"/>
  <c r="AZ35" i="5"/>
  <c r="BC14" i="5"/>
  <c r="BJ14" i="5" s="1"/>
  <c r="AJ74" i="5"/>
  <c r="AG74" i="5"/>
  <c r="AD56" i="5"/>
  <c r="AJ38" i="5"/>
  <c r="AG38" i="5"/>
  <c r="AD38" i="5"/>
  <c r="AP29" i="5"/>
  <c r="AJ23" i="5"/>
  <c r="AM11" i="5"/>
  <c r="AJ11" i="5"/>
  <c r="AG11" i="5"/>
  <c r="N35" i="5"/>
  <c r="X35" i="5" s="1"/>
  <c r="U208" i="8"/>
  <c r="U30" i="8"/>
  <c r="U107" i="8"/>
  <c r="U44" i="8"/>
  <c r="U192" i="8"/>
  <c r="U135" i="8"/>
  <c r="U147" i="8"/>
  <c r="U160" i="8"/>
  <c r="U177" i="8"/>
  <c r="U124" i="8"/>
  <c r="B34" i="8"/>
  <c r="HL111" i="5" a="1"/>
  <c r="HL111" i="5" s="1"/>
  <c r="KA4" i="5" a="1"/>
  <c r="KA4" i="5" s="1"/>
  <c r="KA5" i="5" a="1"/>
  <c r="KA5" i="5" s="1"/>
  <c r="KA6" i="5" a="1"/>
  <c r="KA6" i="5" s="1"/>
  <c r="KA7" i="5" a="1"/>
  <c r="KA7" i="5" s="1"/>
  <c r="KA8" i="5" a="1"/>
  <c r="KA8" i="5" s="1"/>
  <c r="KA9" i="5" a="1"/>
  <c r="KA9" i="5" s="1"/>
  <c r="KA10" i="5" a="1"/>
  <c r="KA10" i="5" s="1"/>
  <c r="KA11" i="5" a="1"/>
  <c r="KA11" i="5" s="1"/>
  <c r="KA12" i="5" a="1"/>
  <c r="KA12" i="5" s="1"/>
  <c r="KA13" i="5" a="1"/>
  <c r="KA13" i="5" s="1"/>
  <c r="KA14" i="5" a="1"/>
  <c r="KA14" i="5" s="1"/>
  <c r="KA15" i="5" a="1"/>
  <c r="KA15" i="5" s="1"/>
  <c r="KA16" i="5" a="1"/>
  <c r="KA16" i="5" s="1"/>
  <c r="KA17" i="5" a="1"/>
  <c r="KA17" i="5" s="1"/>
  <c r="KA18" i="5" a="1"/>
  <c r="KA18" i="5" s="1"/>
  <c r="KA19" i="5" a="1"/>
  <c r="KA19" i="5" s="1"/>
  <c r="KA20" i="5" a="1"/>
  <c r="KA20" i="5" s="1"/>
  <c r="KA21" i="5" a="1"/>
  <c r="KA21" i="5" s="1"/>
  <c r="KA22" i="5" a="1"/>
  <c r="KA22" i="5" s="1"/>
  <c r="KA23" i="5" a="1"/>
  <c r="KA23" i="5" s="1"/>
  <c r="KA24" i="5" a="1"/>
  <c r="KA24" i="5" s="1"/>
  <c r="KA25" i="5" a="1"/>
  <c r="KA25" i="5" s="1"/>
  <c r="KA26" i="5" a="1"/>
  <c r="KA26" i="5" s="1"/>
  <c r="KA27" i="5" a="1"/>
  <c r="KA27" i="5" s="1"/>
  <c r="KA28" i="5" a="1"/>
  <c r="KA28" i="5" s="1"/>
  <c r="KA29" i="5" a="1"/>
  <c r="KA29" i="5" s="1"/>
  <c r="KA30" i="5" a="1"/>
  <c r="KA30" i="5" s="1"/>
  <c r="KA31" i="5" a="1"/>
  <c r="KA31" i="5" s="1"/>
  <c r="KA32" i="5" a="1"/>
  <c r="KA32" i="5" s="1"/>
  <c r="KA33" i="5" a="1"/>
  <c r="KA33" i="5" s="1"/>
  <c r="JY3" i="5" a="1"/>
  <c r="JY3" i="5" s="1"/>
  <c r="JW3" i="5" a="1"/>
  <c r="JW3" i="5" s="1"/>
  <c r="FT117" i="5" a="1"/>
  <c r="FT117" i="5" s="1"/>
  <c r="FT118" i="5" a="1"/>
  <c r="FT118" i="5" s="1"/>
  <c r="FT119" i="5" a="1"/>
  <c r="FT119" i="5" s="1"/>
  <c r="FT120" i="5" a="1"/>
  <c r="FT120" i="5" s="1"/>
  <c r="FT121" i="5" a="1"/>
  <c r="FT121" i="5" s="1"/>
  <c r="FT122" i="5" a="1"/>
  <c r="FT122" i="5" s="1"/>
  <c r="FT127" i="5" a="1"/>
  <c r="FT127" i="5" s="1"/>
  <c r="FT128" i="5" a="1"/>
  <c r="FT128" i="5" s="1"/>
  <c r="FT129" i="5" a="1"/>
  <c r="FT129" i="5" s="1"/>
  <c r="GC53" i="5"/>
  <c r="GP53" i="5" s="1"/>
  <c r="GQ45" i="5"/>
  <c r="GP114" i="5" s="1" a="1"/>
  <c r="GP114" i="5" s="1"/>
  <c r="FZ50" i="5"/>
  <c r="FY50" i="5"/>
  <c r="GP47" i="5"/>
  <c r="FZ44" i="5"/>
  <c r="GP44" i="5" s="1"/>
  <c r="GK41" i="5"/>
  <c r="GL41" i="5"/>
  <c r="GF41" i="5"/>
  <c r="GB41" i="5"/>
  <c r="FY41" i="5"/>
  <c r="FZ41" i="5"/>
  <c r="GQ30" i="5"/>
  <c r="GQ33" i="5" s="1"/>
  <c r="GQ36" i="5" s="1"/>
  <c r="GP111" i="5" s="1" a="1"/>
  <c r="GP111" i="5" s="1"/>
  <c r="GB29" i="5"/>
  <c r="GP29" i="5" s="1"/>
  <c r="GQ24" i="5"/>
  <c r="GP107" i="5" s="1" a="1"/>
  <c r="GP107" i="5" s="1"/>
  <c r="GL23" i="5"/>
  <c r="GC23" i="5"/>
  <c r="GP23" i="5" s="1"/>
  <c r="FZ20" i="5"/>
  <c r="GP20" i="5" s="1"/>
  <c r="GL17" i="5"/>
  <c r="GF17" i="5"/>
  <c r="GE17" i="5"/>
  <c r="GC17" i="5"/>
  <c r="GB17" i="5"/>
  <c r="FY17" i="5"/>
  <c r="FZ17" i="5"/>
  <c r="GQ3" i="5"/>
  <c r="GQ130" i="5" a="1"/>
  <c r="GQ130" i="5" s="1"/>
  <c r="GQ129" i="5" a="1"/>
  <c r="GQ129" i="5" s="1"/>
  <c r="GQ128" i="5" a="1"/>
  <c r="GQ128" i="5" s="1"/>
  <c r="GQ127" i="5" a="1"/>
  <c r="GQ127" i="5" s="1"/>
  <c r="GQ126" i="5" a="1"/>
  <c r="GQ126" i="5" s="1"/>
  <c r="GQ125" i="5" a="1"/>
  <c r="GQ125" i="5" s="1"/>
  <c r="GQ124" i="5" a="1"/>
  <c r="GQ124" i="5" s="1"/>
  <c r="GQ123" i="5" a="1"/>
  <c r="GQ123" i="5" s="1"/>
  <c r="GQ122" i="5" a="1"/>
  <c r="GQ122" i="5" s="1"/>
  <c r="GQ121" i="5" a="1"/>
  <c r="GQ121" i="5" s="1"/>
  <c r="GQ120" i="5" a="1"/>
  <c r="GQ120" i="5" s="1"/>
  <c r="GQ119" i="5" a="1"/>
  <c r="GQ119" i="5" s="1"/>
  <c r="GQ118" i="5" a="1"/>
  <c r="GQ118" i="5" s="1"/>
  <c r="GQ117" i="5" a="1"/>
  <c r="GQ117" i="5" s="1"/>
  <c r="GQ116" i="5" a="1"/>
  <c r="GQ116" i="5" s="1"/>
  <c r="GQ115" i="5" a="1"/>
  <c r="GQ115" i="5" s="1"/>
  <c r="GP115" i="5" a="1"/>
  <c r="GP115" i="5" s="1"/>
  <c r="GQ114" i="5" a="1"/>
  <c r="GQ114" i="5" s="1"/>
  <c r="GQ113" i="5" a="1"/>
  <c r="GQ113" i="5" s="1"/>
  <c r="GP113" i="5" a="1"/>
  <c r="GP113" i="5" s="1"/>
  <c r="GQ112" i="5" a="1"/>
  <c r="GQ112" i="5" s="1"/>
  <c r="GQ111" i="5" a="1"/>
  <c r="GQ111" i="5" s="1"/>
  <c r="GQ110" i="5" a="1"/>
  <c r="GQ110" i="5" s="1"/>
  <c r="GQ109" i="5" a="1"/>
  <c r="GQ109" i="5" s="1"/>
  <c r="GQ108" i="5" a="1"/>
  <c r="GQ108" i="5" s="1"/>
  <c r="GP108" i="5" a="1"/>
  <c r="GP108" i="5" s="1"/>
  <c r="GQ107" i="5" a="1"/>
  <c r="GQ107" i="5" s="1"/>
  <c r="GQ106" i="5" a="1"/>
  <c r="GQ106" i="5" s="1"/>
  <c r="GP106" i="5" a="1"/>
  <c r="GP106" i="5" s="1"/>
  <c r="GQ105" i="5" a="1"/>
  <c r="GQ105" i="5" s="1"/>
  <c r="GQ104" i="5" a="1"/>
  <c r="GQ104" i="5" s="1"/>
  <c r="GP104" i="5" a="1"/>
  <c r="GP104" i="5" s="1"/>
  <c r="GQ103" i="5" a="1"/>
  <c r="GQ103" i="5" s="1"/>
  <c r="GQ102" i="5" a="1"/>
  <c r="GQ102" i="5" s="1"/>
  <c r="GQ101" i="5" a="1"/>
  <c r="GQ101" i="5" s="1"/>
  <c r="GQ100" i="5" a="1"/>
  <c r="GQ100" i="5" s="1"/>
  <c r="GP56" i="5"/>
  <c r="GP116" i="5" a="1"/>
  <c r="GP116" i="5" s="1"/>
  <c r="GP112" i="5" a="1"/>
  <c r="GP112" i="5" s="1"/>
  <c r="GP105" i="5" a="1"/>
  <c r="GP105" i="5" s="1"/>
  <c r="GP103" i="5" a="1"/>
  <c r="GP103" i="5" s="1"/>
  <c r="JK3" i="5" a="1"/>
  <c r="JK3" i="5" s="1"/>
  <c r="JK4" i="5" a="1"/>
  <c r="JK4" i="5" s="1"/>
  <c r="JK5" i="5" a="1"/>
  <c r="JK5" i="5" s="1"/>
  <c r="JK6" i="5" a="1"/>
  <c r="JK6" i="5" s="1"/>
  <c r="JK7" i="5" a="1"/>
  <c r="JK7" i="5" s="1"/>
  <c r="JK8" i="5" a="1"/>
  <c r="JK8" i="5" s="1"/>
  <c r="JK9" i="5" a="1"/>
  <c r="JK9" i="5" s="1"/>
  <c r="JK10" i="5" a="1"/>
  <c r="JK10" i="5" s="1"/>
  <c r="JK11" i="5" a="1"/>
  <c r="JK11" i="5" s="1"/>
  <c r="JK12" i="5" a="1"/>
  <c r="JK12" i="5" s="1"/>
  <c r="JK13" i="5" a="1"/>
  <c r="JK13" i="5" s="1"/>
  <c r="JK14" i="5" a="1"/>
  <c r="JK14" i="5" s="1"/>
  <c r="JK15" i="5" a="1"/>
  <c r="JK15" i="5" s="1"/>
  <c r="JK16" i="5" a="1"/>
  <c r="JK16" i="5" s="1"/>
  <c r="JK17" i="5" a="1"/>
  <c r="JK17" i="5" s="1"/>
  <c r="JK18" i="5" a="1"/>
  <c r="JK18" i="5" s="1"/>
  <c r="JK19" i="5" a="1"/>
  <c r="JK19" i="5" s="1"/>
  <c r="JK20" i="5" a="1"/>
  <c r="JK20" i="5" s="1"/>
  <c r="JK21" i="5" a="1"/>
  <c r="JK21" i="5" s="1"/>
  <c r="JK22" i="5" a="1"/>
  <c r="JK22" i="5" s="1"/>
  <c r="JK23" i="5" a="1"/>
  <c r="JK23" i="5" s="1"/>
  <c r="JI24" i="5"/>
  <c r="JK24" i="5" a="1"/>
  <c r="JK24" i="5" s="1"/>
  <c r="JI25" i="5"/>
  <c r="JK25" i="5" a="1"/>
  <c r="JK25" i="5" s="1"/>
  <c r="JI26" i="5"/>
  <c r="JK26" i="5" a="1"/>
  <c r="JK26" i="5" s="1"/>
  <c r="JI27" i="5"/>
  <c r="JK27" i="5" a="1"/>
  <c r="JK27" i="5" s="1"/>
  <c r="JI28" i="5"/>
  <c r="JK28" i="5" a="1"/>
  <c r="JK28" i="5" s="1"/>
  <c r="JI29" i="5"/>
  <c r="JK29" i="5" a="1"/>
  <c r="JK29" i="5" s="1"/>
  <c r="JI30" i="5"/>
  <c r="JK30" i="5" a="1"/>
  <c r="JK30" i="5" s="1"/>
  <c r="JI31" i="5"/>
  <c r="JK31" i="5"/>
  <c r="JI32" i="5"/>
  <c r="JK32" i="5"/>
  <c r="JI33" i="5"/>
  <c r="JK33" i="5"/>
  <c r="FG89" i="5"/>
  <c r="FT89" i="5" s="1"/>
  <c r="FR86" i="5"/>
  <c r="FS86" i="5"/>
  <c r="FO86" i="5"/>
  <c r="FP86" i="5"/>
  <c r="FL86" i="5"/>
  <c r="FM86" i="5"/>
  <c r="FJ86" i="5"/>
  <c r="FF86" i="5"/>
  <c r="FG86" i="5"/>
  <c r="FU72" i="5"/>
  <c r="FT123" i="5" s="1" a="1"/>
  <c r="FT123" i="5" s="1"/>
  <c r="FG71" i="5"/>
  <c r="FT71" i="5" s="1"/>
  <c r="FI68" i="5"/>
  <c r="FJ68" i="5"/>
  <c r="FR65" i="5"/>
  <c r="FP65" i="5"/>
  <c r="FO65" i="5"/>
  <c r="FI65" i="5"/>
  <c r="FF65" i="5"/>
  <c r="FG65" i="5"/>
  <c r="FG62" i="5"/>
  <c r="FT62" i="5" s="1"/>
  <c r="FI59" i="5"/>
  <c r="FJ59" i="5"/>
  <c r="FF59" i="5"/>
  <c r="FT56" i="5"/>
  <c r="FT113" i="5" a="1"/>
  <c r="FT113" i="5" s="1"/>
  <c r="FT110" i="5" a="1"/>
  <c r="FT110" i="5" s="1"/>
  <c r="FT111" i="5" a="1"/>
  <c r="FT111" i="5" s="1"/>
  <c r="FT114" i="5" a="1"/>
  <c r="FT114" i="5" s="1"/>
  <c r="FT115" i="5" a="1"/>
  <c r="FT115" i="5" s="1"/>
  <c r="FG50" i="5"/>
  <c r="FT50" i="5" s="1"/>
  <c r="FJ47" i="5"/>
  <c r="FT47" i="5" s="1"/>
  <c r="FS44" i="5"/>
  <c r="FL44" i="5"/>
  <c r="FM44" i="5"/>
  <c r="FI44" i="5"/>
  <c r="FF44" i="5"/>
  <c r="FG44" i="5"/>
  <c r="FF38" i="5"/>
  <c r="FL38" i="5"/>
  <c r="FG38" i="5"/>
  <c r="FL35" i="5"/>
  <c r="FM35" i="5"/>
  <c r="FU39" i="5"/>
  <c r="FT112" i="5" s="1" a="1"/>
  <c r="FT112" i="5" s="1"/>
  <c r="FU51" i="5"/>
  <c r="FT116" i="5" s="1" a="1"/>
  <c r="FT116" i="5" s="1"/>
  <c r="FU30" i="5"/>
  <c r="FT109" i="5" s="1" a="1"/>
  <c r="FT109" i="5" s="1"/>
  <c r="JY4" i="5" a="1"/>
  <c r="JY4" i="5" s="1"/>
  <c r="JY5" i="5" a="1"/>
  <c r="JY5" i="5" s="1"/>
  <c r="JY6" i="5" a="1"/>
  <c r="JY6" i="5" s="1"/>
  <c r="JY7" i="5" a="1"/>
  <c r="JY7" i="5" s="1"/>
  <c r="JY8" i="5" a="1"/>
  <c r="JY8" i="5" s="1"/>
  <c r="JY9" i="5" a="1"/>
  <c r="JY9" i="5" s="1"/>
  <c r="JY10" i="5" a="1"/>
  <c r="JY10" i="5" s="1"/>
  <c r="JY11" i="5" a="1"/>
  <c r="JY11" i="5" s="1"/>
  <c r="JY12" i="5" a="1"/>
  <c r="JY12" i="5" s="1"/>
  <c r="JY13" i="5" a="1"/>
  <c r="JY13" i="5" s="1"/>
  <c r="JY14" i="5" a="1"/>
  <c r="JY14" i="5" s="1"/>
  <c r="JY15" i="5" a="1"/>
  <c r="JY15" i="5" s="1"/>
  <c r="JY16" i="5" a="1"/>
  <c r="JY16" i="5" s="1"/>
  <c r="JY17" i="5" a="1"/>
  <c r="JY17" i="5" s="1"/>
  <c r="JY18" i="5" a="1"/>
  <c r="JY18" i="5" s="1"/>
  <c r="JY19" i="5" a="1"/>
  <c r="JY19" i="5" s="1"/>
  <c r="JY20" i="5" a="1"/>
  <c r="JY20" i="5" s="1"/>
  <c r="JY21" i="5" a="1"/>
  <c r="JY21" i="5" s="1"/>
  <c r="JY22" i="5" a="1"/>
  <c r="JY22" i="5" s="1"/>
  <c r="JY23" i="5" a="1"/>
  <c r="JY23" i="5" s="1"/>
  <c r="JY24" i="5" a="1"/>
  <c r="JY24" i="5" s="1"/>
  <c r="JY25" i="5" a="1"/>
  <c r="JY25" i="5" s="1"/>
  <c r="JY26" i="5" a="1"/>
  <c r="JY26" i="5" s="1"/>
  <c r="JY27" i="5" a="1"/>
  <c r="JY27" i="5" s="1"/>
  <c r="JY28" i="5" a="1"/>
  <c r="JY28" i="5" s="1"/>
  <c r="JY29" i="5" a="1"/>
  <c r="JY29" i="5" s="1"/>
  <c r="JY30" i="5" a="1"/>
  <c r="JY30" i="5" s="1"/>
  <c r="JY31" i="5" a="1"/>
  <c r="JY31" i="5" s="1"/>
  <c r="JY32" i="5" a="1"/>
  <c r="JY32" i="5" s="1"/>
  <c r="JY33" i="5" a="1"/>
  <c r="JY33" i="5" s="1"/>
  <c r="FT108" i="5" a="1"/>
  <c r="FT108" i="5" s="1"/>
  <c r="FG29" i="5"/>
  <c r="FT29" i="5" s="1"/>
  <c r="FT102" i="5" a="1"/>
  <c r="FT102" i="5" s="1"/>
  <c r="FT104" i="5" a="1"/>
  <c r="FT104" i="5" s="1"/>
  <c r="FT106" i="5" a="1"/>
  <c r="FT106" i="5" s="1"/>
  <c r="FT107" i="5" a="1"/>
  <c r="FT107" i="5" s="1"/>
  <c r="FG11" i="5"/>
  <c r="FT11" i="5" s="1"/>
  <c r="FU12" i="5"/>
  <c r="FT103" i="5" s="1" a="1"/>
  <c r="FT103" i="5" s="1"/>
  <c r="FL17" i="5"/>
  <c r="FT17" i="5" s="1"/>
  <c r="FL23" i="5"/>
  <c r="FU18" i="5"/>
  <c r="FT105" i="5" s="1" a="1"/>
  <c r="FT105" i="5" s="1"/>
  <c r="FP23" i="5"/>
  <c r="FM26" i="5"/>
  <c r="FL26" i="5"/>
  <c r="FF23" i="5"/>
  <c r="FG26" i="5"/>
  <c r="FF26" i="5"/>
  <c r="FT101" i="5" a="1"/>
  <c r="FT101" i="5" s="1"/>
  <c r="FM8" i="5"/>
  <c r="FG8" i="5"/>
  <c r="KH5" i="5"/>
  <c r="KH6" i="5"/>
  <c r="KH7" i="5"/>
  <c r="KH8" i="5"/>
  <c r="KH9" i="5"/>
  <c r="KH10" i="5"/>
  <c r="KH11" i="5"/>
  <c r="KH12" i="5"/>
  <c r="KH13" i="5"/>
  <c r="KH14" i="5"/>
  <c r="KH15" i="5"/>
  <c r="KH16" i="5"/>
  <c r="KH17" i="5"/>
  <c r="KH18" i="5"/>
  <c r="KH19" i="5"/>
  <c r="KH20" i="5"/>
  <c r="KH21" i="5"/>
  <c r="KH22" i="5"/>
  <c r="KH23" i="5"/>
  <c r="KH24" i="5"/>
  <c r="KH25" i="5"/>
  <c r="KH26" i="5"/>
  <c r="KH27" i="5"/>
  <c r="KH28" i="5"/>
  <c r="KH29" i="5"/>
  <c r="KH30" i="5"/>
  <c r="KH31" i="5"/>
  <c r="KH32" i="5"/>
  <c r="KH33" i="5"/>
  <c r="KH4" i="5"/>
  <c r="FU3" i="5"/>
  <c r="FA130" i="5" a="1"/>
  <c r="FA130" i="5" s="1"/>
  <c r="FU130" i="5" a="1"/>
  <c r="FU130" i="5" s="1"/>
  <c r="FU129" i="5" a="1"/>
  <c r="FU129" i="5" s="1"/>
  <c r="FU128" i="5" a="1"/>
  <c r="FU128" i="5" s="1"/>
  <c r="FU127" i="5" a="1"/>
  <c r="FU127" i="5" s="1"/>
  <c r="FU126" i="5" a="1"/>
  <c r="FU126" i="5" s="1"/>
  <c r="FU125" i="5" a="1"/>
  <c r="FU125" i="5" s="1"/>
  <c r="FU124" i="5" a="1"/>
  <c r="FU124" i="5" s="1"/>
  <c r="FU123" i="5" a="1"/>
  <c r="FU123" i="5" s="1"/>
  <c r="FU122" i="5" a="1"/>
  <c r="FU122" i="5" s="1"/>
  <c r="FU121" i="5" a="1"/>
  <c r="FU121" i="5" s="1"/>
  <c r="FU120" i="5" a="1"/>
  <c r="FU120" i="5" s="1"/>
  <c r="FU119" i="5" a="1"/>
  <c r="FU119" i="5" s="1"/>
  <c r="FU118" i="5" a="1"/>
  <c r="FU118" i="5" s="1"/>
  <c r="FU117" i="5" a="1"/>
  <c r="FU117" i="5" s="1"/>
  <c r="FU116" i="5" a="1"/>
  <c r="FU116" i="5" s="1"/>
  <c r="FU115" i="5" a="1"/>
  <c r="FU115" i="5" s="1"/>
  <c r="FU114" i="5" a="1"/>
  <c r="FU114" i="5" s="1"/>
  <c r="FU113" i="5" a="1"/>
  <c r="FU113" i="5" s="1"/>
  <c r="FU112" i="5" a="1"/>
  <c r="FU112" i="5" s="1"/>
  <c r="FU111" i="5" a="1"/>
  <c r="FU111" i="5" s="1"/>
  <c r="FU110" i="5" a="1"/>
  <c r="FU110" i="5" s="1"/>
  <c r="FU109" i="5" a="1"/>
  <c r="FU109" i="5" s="1"/>
  <c r="FU108" i="5" a="1"/>
  <c r="FU108" i="5" s="1"/>
  <c r="FU107" i="5" a="1"/>
  <c r="FU107" i="5" s="1"/>
  <c r="FU106" i="5" a="1"/>
  <c r="FU106" i="5" s="1"/>
  <c r="FU105" i="5" a="1"/>
  <c r="FU105" i="5" s="1"/>
  <c r="FU104" i="5" a="1"/>
  <c r="FU104" i="5" s="1"/>
  <c r="FU103" i="5" a="1"/>
  <c r="FU103" i="5" s="1"/>
  <c r="FU102" i="5" a="1"/>
  <c r="FU102" i="5" s="1"/>
  <c r="FU101" i="5" a="1"/>
  <c r="FU101" i="5" s="1"/>
  <c r="FU100" i="5" a="1"/>
  <c r="FU100" i="5" s="1"/>
  <c r="FT95" i="5"/>
  <c r="FT93" i="5"/>
  <c r="FT92" i="5"/>
  <c r="FT90" i="5"/>
  <c r="FT87" i="5"/>
  <c r="FT84" i="5"/>
  <c r="FT83" i="5"/>
  <c r="FT81" i="5"/>
  <c r="FT80" i="5"/>
  <c r="FT78" i="5"/>
  <c r="FT77" i="5"/>
  <c r="FT75" i="5"/>
  <c r="FT74" i="5"/>
  <c r="FT72" i="5"/>
  <c r="FT69" i="5"/>
  <c r="FT66" i="5"/>
  <c r="FT63" i="5"/>
  <c r="FT60" i="5"/>
  <c r="FT57" i="5"/>
  <c r="FT54" i="5"/>
  <c r="FT53" i="5"/>
  <c r="FT51" i="5"/>
  <c r="FT48" i="5"/>
  <c r="FT45" i="5"/>
  <c r="FT42" i="5"/>
  <c r="FT41" i="5"/>
  <c r="FT39" i="5"/>
  <c r="FT36" i="5"/>
  <c r="FT33" i="5"/>
  <c r="FT32" i="5"/>
  <c r="FT30" i="5"/>
  <c r="FT27" i="5"/>
  <c r="FT24" i="5"/>
  <c r="FT21" i="5"/>
  <c r="FT20" i="5"/>
  <c r="FT18" i="5"/>
  <c r="FT15" i="5"/>
  <c r="FT12" i="5"/>
  <c r="FT9" i="5"/>
  <c r="FT6" i="5"/>
  <c r="FT5" i="5"/>
  <c r="FT3" i="5"/>
  <c r="FB87" i="5"/>
  <c r="FB90" i="5" s="1"/>
  <c r="FA129" i="5" s="1" a="1"/>
  <c r="FA129" i="5" s="1"/>
  <c r="EW95" i="5"/>
  <c r="EM95" i="5"/>
  <c r="FA95" i="5" s="1"/>
  <c r="EN32" i="5"/>
  <c r="FA126" i="5" a="1"/>
  <c r="FA126" i="5" s="1"/>
  <c r="FA127" i="5" a="1"/>
  <c r="FA127" i="5" s="1"/>
  <c r="EN83" i="5"/>
  <c r="FA83" i="5" s="1"/>
  <c r="EM86" i="5"/>
  <c r="EP86" i="5"/>
  <c r="FB75" i="5"/>
  <c r="FB78" i="5" s="1"/>
  <c r="FA125" i="5" s="1" a="1"/>
  <c r="FA125" i="5" s="1"/>
  <c r="FA123" i="5" a="1"/>
  <c r="FA123" i="5" s="1"/>
  <c r="EW74" i="5"/>
  <c r="EP74" i="5"/>
  <c r="EN74" i="5"/>
  <c r="FB66" i="5"/>
  <c r="FA121" i="5" s="1" a="1"/>
  <c r="FA121" i="5" s="1"/>
  <c r="FA119" i="5" a="1"/>
  <c r="FA119" i="5" s="1"/>
  <c r="FA120" i="5" a="1"/>
  <c r="FA120" i="5" s="1"/>
  <c r="FB57" i="5"/>
  <c r="FA118" i="5" s="1" a="1"/>
  <c r="FA118" i="5" s="1"/>
  <c r="ET62" i="5"/>
  <c r="FA62" i="5" s="1"/>
  <c r="EN65" i="5"/>
  <c r="FA65" i="5" s="1"/>
  <c r="FA115" i="5" a="1"/>
  <c r="FA115" i="5" s="1"/>
  <c r="FA117" i="5" a="1"/>
  <c r="FA117" i="5" s="1"/>
  <c r="FB51" i="5"/>
  <c r="EN50" i="5"/>
  <c r="FA50" i="5" s="1"/>
  <c r="ET56" i="5"/>
  <c r="FA56" i="5" s="1"/>
  <c r="FA113" i="5" a="1"/>
  <c r="FA113" i="5" s="1"/>
  <c r="FB45" i="5"/>
  <c r="FA114" i="5" s="1" a="1"/>
  <c r="FA114" i="5" s="1"/>
  <c r="FA104" i="5" a="1"/>
  <c r="FA104" i="5" s="1"/>
  <c r="FA107" i="5" a="1"/>
  <c r="FA107" i="5" s="1"/>
  <c r="FA109" i="5" a="1"/>
  <c r="FA109" i="5" s="1"/>
  <c r="FA110" i="5" a="1"/>
  <c r="FA110" i="5" s="1"/>
  <c r="FA111" i="5" a="1"/>
  <c r="FA111" i="5" s="1"/>
  <c r="EY35" i="5"/>
  <c r="EZ35" i="5"/>
  <c r="EZ32" i="5"/>
  <c r="EM32" i="5"/>
  <c r="FB27" i="5"/>
  <c r="FA108" i="5" s="1" a="1"/>
  <c r="FA108" i="5" s="1"/>
  <c r="EN38" i="5"/>
  <c r="FA38" i="5" s="1"/>
  <c r="FB39" i="5"/>
  <c r="FA112" i="5" s="1" a="1"/>
  <c r="FA112" i="5" s="1"/>
  <c r="FA5" i="5"/>
  <c r="GP26" i="5"/>
  <c r="FT14" i="5"/>
  <c r="FB18" i="5"/>
  <c r="FA105" i="5" s="1" a="1"/>
  <c r="FA105" i="5" s="1"/>
  <c r="EN17" i="5"/>
  <c r="JW4" i="5" a="1"/>
  <c r="JW4" i="5" s="1"/>
  <c r="JW5" i="5" a="1"/>
  <c r="JW5" i="5" s="1"/>
  <c r="JW6" i="5" a="1"/>
  <c r="JW6" i="5" s="1"/>
  <c r="JW7" i="5" a="1"/>
  <c r="JW7" i="5" s="1"/>
  <c r="JW8" i="5" a="1"/>
  <c r="JW8" i="5" s="1"/>
  <c r="JW9" i="5" a="1"/>
  <c r="JW9" i="5" s="1"/>
  <c r="JW10" i="5" a="1"/>
  <c r="JW10" i="5" s="1"/>
  <c r="JW11" i="5" a="1"/>
  <c r="JW11" i="5" s="1"/>
  <c r="JW12" i="5" a="1"/>
  <c r="JW12" i="5" s="1"/>
  <c r="JW13" i="5" a="1"/>
  <c r="JW13" i="5" s="1"/>
  <c r="JW14" i="5" a="1"/>
  <c r="JW14" i="5" s="1"/>
  <c r="JW15" i="5" a="1"/>
  <c r="JW15" i="5" s="1"/>
  <c r="JW16" i="5" a="1"/>
  <c r="JW16" i="5" s="1"/>
  <c r="JW17" i="5" a="1"/>
  <c r="JW17" i="5" s="1"/>
  <c r="JW18" i="5" a="1"/>
  <c r="JW18" i="5" s="1"/>
  <c r="JW19" i="5" a="1"/>
  <c r="JW19" i="5" s="1"/>
  <c r="JW20" i="5" a="1"/>
  <c r="JW20" i="5" s="1"/>
  <c r="JW21" i="5" a="1"/>
  <c r="JW21" i="5" s="1"/>
  <c r="JW22" i="5" a="1"/>
  <c r="JW22" i="5" s="1"/>
  <c r="JW23" i="5" a="1"/>
  <c r="JW23" i="5" s="1"/>
  <c r="JW24" i="5" a="1"/>
  <c r="JW24" i="5" s="1"/>
  <c r="JW25" i="5" a="1"/>
  <c r="JW25" i="5" s="1"/>
  <c r="JW26" i="5" a="1"/>
  <c r="JW26" i="5" s="1"/>
  <c r="JW27" i="5" a="1"/>
  <c r="JW27" i="5" s="1"/>
  <c r="JW28" i="5" a="1"/>
  <c r="JW28" i="5" s="1"/>
  <c r="JW29" i="5" a="1"/>
  <c r="JW29" i="5" s="1"/>
  <c r="JW30" i="5" a="1"/>
  <c r="JW30" i="5" s="1"/>
  <c r="JW31" i="5" a="1"/>
  <c r="JW31" i="5" s="1"/>
  <c r="JW32" i="5" a="1"/>
  <c r="JW32" i="5" s="1"/>
  <c r="JW33" i="5" a="1"/>
  <c r="JW33" i="5" s="1"/>
  <c r="FA103" i="5" a="1"/>
  <c r="FA103" i="5" s="1"/>
  <c r="EW14" i="5"/>
  <c r="FA14" i="5" s="1"/>
  <c r="FB6" i="5"/>
  <c r="FA101" i="5" s="1" a="1"/>
  <c r="FA101" i="5" s="1"/>
  <c r="JU3" i="5" a="1"/>
  <c r="JU3" i="5" s="1"/>
  <c r="JQ3" i="5" a="1"/>
  <c r="JQ3" i="5" s="1"/>
  <c r="EI90" i="5"/>
  <c r="EH129" i="5" s="1" a="1"/>
  <c r="EH129" i="5" s="1"/>
  <c r="EC89" i="5"/>
  <c r="EH89" i="5" s="1"/>
  <c r="EI78" i="5"/>
  <c r="EH127" i="5" a="1"/>
  <c r="EH127" i="5" s="1"/>
  <c r="EH128" i="5" a="1"/>
  <c r="EH128" i="5" s="1"/>
  <c r="EH130" i="5" a="1"/>
  <c r="EH130" i="5" s="1"/>
  <c r="FB130" i="5" a="1"/>
  <c r="FB130" i="5" s="1"/>
  <c r="FB129" i="5" a="1"/>
  <c r="FB129" i="5" s="1"/>
  <c r="FB128" i="5" a="1"/>
  <c r="FB128" i="5" s="1"/>
  <c r="FB127" i="5" a="1"/>
  <c r="FB127" i="5" s="1"/>
  <c r="FB126" i="5" a="1"/>
  <c r="FB126" i="5" s="1"/>
  <c r="FB125" i="5" a="1"/>
  <c r="FB125" i="5" s="1"/>
  <c r="FB124" i="5" a="1"/>
  <c r="FB124" i="5" s="1"/>
  <c r="FB123" i="5" a="1"/>
  <c r="FB123" i="5" s="1"/>
  <c r="FB122" i="5" a="1"/>
  <c r="FB122" i="5" s="1"/>
  <c r="FB121" i="5" a="1"/>
  <c r="FB121" i="5" s="1"/>
  <c r="FB120" i="5" a="1"/>
  <c r="FB120" i="5" s="1"/>
  <c r="FB119" i="5" a="1"/>
  <c r="FB119" i="5" s="1"/>
  <c r="FB118" i="5" a="1"/>
  <c r="FB118" i="5" s="1"/>
  <c r="FB117" i="5" a="1"/>
  <c r="FB117" i="5" s="1"/>
  <c r="FB116" i="5" a="1"/>
  <c r="FB116" i="5" s="1"/>
  <c r="FB115" i="5" a="1"/>
  <c r="FB115" i="5" s="1"/>
  <c r="FB114" i="5" a="1"/>
  <c r="FB114" i="5" s="1"/>
  <c r="FB113" i="5" a="1"/>
  <c r="FB113" i="5" s="1"/>
  <c r="FB112" i="5" a="1"/>
  <c r="FB112" i="5" s="1"/>
  <c r="FB111" i="5" a="1"/>
  <c r="FB111" i="5" s="1"/>
  <c r="FB110" i="5" a="1"/>
  <c r="FB110" i="5" s="1"/>
  <c r="FB109" i="5" a="1"/>
  <c r="FB109" i="5" s="1"/>
  <c r="FB108" i="5" a="1"/>
  <c r="FB108" i="5" s="1"/>
  <c r="FB107" i="5" a="1"/>
  <c r="FB107" i="5" s="1"/>
  <c r="FB106" i="5" a="1"/>
  <c r="FB106" i="5" s="1"/>
  <c r="FB105" i="5" a="1"/>
  <c r="FB105" i="5" s="1"/>
  <c r="FB104" i="5" a="1"/>
  <c r="FB104" i="5" s="1"/>
  <c r="FB103" i="5" a="1"/>
  <c r="FB103" i="5" s="1"/>
  <c r="FB102" i="5" a="1"/>
  <c r="FB102" i="5" s="1"/>
  <c r="FB101" i="5" a="1"/>
  <c r="FB101" i="5" s="1"/>
  <c r="FB100" i="5" a="1"/>
  <c r="FB100" i="5" s="1"/>
  <c r="FA100" i="5" a="1"/>
  <c r="FA100" i="5" s="1"/>
  <c r="FA93" i="5"/>
  <c r="FA92" i="5"/>
  <c r="FA90" i="5"/>
  <c r="FA89" i="5"/>
  <c r="FA87" i="5"/>
  <c r="FA84" i="5"/>
  <c r="FA81" i="5"/>
  <c r="FA80" i="5"/>
  <c r="FA78" i="5"/>
  <c r="FA75" i="5"/>
  <c r="FA72" i="5"/>
  <c r="FA69" i="5"/>
  <c r="FA68" i="5"/>
  <c r="FA66" i="5"/>
  <c r="FA63" i="5"/>
  <c r="FA60" i="5"/>
  <c r="FA59" i="5"/>
  <c r="FA57" i="5"/>
  <c r="FA54" i="5"/>
  <c r="FA53" i="5"/>
  <c r="FA51" i="5"/>
  <c r="FA48" i="5"/>
  <c r="FA47" i="5"/>
  <c r="FA45" i="5"/>
  <c r="FA44" i="5"/>
  <c r="FA42" i="5"/>
  <c r="FA39" i="5"/>
  <c r="FA36" i="5"/>
  <c r="FA33" i="5"/>
  <c r="FA30" i="5"/>
  <c r="FA29" i="5"/>
  <c r="FA27" i="5"/>
  <c r="FA26" i="5"/>
  <c r="FA24" i="5"/>
  <c r="FA21" i="5"/>
  <c r="FA18" i="5"/>
  <c r="FA15" i="5"/>
  <c r="FA12" i="5"/>
  <c r="FA11" i="5"/>
  <c r="FA9" i="5"/>
  <c r="FA8" i="5"/>
  <c r="FA6" i="5"/>
  <c r="FA3" i="5"/>
  <c r="EH93" i="5"/>
  <c r="EH124" i="5" a="1"/>
  <c r="EH124" i="5" s="1"/>
  <c r="DT77" i="5"/>
  <c r="DZ77" i="5"/>
  <c r="EH123" i="5" a="1"/>
  <c r="EH123" i="5" s="1"/>
  <c r="DT74" i="5"/>
  <c r="EH74" i="5" s="1"/>
  <c r="FA41" i="5"/>
  <c r="FA23" i="5"/>
  <c r="FA77" i="5"/>
  <c r="FA20" i="5"/>
  <c r="FA17" i="5"/>
  <c r="EI66" i="5"/>
  <c r="EH120" i="5" a="1"/>
  <c r="EH120" i="5" s="1"/>
  <c r="DZ65" i="5"/>
  <c r="EI54" i="5"/>
  <c r="EI57" i="5" s="1"/>
  <c r="EH118" i="5" s="1" a="1"/>
  <c r="EH118" i="5" s="1"/>
  <c r="EH116" i="5" a="1"/>
  <c r="EH116" i="5" s="1"/>
  <c r="EH115" i="5" a="1"/>
  <c r="EH115" i="5" s="1"/>
  <c r="EI42" i="5"/>
  <c r="EH112" i="5" a="1"/>
  <c r="EH112" i="5" s="1"/>
  <c r="ED41" i="5"/>
  <c r="EC41" i="5"/>
  <c r="EI33" i="5"/>
  <c r="EI36" i="5" s="1"/>
  <c r="EH111" i="5" s="1" a="1"/>
  <c r="EH111" i="5" s="1"/>
  <c r="EH109" i="5" a="1"/>
  <c r="EH109" i="5" s="1"/>
  <c r="EI27" i="5"/>
  <c r="EH108" i="5" s="1" a="1"/>
  <c r="EH108" i="5" s="1"/>
  <c r="EH104" i="5" a="1"/>
  <c r="EH104" i="5" s="1"/>
  <c r="EH105" i="5" a="1"/>
  <c r="EH105" i="5" s="1"/>
  <c r="EH106" i="5" a="1"/>
  <c r="EH106" i="5" s="1"/>
  <c r="EH107" i="5" a="1"/>
  <c r="EH107" i="5" s="1"/>
  <c r="DT17" i="5"/>
  <c r="EH17" i="5" s="1"/>
  <c r="DT20" i="5"/>
  <c r="EH20" i="5" s="1"/>
  <c r="EC23" i="5"/>
  <c r="ED23" i="5"/>
  <c r="DU26" i="5"/>
  <c r="EH26" i="5" s="1"/>
  <c r="EI6" i="5"/>
  <c r="EI9" i="5" s="1"/>
  <c r="EI12" i="5" s="1"/>
  <c r="EH103" i="5" s="1" a="1"/>
  <c r="EH103" i="5" s="1"/>
  <c r="JU4" i="5" a="1"/>
  <c r="JU4" i="5" s="1"/>
  <c r="JU5" i="5" a="1"/>
  <c r="JU5" i="5" s="1"/>
  <c r="JU6" i="5" a="1"/>
  <c r="JU6" i="5" s="1"/>
  <c r="JU7" i="5" a="1"/>
  <c r="JU7" i="5" s="1"/>
  <c r="JU8" i="5" a="1"/>
  <c r="JU8" i="5" s="1"/>
  <c r="JU9" i="5" a="1"/>
  <c r="JU9" i="5" s="1"/>
  <c r="JU10" i="5" a="1"/>
  <c r="JU10" i="5" s="1"/>
  <c r="JU11" i="5" a="1"/>
  <c r="JU11" i="5" s="1"/>
  <c r="JU12" i="5" a="1"/>
  <c r="JU12" i="5" s="1"/>
  <c r="JU13" i="5" a="1"/>
  <c r="JU13" i="5" s="1"/>
  <c r="JU14" i="5" a="1"/>
  <c r="JU14" i="5" s="1"/>
  <c r="JU15" i="5" a="1"/>
  <c r="JU15" i="5" s="1"/>
  <c r="JU16" i="5" a="1"/>
  <c r="JU16" i="5" s="1"/>
  <c r="JU17" i="5" a="1"/>
  <c r="JU17" i="5" s="1"/>
  <c r="JU18" i="5" a="1"/>
  <c r="JU18" i="5" s="1"/>
  <c r="JU19" i="5" a="1"/>
  <c r="JU19" i="5" s="1"/>
  <c r="JU20" i="5" a="1"/>
  <c r="JU20" i="5" s="1"/>
  <c r="JU21" i="5" a="1"/>
  <c r="JU21" i="5" s="1"/>
  <c r="JU22" i="5" a="1"/>
  <c r="JU22" i="5" s="1"/>
  <c r="JU23" i="5" a="1"/>
  <c r="JU23" i="5" s="1"/>
  <c r="JU24" i="5" a="1"/>
  <c r="JU24" i="5" s="1"/>
  <c r="JU25" i="5" a="1"/>
  <c r="JU25" i="5" s="1"/>
  <c r="JU26" i="5" a="1"/>
  <c r="JU26" i="5" s="1"/>
  <c r="JU27" i="5" a="1"/>
  <c r="JU27" i="5" s="1"/>
  <c r="JU28" i="5" a="1"/>
  <c r="JU28" i="5" s="1"/>
  <c r="JU29" i="5" a="1"/>
  <c r="JU29" i="5" s="1"/>
  <c r="JU30" i="5" a="1"/>
  <c r="JU30" i="5" s="1"/>
  <c r="JU31" i="5" a="1"/>
  <c r="JU31" i="5" s="1"/>
  <c r="JU32" i="5" a="1"/>
  <c r="JU32" i="5" s="1"/>
  <c r="JU33" i="5" a="1"/>
  <c r="JU33" i="5" s="1"/>
  <c r="JS3" i="5" a="1"/>
  <c r="JS3" i="5" s="1"/>
  <c r="DU5" i="5"/>
  <c r="EH5" i="5" s="1"/>
  <c r="EI130" i="5" a="1"/>
  <c r="EI130" i="5" s="1"/>
  <c r="EI129" i="5" a="1"/>
  <c r="EI129" i="5" s="1"/>
  <c r="EI128" i="5" a="1"/>
  <c r="EI128" i="5" s="1"/>
  <c r="EI127" i="5" a="1"/>
  <c r="EI127" i="5" s="1"/>
  <c r="EI126" i="5" a="1"/>
  <c r="EI126" i="5" s="1"/>
  <c r="EI125" i="5" a="1"/>
  <c r="EI125" i="5" s="1"/>
  <c r="EI124" i="5" a="1"/>
  <c r="EI124" i="5" s="1"/>
  <c r="EI123" i="5" a="1"/>
  <c r="EI123" i="5" s="1"/>
  <c r="EI122" i="5" a="1"/>
  <c r="EI122" i="5" s="1"/>
  <c r="EI121" i="5" a="1"/>
  <c r="EI121" i="5" s="1"/>
  <c r="EI120" i="5" a="1"/>
  <c r="EI120" i="5" s="1"/>
  <c r="EI119" i="5" a="1"/>
  <c r="EI119" i="5" s="1"/>
  <c r="EI118" i="5" a="1"/>
  <c r="EI118" i="5" s="1"/>
  <c r="EI117" i="5" a="1"/>
  <c r="EI117" i="5" s="1"/>
  <c r="EI116" i="5" a="1"/>
  <c r="EI116" i="5" s="1"/>
  <c r="EI115" i="5" a="1"/>
  <c r="EI115" i="5" s="1"/>
  <c r="EI114" i="5" a="1"/>
  <c r="EI114" i="5" s="1"/>
  <c r="EI113" i="5" a="1"/>
  <c r="EI113" i="5" s="1"/>
  <c r="EI112" i="5" a="1"/>
  <c r="EI112" i="5" s="1"/>
  <c r="EI111" i="5" a="1"/>
  <c r="EI111" i="5" s="1"/>
  <c r="EI110" i="5" a="1"/>
  <c r="EI110" i="5" s="1"/>
  <c r="EI109" i="5" a="1"/>
  <c r="EI109" i="5" s="1"/>
  <c r="EI108" i="5" a="1"/>
  <c r="EI108" i="5" s="1"/>
  <c r="EI107" i="5" a="1"/>
  <c r="EI107" i="5" s="1"/>
  <c r="EI106" i="5" a="1"/>
  <c r="EI106" i="5" s="1"/>
  <c r="EI105" i="5" a="1"/>
  <c r="EI105" i="5" s="1"/>
  <c r="EI104" i="5" a="1"/>
  <c r="EI104" i="5" s="1"/>
  <c r="EI103" i="5" a="1"/>
  <c r="EI103" i="5" s="1"/>
  <c r="EI102" i="5" a="1"/>
  <c r="EI102" i="5" s="1"/>
  <c r="EI101" i="5" a="1"/>
  <c r="EI101" i="5" s="1"/>
  <c r="EI100" i="5" a="1"/>
  <c r="EI100" i="5" s="1"/>
  <c r="EH100" i="5" a="1"/>
  <c r="EH100" i="5" s="1"/>
  <c r="EI96" i="5" a="1"/>
  <c r="EI96" i="5" s="1"/>
  <c r="EH95" i="5"/>
  <c r="EH92" i="5"/>
  <c r="EH90" i="5"/>
  <c r="EH87" i="5"/>
  <c r="EH86" i="5"/>
  <c r="EH84" i="5"/>
  <c r="EH83" i="5"/>
  <c r="EH81" i="5"/>
  <c r="EH80" i="5"/>
  <c r="EH78" i="5"/>
  <c r="EH75" i="5"/>
  <c r="EH72" i="5"/>
  <c r="EH71" i="5"/>
  <c r="EH69" i="5"/>
  <c r="EH68" i="5"/>
  <c r="EH66" i="5"/>
  <c r="EH63" i="5"/>
  <c r="EH62" i="5"/>
  <c r="EH60" i="5"/>
  <c r="EH59" i="5"/>
  <c r="EH57" i="5"/>
  <c r="EH56" i="5"/>
  <c r="EH54" i="5"/>
  <c r="EH53" i="5"/>
  <c r="EH51" i="5"/>
  <c r="EH50" i="5"/>
  <c r="EH48" i="5"/>
  <c r="EH47" i="5"/>
  <c r="EH45" i="5"/>
  <c r="EH44" i="5"/>
  <c r="EH42" i="5"/>
  <c r="EH39" i="5"/>
  <c r="EH38" i="5"/>
  <c r="EH36" i="5"/>
  <c r="EH35" i="5"/>
  <c r="EH33" i="5"/>
  <c r="EH32" i="5"/>
  <c r="EH30" i="5"/>
  <c r="EH29" i="5"/>
  <c r="EH27" i="5"/>
  <c r="EH24" i="5"/>
  <c r="EH21" i="5"/>
  <c r="EH18" i="5"/>
  <c r="EH15" i="5"/>
  <c r="EH14" i="5"/>
  <c r="EH12" i="5"/>
  <c r="EH11" i="5"/>
  <c r="EH9" i="5"/>
  <c r="EH8" i="5"/>
  <c r="EH6" i="5"/>
  <c r="EH3" i="5"/>
  <c r="DP130" i="5" a="1"/>
  <c r="DP130" i="5" s="1"/>
  <c r="DO128" i="5" a="1"/>
  <c r="DO128" i="5" s="1"/>
  <c r="DO129" i="5" a="1"/>
  <c r="DO129" i="5" s="1"/>
  <c r="DE92" i="5"/>
  <c r="DD92" i="5"/>
  <c r="DJ89" i="5"/>
  <c r="DK89" i="5"/>
  <c r="DP81" i="5"/>
  <c r="DO126" i="5" s="1" a="1"/>
  <c r="DO126" i="5" s="1"/>
  <c r="DJ80" i="5"/>
  <c r="DO80" i="5" s="1"/>
  <c r="DO125" i="5" a="1"/>
  <c r="DO125" i="5" s="1"/>
  <c r="DK62" i="5"/>
  <c r="DO62" i="5" s="1"/>
  <c r="DO124" i="5" a="1"/>
  <c r="DO124" i="5" s="1"/>
  <c r="DB77" i="5"/>
  <c r="DO77" i="5" s="1"/>
  <c r="DP72" i="5"/>
  <c r="DO123" i="5" s="1" a="1"/>
  <c r="DO123" i="5" s="1"/>
  <c r="DO121" i="5" a="1"/>
  <c r="DO121" i="5" s="1"/>
  <c r="DO122" i="5" a="1"/>
  <c r="DO122" i="5" s="1"/>
  <c r="DP63" i="5"/>
  <c r="DO120" i="5" s="1" a="1"/>
  <c r="DO120" i="5" s="1"/>
  <c r="DO119" i="5" a="1"/>
  <c r="DO119" i="5" s="1"/>
  <c r="DP57" i="5"/>
  <c r="DO118" i="5" s="1" a="1"/>
  <c r="DO118" i="5" s="1"/>
  <c r="DO117" i="5" a="1"/>
  <c r="DO117" i="5" s="1"/>
  <c r="DG56" i="5"/>
  <c r="DO56" i="5" s="1"/>
  <c r="DP48" i="5"/>
  <c r="DO115" i="5" s="1" a="1"/>
  <c r="DO115" i="5" s="1"/>
  <c r="DP42" i="5"/>
  <c r="DO113" i="5" s="1" a="1"/>
  <c r="DO113" i="5" s="1"/>
  <c r="DJ47" i="5"/>
  <c r="DK47" i="5"/>
  <c r="DE20" i="5"/>
  <c r="DK41" i="5"/>
  <c r="DO41" i="5" s="1"/>
  <c r="DO112" i="5" a="1"/>
  <c r="DO112" i="5" s="1"/>
  <c r="DO114" i="5" a="1"/>
  <c r="DO114" i="5" s="1"/>
  <c r="DO111" i="5" a="1"/>
  <c r="DO111" i="5" s="1"/>
  <c r="DA38" i="5"/>
  <c r="DO38" i="5" s="1"/>
  <c r="DP33" i="5"/>
  <c r="DO110" i="5" s="1" a="1"/>
  <c r="DO110" i="5" s="1"/>
  <c r="DO108" i="5" a="1"/>
  <c r="DO108" i="5" s="1"/>
  <c r="DO109" i="5" a="1"/>
  <c r="DO109" i="5" s="1"/>
  <c r="DB32" i="5"/>
  <c r="DO32" i="5" s="1"/>
  <c r="DO107" i="5" a="1"/>
  <c r="DO107" i="5" s="1"/>
  <c r="DB26" i="5"/>
  <c r="DA26" i="5"/>
  <c r="DD29" i="5"/>
  <c r="DA29" i="5"/>
  <c r="DB29" i="5"/>
  <c r="DP21" i="5"/>
  <c r="DO106" i="5" s="1" a="1"/>
  <c r="DO106" i="5" s="1"/>
  <c r="CW93" i="5"/>
  <c r="CV130" i="5" s="1" a="1"/>
  <c r="CV130" i="5" s="1"/>
  <c r="DO105" i="5" a="1"/>
  <c r="DO105" i="5" s="1"/>
  <c r="DE14" i="5"/>
  <c r="DH14" i="5"/>
  <c r="DA14" i="5"/>
  <c r="DB20" i="5"/>
  <c r="DO103" i="5" a="1"/>
  <c r="DO103" i="5" s="1"/>
  <c r="DP15" i="5"/>
  <c r="DO104" i="5" s="1" a="1"/>
  <c r="DO104" i="5" s="1"/>
  <c r="DP3" i="5"/>
  <c r="DO100" i="5" s="1" a="1"/>
  <c r="DO100" i="5" s="1"/>
  <c r="JS4" i="5" a="1"/>
  <c r="JS4" i="5" s="1"/>
  <c r="JS5" i="5" a="1"/>
  <c r="JS5" i="5" s="1"/>
  <c r="JS6" i="5" a="1"/>
  <c r="JS6" i="5" s="1"/>
  <c r="JS7" i="5" a="1"/>
  <c r="JS7" i="5" s="1"/>
  <c r="JS8" i="5" a="1"/>
  <c r="JS8" i="5" s="1"/>
  <c r="JS9" i="5" a="1"/>
  <c r="JS9" i="5" s="1"/>
  <c r="JS10" i="5" a="1"/>
  <c r="JS10" i="5" s="1"/>
  <c r="JS11" i="5" a="1"/>
  <c r="JS11" i="5" s="1"/>
  <c r="JS12" i="5" a="1"/>
  <c r="JS12" i="5" s="1"/>
  <c r="JS13" i="5" a="1"/>
  <c r="JS13" i="5" s="1"/>
  <c r="JS14" i="5" a="1"/>
  <c r="JS14" i="5" s="1"/>
  <c r="JS15" i="5" a="1"/>
  <c r="JS15" i="5" s="1"/>
  <c r="JS16" i="5" a="1"/>
  <c r="JS16" i="5" s="1"/>
  <c r="JS17" i="5" a="1"/>
  <c r="JS17" i="5" s="1"/>
  <c r="JS18" i="5" a="1"/>
  <c r="JS18" i="5" s="1"/>
  <c r="JS19" i="5" a="1"/>
  <c r="JS19" i="5" s="1"/>
  <c r="JS20" i="5" a="1"/>
  <c r="JS20" i="5" s="1"/>
  <c r="JS21" i="5" a="1"/>
  <c r="JS21" i="5" s="1"/>
  <c r="JS22" i="5" a="1"/>
  <c r="JS22" i="5" s="1"/>
  <c r="JS23" i="5" a="1"/>
  <c r="JS23" i="5" s="1"/>
  <c r="JS24" i="5" a="1"/>
  <c r="JS24" i="5" s="1"/>
  <c r="JS25" i="5" a="1"/>
  <c r="JS25" i="5" s="1"/>
  <c r="JS26" i="5" a="1"/>
  <c r="JS26" i="5" s="1"/>
  <c r="JS27" i="5" a="1"/>
  <c r="JS27" i="5" s="1"/>
  <c r="JS28" i="5" a="1"/>
  <c r="JS28" i="5" s="1"/>
  <c r="JS29" i="5" a="1"/>
  <c r="JS29" i="5" s="1"/>
  <c r="JS30" i="5" a="1"/>
  <c r="JS30" i="5" s="1"/>
  <c r="JS31" i="5" a="1"/>
  <c r="JS31" i="5" s="1"/>
  <c r="JS32" i="5" a="1"/>
  <c r="JS32" i="5" s="1"/>
  <c r="JS33" i="5" a="1"/>
  <c r="JS33" i="5" s="1"/>
  <c r="DP129" i="5" a="1"/>
  <c r="DP129" i="5" s="1"/>
  <c r="DP128" i="5" a="1"/>
  <c r="DP128" i="5" s="1"/>
  <c r="DP127" i="5" a="1"/>
  <c r="DP127" i="5" s="1"/>
  <c r="DP126" i="5" a="1"/>
  <c r="DP126" i="5" s="1"/>
  <c r="DP125" i="5" a="1"/>
  <c r="DP125" i="5" s="1"/>
  <c r="DP124" i="5" a="1"/>
  <c r="DP124" i="5" s="1"/>
  <c r="DP123" i="5" a="1"/>
  <c r="DP123" i="5" s="1"/>
  <c r="DP122" i="5" a="1"/>
  <c r="DP122" i="5" s="1"/>
  <c r="DP121" i="5" a="1"/>
  <c r="DP121" i="5" s="1"/>
  <c r="DP120" i="5" a="1"/>
  <c r="DP120" i="5" s="1"/>
  <c r="DP119" i="5" a="1"/>
  <c r="DP119" i="5" s="1"/>
  <c r="DP118" i="5" a="1"/>
  <c r="DP118" i="5" s="1"/>
  <c r="DP117" i="5" a="1"/>
  <c r="DP117" i="5" s="1"/>
  <c r="DP116" i="5" a="1"/>
  <c r="DP116" i="5" s="1"/>
  <c r="DP115" i="5" a="1"/>
  <c r="DP115" i="5" s="1"/>
  <c r="DP114" i="5" a="1"/>
  <c r="DP114" i="5" s="1"/>
  <c r="DP113" i="5" a="1"/>
  <c r="DP113" i="5" s="1"/>
  <c r="DP112" i="5" a="1"/>
  <c r="DP112" i="5" s="1"/>
  <c r="DP111" i="5" a="1"/>
  <c r="DP111" i="5" s="1"/>
  <c r="DP110" i="5" a="1"/>
  <c r="DP110" i="5" s="1"/>
  <c r="DP109" i="5" a="1"/>
  <c r="DP109" i="5" s="1"/>
  <c r="DP108" i="5" a="1"/>
  <c r="DP108" i="5" s="1"/>
  <c r="DP107" i="5" a="1"/>
  <c r="DP107" i="5" s="1"/>
  <c r="DP106" i="5" a="1"/>
  <c r="DP106" i="5" s="1"/>
  <c r="DP105" i="5" a="1"/>
  <c r="DP105" i="5" s="1"/>
  <c r="DP104" i="5" a="1"/>
  <c r="DP104" i="5" s="1"/>
  <c r="DP103" i="5" a="1"/>
  <c r="DP103" i="5" s="1"/>
  <c r="DP102" i="5" a="1"/>
  <c r="DP102" i="5" s="1"/>
  <c r="DP101" i="5" a="1"/>
  <c r="DP101" i="5" s="1"/>
  <c r="DP100" i="5" a="1"/>
  <c r="DP100" i="5" s="1"/>
  <c r="DO95" i="5"/>
  <c r="DO93" i="5"/>
  <c r="DO90" i="5"/>
  <c r="DO87" i="5"/>
  <c r="DO86" i="5"/>
  <c r="DO84" i="5"/>
  <c r="DO83" i="5"/>
  <c r="DO81" i="5"/>
  <c r="DO78" i="5"/>
  <c r="DO75" i="5"/>
  <c r="DO74" i="5"/>
  <c r="DO72" i="5"/>
  <c r="DO69" i="5"/>
  <c r="DO68" i="5"/>
  <c r="DO66" i="5"/>
  <c r="DO65" i="5"/>
  <c r="DO63" i="5"/>
  <c r="DO60" i="5"/>
  <c r="DO59" i="5"/>
  <c r="DO57" i="5"/>
  <c r="DO54" i="5"/>
  <c r="DO53" i="5"/>
  <c r="DO51" i="5"/>
  <c r="DO48" i="5"/>
  <c r="DO45" i="5"/>
  <c r="DO44" i="5"/>
  <c r="DO42" i="5"/>
  <c r="DO39" i="5"/>
  <c r="DO36" i="5"/>
  <c r="DO35" i="5"/>
  <c r="DO33" i="5"/>
  <c r="DO30" i="5"/>
  <c r="DO27" i="5"/>
  <c r="DO24" i="5"/>
  <c r="DO23" i="5"/>
  <c r="DO21" i="5"/>
  <c r="DO18" i="5"/>
  <c r="DO17" i="5"/>
  <c r="DO15" i="5"/>
  <c r="DO12" i="5"/>
  <c r="DO11" i="5"/>
  <c r="DO9" i="5"/>
  <c r="DO8" i="5"/>
  <c r="DO6" i="5"/>
  <c r="DO5" i="5"/>
  <c r="DO3" i="5"/>
  <c r="DO50" i="5"/>
  <c r="CL92" i="5"/>
  <c r="CV129" i="5" a="1"/>
  <c r="CV129" i="5" s="1"/>
  <c r="CI92" i="5"/>
  <c r="CW87" i="5"/>
  <c r="CV128" i="5" s="1" a="1"/>
  <c r="CV128" i="5" s="1"/>
  <c r="CV127" i="5" a="1"/>
  <c r="CV127" i="5" s="1"/>
  <c r="CH86" i="5"/>
  <c r="CV126" i="5" a="1"/>
  <c r="CV126" i="5" s="1"/>
  <c r="CI83" i="5"/>
  <c r="CV83" i="5" s="1"/>
  <c r="CV125" i="5" a="1"/>
  <c r="CV125" i="5" s="1"/>
  <c r="CL80" i="5"/>
  <c r="CK80" i="5"/>
  <c r="CW69" i="5"/>
  <c r="CW72" i="5" s="1"/>
  <c r="CL68" i="5"/>
  <c r="CV119" i="5" a="1"/>
  <c r="CV119" i="5" s="1"/>
  <c r="CV120" i="5" a="1"/>
  <c r="CV120" i="5" s="1"/>
  <c r="CV121" i="5" a="1"/>
  <c r="CV121" i="5" s="1"/>
  <c r="CI68" i="5"/>
  <c r="CI62" i="5"/>
  <c r="CV62" i="5" s="1"/>
  <c r="CV114" i="5" a="1"/>
  <c r="CV114" i="5" s="1"/>
  <c r="CV117" i="5" a="1"/>
  <c r="CV117" i="5" s="1"/>
  <c r="CV118" i="5" a="1"/>
  <c r="CV118" i="5" s="1"/>
  <c r="CK59" i="5"/>
  <c r="CW48" i="5"/>
  <c r="CW51" i="5" s="1"/>
  <c r="CV106" i="5" a="1"/>
  <c r="CV106" i="5" s="1"/>
  <c r="CV107" i="5" a="1"/>
  <c r="CV107" i="5" s="1"/>
  <c r="CV109" i="5" a="1"/>
  <c r="CV109" i="5" s="1"/>
  <c r="CV110" i="5" a="1"/>
  <c r="CV110" i="5" s="1"/>
  <c r="CV111" i="5" a="1"/>
  <c r="CV111" i="5" s="1"/>
  <c r="CR38" i="5"/>
  <c r="CQ38" i="5"/>
  <c r="CN38" i="5"/>
  <c r="CK38" i="5"/>
  <c r="CW27" i="5"/>
  <c r="CV108" i="5" s="1" a="1"/>
  <c r="CV108" i="5" s="1"/>
  <c r="CI32" i="5"/>
  <c r="CV32" i="5" s="1"/>
  <c r="CI26" i="5"/>
  <c r="CV26" i="5" s="1"/>
  <c r="CW39" i="5"/>
  <c r="CI41" i="5" s="1"/>
  <c r="CV41" i="5" s="1"/>
  <c r="CV105" i="5" a="1"/>
  <c r="CV105" i="5" s="1"/>
  <c r="CI20" i="5"/>
  <c r="CV20" i="5" s="1"/>
  <c r="JQ4" i="5" a="1"/>
  <c r="JQ4" i="5" s="1"/>
  <c r="JQ5" i="5" a="1"/>
  <c r="JQ5" i="5" s="1"/>
  <c r="JQ6" i="5" a="1"/>
  <c r="JQ6" i="5" s="1"/>
  <c r="JQ7" i="5" a="1"/>
  <c r="JQ7" i="5" s="1"/>
  <c r="JQ8" i="5" a="1"/>
  <c r="JQ8" i="5" s="1"/>
  <c r="JQ9" i="5" a="1"/>
  <c r="JQ9" i="5" s="1"/>
  <c r="JQ10" i="5" a="1"/>
  <c r="JQ10" i="5" s="1"/>
  <c r="JQ11" i="5" a="1"/>
  <c r="JQ11" i="5" s="1"/>
  <c r="JQ12" i="5" a="1"/>
  <c r="JQ12" i="5" s="1"/>
  <c r="JQ13" i="5" a="1"/>
  <c r="JQ13" i="5" s="1"/>
  <c r="JQ14" i="5" a="1"/>
  <c r="JQ14" i="5" s="1"/>
  <c r="JQ15" i="5" a="1"/>
  <c r="JQ15" i="5" s="1"/>
  <c r="JQ16" i="5" a="1"/>
  <c r="JQ16" i="5" s="1"/>
  <c r="JQ17" i="5" a="1"/>
  <c r="JQ17" i="5" s="1"/>
  <c r="JQ18" i="5" a="1"/>
  <c r="JQ18" i="5" s="1"/>
  <c r="JQ19" i="5" a="1"/>
  <c r="JQ19" i="5" s="1"/>
  <c r="JQ20" i="5" a="1"/>
  <c r="JQ20" i="5" s="1"/>
  <c r="JQ21" i="5" a="1"/>
  <c r="JQ21" i="5" s="1"/>
  <c r="JQ22" i="5" a="1"/>
  <c r="JQ22" i="5" s="1"/>
  <c r="JQ23" i="5" a="1"/>
  <c r="JQ23" i="5" s="1"/>
  <c r="JQ24" i="5" a="1"/>
  <c r="JQ24" i="5" s="1"/>
  <c r="JQ25" i="5" a="1"/>
  <c r="JQ25" i="5" s="1"/>
  <c r="JQ26" i="5" a="1"/>
  <c r="JQ26" i="5" s="1"/>
  <c r="JQ27" i="5" a="1"/>
  <c r="JQ27" i="5" s="1"/>
  <c r="JQ28" i="5" a="1"/>
  <c r="JQ28" i="5" s="1"/>
  <c r="JQ29" i="5" a="1"/>
  <c r="JQ29" i="5" s="1"/>
  <c r="JQ30" i="5" a="1"/>
  <c r="JQ30" i="5" s="1"/>
  <c r="JQ31" i="5" a="1"/>
  <c r="JQ31" i="5" s="1"/>
  <c r="JQ32" i="5" a="1"/>
  <c r="JQ32" i="5" s="1"/>
  <c r="JQ33" i="5" a="1"/>
  <c r="JQ33" i="5" s="1"/>
  <c r="JO3" i="5" a="1"/>
  <c r="JO3" i="5" s="1"/>
  <c r="CW15" i="5"/>
  <c r="CV104" i="5" s="1" a="1"/>
  <c r="CV104" i="5" s="1"/>
  <c r="CI14" i="5"/>
  <c r="CV14" i="5" s="1"/>
  <c r="CI11" i="5"/>
  <c r="CV11" i="5" s="1"/>
  <c r="CI8" i="5"/>
  <c r="CV8" i="5" s="1"/>
  <c r="CI5" i="5"/>
  <c r="CV5" i="5" s="1"/>
  <c r="CV95" i="5"/>
  <c r="CV93" i="5"/>
  <c r="CV89" i="5"/>
  <c r="CW130" i="5" a="1"/>
  <c r="CW130" i="5" s="1"/>
  <c r="CW129" i="5" a="1"/>
  <c r="CW129" i="5" s="1"/>
  <c r="CW128" i="5" a="1"/>
  <c r="CW128" i="5" s="1"/>
  <c r="CW127" i="5" a="1"/>
  <c r="CW127" i="5" s="1"/>
  <c r="CW126" i="5" a="1"/>
  <c r="CW126" i="5" s="1"/>
  <c r="CW125" i="5" a="1"/>
  <c r="CW125" i="5" s="1"/>
  <c r="CW124" i="5" a="1"/>
  <c r="CW124" i="5" s="1"/>
  <c r="CW123" i="5" a="1"/>
  <c r="CW123" i="5" s="1"/>
  <c r="CW122" i="5" a="1"/>
  <c r="CW122" i="5" s="1"/>
  <c r="CW121" i="5" a="1"/>
  <c r="CW121" i="5" s="1"/>
  <c r="CW120" i="5" a="1"/>
  <c r="CW120" i="5" s="1"/>
  <c r="CW119" i="5" a="1"/>
  <c r="CW119" i="5" s="1"/>
  <c r="CW118" i="5" a="1"/>
  <c r="CW118" i="5" s="1"/>
  <c r="CW117" i="5" a="1"/>
  <c r="CW117" i="5" s="1"/>
  <c r="CW116" i="5" a="1"/>
  <c r="CW116" i="5" s="1"/>
  <c r="CW115" i="5" a="1"/>
  <c r="CW115" i="5" s="1"/>
  <c r="CW114" i="5" a="1"/>
  <c r="CW114" i="5" s="1"/>
  <c r="CW113" i="5" a="1"/>
  <c r="CW113" i="5" s="1"/>
  <c r="CW112" i="5" a="1"/>
  <c r="CW112" i="5" s="1"/>
  <c r="CW111" i="5" a="1"/>
  <c r="CW111" i="5" s="1"/>
  <c r="CW110" i="5" a="1"/>
  <c r="CW110" i="5" s="1"/>
  <c r="CW109" i="5" a="1"/>
  <c r="CW109" i="5" s="1"/>
  <c r="CW108" i="5" a="1"/>
  <c r="CW108" i="5" s="1"/>
  <c r="CW107" i="5" a="1"/>
  <c r="CW107" i="5" s="1"/>
  <c r="CW106" i="5" a="1"/>
  <c r="CW106" i="5" s="1"/>
  <c r="CW105" i="5" a="1"/>
  <c r="CW105" i="5" s="1"/>
  <c r="CW104" i="5" a="1"/>
  <c r="CW104" i="5" s="1"/>
  <c r="CW103" i="5" a="1"/>
  <c r="CW103" i="5" s="1"/>
  <c r="CW102" i="5" a="1"/>
  <c r="CW102" i="5" s="1"/>
  <c r="CV102" i="5" a="1"/>
  <c r="CV102" i="5" s="1"/>
  <c r="CW101" i="5" a="1"/>
  <c r="CW101" i="5" s="1"/>
  <c r="CV101" i="5" a="1"/>
  <c r="CV101" i="5" s="1"/>
  <c r="CW100" i="5" a="1"/>
  <c r="CW100" i="5" s="1"/>
  <c r="CV100" i="5" a="1"/>
  <c r="CV100" i="5" s="1"/>
  <c r="CV90" i="5"/>
  <c r="CV87" i="5"/>
  <c r="CV84" i="5"/>
  <c r="CV81" i="5"/>
  <c r="CV78" i="5"/>
  <c r="CV77" i="5"/>
  <c r="CV75" i="5"/>
  <c r="CV74" i="5"/>
  <c r="CV72" i="5"/>
  <c r="CV69" i="5"/>
  <c r="CV66" i="5"/>
  <c r="CV63" i="5"/>
  <c r="CV60" i="5"/>
  <c r="CV57" i="5"/>
  <c r="CV56" i="5"/>
  <c r="CV54" i="5"/>
  <c r="CV53" i="5"/>
  <c r="CV51" i="5"/>
  <c r="CV48" i="5"/>
  <c r="CV47" i="5"/>
  <c r="CV45" i="5"/>
  <c r="CV44" i="5"/>
  <c r="CV42" i="5"/>
  <c r="CV39" i="5"/>
  <c r="CV36" i="5"/>
  <c r="CV33" i="5"/>
  <c r="CV30" i="5"/>
  <c r="CV27" i="5"/>
  <c r="CV24" i="5"/>
  <c r="CV21" i="5"/>
  <c r="CV18" i="5"/>
  <c r="CV15" i="5"/>
  <c r="CV103" i="5" a="1"/>
  <c r="CV103" i="5" s="1"/>
  <c r="CV12" i="5"/>
  <c r="CV9" i="5"/>
  <c r="CV6" i="5"/>
  <c r="CV3" i="5"/>
  <c r="CC125" i="5" a="1"/>
  <c r="CC125" i="5" s="1"/>
  <c r="CC126" i="5" a="1"/>
  <c r="CC126" i="5" s="1"/>
  <c r="CC127" i="5" a="1"/>
  <c r="CC127" i="5" s="1"/>
  <c r="CC128" i="5" a="1"/>
  <c r="CC128" i="5" s="1"/>
  <c r="CD90" i="5"/>
  <c r="CC129" i="5" s="1" a="1"/>
  <c r="CC129" i="5" s="1"/>
  <c r="BP89" i="5"/>
  <c r="CC89" i="5" s="1"/>
  <c r="BU86" i="5"/>
  <c r="BP86" i="5"/>
  <c r="BU83" i="5"/>
  <c r="BO83" i="5"/>
  <c r="BP80" i="5"/>
  <c r="CC80" i="5" s="1"/>
  <c r="CD75" i="5"/>
  <c r="CC123" i="5" a="1"/>
  <c r="CC123" i="5" s="1"/>
  <c r="BP74" i="5"/>
  <c r="CC74" i="5" s="1"/>
  <c r="CD69" i="5"/>
  <c r="CC122" i="5" s="1" a="1"/>
  <c r="CC122" i="5" s="1"/>
  <c r="CC121" i="5" a="1"/>
  <c r="CC121" i="5" s="1"/>
  <c r="BP68" i="5"/>
  <c r="CC68" i="5" s="1"/>
  <c r="BR65" i="5"/>
  <c r="CD63" i="5"/>
  <c r="CC120" i="5" s="1" a="1"/>
  <c r="CC120" i="5" s="1"/>
  <c r="BX65" i="5"/>
  <c r="BU65" i="5"/>
  <c r="BP65" i="5"/>
  <c r="CD60" i="5"/>
  <c r="CC119" i="5" s="1" a="1"/>
  <c r="CC119" i="5" s="1"/>
  <c r="CC118" i="5" a="1"/>
  <c r="CC118" i="5" s="1"/>
  <c r="BP59" i="5"/>
  <c r="CC59" i="5" s="1"/>
  <c r="CV23" i="5"/>
  <c r="CV29" i="5"/>
  <c r="CV65" i="5"/>
  <c r="CV17" i="5"/>
  <c r="CV35" i="5"/>
  <c r="CC117" i="5" a="1"/>
  <c r="CC117" i="5" s="1"/>
  <c r="BP56" i="5"/>
  <c r="CC115" i="5" a="1"/>
  <c r="CC115" i="5" s="1"/>
  <c r="CC116" i="5" a="1"/>
  <c r="CC116" i="5" s="1"/>
  <c r="BR50" i="5"/>
  <c r="BP53" i="5"/>
  <c r="CC53" i="5" s="1"/>
  <c r="CC114" i="5" a="1"/>
  <c r="CC114" i="5" s="1"/>
  <c r="CC113" i="5" a="1"/>
  <c r="CC113" i="5" s="1"/>
  <c r="BP47" i="5"/>
  <c r="CC47" i="5" s="1"/>
  <c r="BX44" i="5"/>
  <c r="BU44" i="5"/>
  <c r="BV44" i="5"/>
  <c r="BP44" i="5"/>
  <c r="BO41" i="5"/>
  <c r="BP41" i="5"/>
  <c r="BV41" i="5"/>
  <c r="CD36" i="5"/>
  <c r="CC111" i="5" s="1" a="1"/>
  <c r="CC111" i="5" s="1"/>
  <c r="CC112" i="5" a="1"/>
  <c r="CC112" i="5" s="1"/>
  <c r="BO35" i="5"/>
  <c r="BR35" i="5"/>
  <c r="BU35" i="5"/>
  <c r="CD30" i="5"/>
  <c r="CC109" i="5" s="1" a="1"/>
  <c r="CC109" i="5" s="1"/>
  <c r="BO29" i="5"/>
  <c r="BP29" i="5"/>
  <c r="BP26" i="5"/>
  <c r="CC26" i="5" s="1"/>
  <c r="CA23" i="5"/>
  <c r="BV17" i="5"/>
  <c r="BY23" i="5"/>
  <c r="BX17" i="5"/>
  <c r="BU17" i="5"/>
  <c r="BY17" i="5"/>
  <c r="BO17" i="5"/>
  <c r="CD12" i="5"/>
  <c r="CC103" i="5" s="1" a="1"/>
  <c r="CC103" i="5" s="1"/>
  <c r="JO4" i="5" a="1"/>
  <c r="JO4" i="5" s="1"/>
  <c r="JO5" i="5" a="1"/>
  <c r="JO5" i="5" s="1"/>
  <c r="JO6" i="5" a="1"/>
  <c r="JO6" i="5" s="1"/>
  <c r="JO7" i="5" a="1"/>
  <c r="JO7" i="5" s="1"/>
  <c r="JO8" i="5" a="1"/>
  <c r="JO8" i="5" s="1"/>
  <c r="JO9" i="5" a="1"/>
  <c r="JO9" i="5" s="1"/>
  <c r="JO10" i="5" a="1"/>
  <c r="JO10" i="5" s="1"/>
  <c r="JO11" i="5" a="1"/>
  <c r="JO11" i="5" s="1"/>
  <c r="JO12" i="5" a="1"/>
  <c r="JO12" i="5" s="1"/>
  <c r="JO13" i="5" a="1"/>
  <c r="JO13" i="5" s="1"/>
  <c r="JO14" i="5" a="1"/>
  <c r="JO14" i="5" s="1"/>
  <c r="JO15" i="5" a="1"/>
  <c r="JO15" i="5" s="1"/>
  <c r="JO16" i="5" a="1"/>
  <c r="JO16" i="5" s="1"/>
  <c r="JO17" i="5" a="1"/>
  <c r="JO17" i="5" s="1"/>
  <c r="JO18" i="5" a="1"/>
  <c r="JO18" i="5" s="1"/>
  <c r="JO19" i="5" a="1"/>
  <c r="JO19" i="5" s="1"/>
  <c r="JO20" i="5" a="1"/>
  <c r="JO20" i="5" s="1"/>
  <c r="JO21" i="5" a="1"/>
  <c r="JO21" i="5" s="1"/>
  <c r="JO22" i="5" a="1"/>
  <c r="JO22" i="5" s="1"/>
  <c r="JO23" i="5" a="1"/>
  <c r="JO23" i="5" s="1"/>
  <c r="JO24" i="5" a="1"/>
  <c r="JO24" i="5" s="1"/>
  <c r="JO25" i="5" a="1"/>
  <c r="JO25" i="5" s="1"/>
  <c r="JO26" i="5" a="1"/>
  <c r="JO26" i="5" s="1"/>
  <c r="JO27" i="5" a="1"/>
  <c r="JO27" i="5" s="1"/>
  <c r="JO28" i="5" a="1"/>
  <c r="JO28" i="5" s="1"/>
  <c r="JO29" i="5" a="1"/>
  <c r="JO29" i="5" s="1"/>
  <c r="JO30" i="5" a="1"/>
  <c r="JO30" i="5" s="1"/>
  <c r="JO31" i="5" a="1"/>
  <c r="JO31" i="5" s="1"/>
  <c r="JO32" i="5" a="1"/>
  <c r="JO32" i="5" s="1"/>
  <c r="JO33" i="5" a="1"/>
  <c r="JO33" i="5" s="1"/>
  <c r="BP11" i="5"/>
  <c r="CC11" i="5" s="1"/>
  <c r="JM3" i="5" a="1"/>
  <c r="JM3" i="5" s="1"/>
  <c r="BP5" i="5"/>
  <c r="CC5" i="5" s="1"/>
  <c r="CD130" i="5" a="1"/>
  <c r="CD130" i="5" s="1"/>
  <c r="CD129" i="5" a="1"/>
  <c r="CD129" i="5" s="1"/>
  <c r="CD128" i="5" a="1"/>
  <c r="CD128" i="5" s="1"/>
  <c r="CD127" i="5" a="1"/>
  <c r="CD127" i="5" s="1"/>
  <c r="CD126" i="5" a="1"/>
  <c r="CD126" i="5" s="1"/>
  <c r="CD125" i="5" a="1"/>
  <c r="CD125" i="5" s="1"/>
  <c r="CD124" i="5" a="1"/>
  <c r="CD124" i="5" s="1"/>
  <c r="CD123" i="5" a="1"/>
  <c r="CD123" i="5" s="1"/>
  <c r="CD122" i="5" a="1"/>
  <c r="CD122" i="5" s="1"/>
  <c r="CD121" i="5" a="1"/>
  <c r="CD121" i="5" s="1"/>
  <c r="CD120" i="5" a="1"/>
  <c r="CD120" i="5" s="1"/>
  <c r="CD119" i="5" a="1"/>
  <c r="CD119" i="5" s="1"/>
  <c r="CD118" i="5" a="1"/>
  <c r="CD118" i="5" s="1"/>
  <c r="CD117" i="5" a="1"/>
  <c r="CD117" i="5" s="1"/>
  <c r="CD116" i="5" a="1"/>
  <c r="CD116" i="5" s="1"/>
  <c r="CD115" i="5" a="1"/>
  <c r="CD115" i="5" s="1"/>
  <c r="CD114" i="5" a="1"/>
  <c r="CD114" i="5" s="1"/>
  <c r="CD113" i="5" a="1"/>
  <c r="CD113" i="5" s="1"/>
  <c r="CD112" i="5" a="1"/>
  <c r="CD112" i="5" s="1"/>
  <c r="CD111" i="5" a="1"/>
  <c r="CD111" i="5" s="1"/>
  <c r="CD110" i="5" a="1"/>
  <c r="CD110" i="5" s="1"/>
  <c r="CC110" i="5" a="1"/>
  <c r="CC110" i="5" s="1"/>
  <c r="CD109" i="5" a="1"/>
  <c r="CD109" i="5" s="1"/>
  <c r="CD108" i="5" a="1"/>
  <c r="CD108" i="5" s="1"/>
  <c r="CC108" i="5" a="1"/>
  <c r="CC108" i="5" s="1"/>
  <c r="CD107" i="5" a="1"/>
  <c r="CD107" i="5" s="1"/>
  <c r="CC107" i="5" a="1"/>
  <c r="CC107" i="5" s="1"/>
  <c r="CD106" i="5" a="1"/>
  <c r="CD106" i="5" s="1"/>
  <c r="CC106" i="5" a="1"/>
  <c r="CC106" i="5" s="1"/>
  <c r="CD105" i="5" a="1"/>
  <c r="CD105" i="5" s="1"/>
  <c r="CC105" i="5" a="1"/>
  <c r="CC105" i="5" s="1"/>
  <c r="CD104" i="5" a="1"/>
  <c r="CD104" i="5" s="1"/>
  <c r="CC104" i="5" a="1"/>
  <c r="CC104" i="5" s="1"/>
  <c r="CD103" i="5" a="1"/>
  <c r="CD103" i="5" s="1"/>
  <c r="CD102" i="5" a="1"/>
  <c r="CD102" i="5" s="1"/>
  <c r="CC102" i="5" a="1"/>
  <c r="CC102" i="5" s="1"/>
  <c r="CD101" i="5" a="1"/>
  <c r="CD101" i="5" s="1"/>
  <c r="CC101" i="5" a="1"/>
  <c r="CC101" i="5" s="1"/>
  <c r="CD100" i="5" a="1"/>
  <c r="CD100" i="5" s="1"/>
  <c r="CC100" i="5" a="1"/>
  <c r="CC100" i="5" s="1"/>
  <c r="CC95" i="5"/>
  <c r="CC93" i="5"/>
  <c r="CC92" i="5"/>
  <c r="CC90" i="5"/>
  <c r="CC87" i="5"/>
  <c r="CC84" i="5"/>
  <c r="CC81" i="5"/>
  <c r="CC78" i="5"/>
  <c r="CC77" i="5"/>
  <c r="CC75" i="5"/>
  <c r="CC72" i="5"/>
  <c r="CC71" i="5"/>
  <c r="CC69" i="5"/>
  <c r="CC66" i="5"/>
  <c r="CC63" i="5"/>
  <c r="CC62" i="5"/>
  <c r="CC60" i="5"/>
  <c r="CC57" i="5"/>
  <c r="CC54" i="5"/>
  <c r="CC51" i="5"/>
  <c r="CC48" i="5"/>
  <c r="CC45" i="5"/>
  <c r="CC42" i="5"/>
  <c r="CC39" i="5"/>
  <c r="CC38" i="5"/>
  <c r="CC36" i="5"/>
  <c r="CC33" i="5"/>
  <c r="CC32" i="5"/>
  <c r="CC30" i="5"/>
  <c r="CC27" i="5"/>
  <c r="CC24" i="5"/>
  <c r="CC21" i="5"/>
  <c r="CC20" i="5"/>
  <c r="CC18" i="5"/>
  <c r="CC15" i="5"/>
  <c r="CC14" i="5"/>
  <c r="CC12" i="5"/>
  <c r="CC9" i="5"/>
  <c r="CC6" i="5"/>
  <c r="CC3" i="5"/>
  <c r="BJ129" i="5" a="1"/>
  <c r="BJ129" i="5" s="1"/>
  <c r="BJ130" i="5" a="1"/>
  <c r="BJ130" i="5" s="1"/>
  <c r="BH89" i="5"/>
  <c r="AV89" i="5"/>
  <c r="AW86" i="5"/>
  <c r="BJ86" i="5" s="1"/>
  <c r="BK78" i="5"/>
  <c r="BJ125" i="5" s="1" a="1"/>
  <c r="BJ125" i="5" s="1"/>
  <c r="BC83" i="5"/>
  <c r="BJ83" i="5" s="1"/>
  <c r="X41" i="5" a="1"/>
  <c r="X41" i="5" s="1"/>
  <c r="X42" i="5" a="1"/>
  <c r="X42" i="5" s="1"/>
  <c r="X43" i="5" a="1"/>
  <c r="X43" i="5" s="1"/>
  <c r="X45" i="5" a="1"/>
  <c r="X45" i="5" s="1"/>
  <c r="X46" i="5" a="1"/>
  <c r="X46" i="5" s="1"/>
  <c r="X47" i="5" a="1"/>
  <c r="X47" i="5" s="1"/>
  <c r="X49" i="5" a="1"/>
  <c r="X49" i="5" s="1"/>
  <c r="X50" i="5" a="1"/>
  <c r="X50" i="5" s="1"/>
  <c r="Y50" i="5" a="1"/>
  <c r="Y50" i="5" s="1"/>
  <c r="Y48" i="5" a="1"/>
  <c r="Y48" i="5" s="1"/>
  <c r="Y49" i="5" a="1"/>
  <c r="Y49" i="5" s="1"/>
  <c r="Y41" i="5" a="1"/>
  <c r="Y41" i="5" s="1"/>
  <c r="Y42" i="5" a="1"/>
  <c r="Y42" i="5" s="1"/>
  <c r="Y43" i="5" a="1"/>
  <c r="Y43" i="5" s="1"/>
  <c r="Y44" i="5" a="1"/>
  <c r="Y44" i="5" s="1"/>
  <c r="Y45" i="5" a="1"/>
  <c r="Y45" i="5" s="1"/>
  <c r="Y46" i="5" a="1"/>
  <c r="Y46" i="5" s="1"/>
  <c r="Y47" i="5" a="1"/>
  <c r="Y47" i="5" s="1"/>
  <c r="Y40" i="5" a="1"/>
  <c r="Y40" i="5" s="1"/>
  <c r="X40" i="5" a="1"/>
  <c r="X40" i="5" s="1"/>
  <c r="AR92" i="5" a="1"/>
  <c r="AR92" i="5" s="1"/>
  <c r="AQ93" i="5" a="1"/>
  <c r="AQ93" i="5" s="1"/>
  <c r="AR93" i="5" a="1"/>
  <c r="AR93" i="5" s="1"/>
  <c r="AR94" i="5" a="1"/>
  <c r="AR94" i="5" s="1"/>
  <c r="AR95" i="5" a="1"/>
  <c r="AR95" i="5" s="1"/>
  <c r="AQ96" i="5" a="1"/>
  <c r="AQ96" i="5" s="1"/>
  <c r="AR96" i="5" a="1"/>
  <c r="AR96" i="5" s="1"/>
  <c r="AQ97" i="5" a="1"/>
  <c r="AQ97" i="5" s="1"/>
  <c r="AR97" i="5" a="1"/>
  <c r="AR97" i="5" s="1"/>
  <c r="AR98" i="5" a="1"/>
  <c r="AR98" i="5" s="1"/>
  <c r="AQ99" i="5" a="1"/>
  <c r="AQ99" i="5" s="1"/>
  <c r="AR99" i="5" a="1"/>
  <c r="AR99" i="5" s="1"/>
  <c r="AR100" i="5" a="1"/>
  <c r="AR100" i="5" s="1"/>
  <c r="AQ101" i="5" a="1"/>
  <c r="AQ101" i="5" s="1"/>
  <c r="AR101" i="5" a="1"/>
  <c r="AR101" i="5" s="1"/>
  <c r="AQ102" i="5" a="1"/>
  <c r="AQ102" i="5" s="1"/>
  <c r="AR102" i="5" a="1"/>
  <c r="AR102" i="5" s="1"/>
  <c r="AR103" i="5" a="1"/>
  <c r="AR103" i="5" s="1"/>
  <c r="AR104" i="5" a="1"/>
  <c r="AR104" i="5" s="1"/>
  <c r="AR105" i="5" a="1"/>
  <c r="AR105" i="5" s="1"/>
  <c r="AQ106" i="5" a="1"/>
  <c r="AQ106" i="5" s="1"/>
  <c r="AR106" i="5" a="1"/>
  <c r="AR106" i="5" s="1"/>
  <c r="AQ107" i="5" a="1"/>
  <c r="AQ107" i="5" s="1"/>
  <c r="AR107" i="5" a="1"/>
  <c r="AR107" i="5" s="1"/>
  <c r="AQ108" i="5" a="1"/>
  <c r="AQ108" i="5" s="1"/>
  <c r="AR108" i="5" a="1"/>
  <c r="AR108" i="5" s="1"/>
  <c r="AR109" i="5" a="1"/>
  <c r="AR109" i="5" s="1"/>
  <c r="AR110" i="5" a="1"/>
  <c r="AR110" i="5" s="1"/>
  <c r="AQ111" i="5" a="1"/>
  <c r="AQ111" i="5" s="1"/>
  <c r="AR111" i="5" a="1"/>
  <c r="AR111" i="5" s="1"/>
  <c r="AR112" i="5" a="1"/>
  <c r="AR112" i="5" s="1"/>
  <c r="AQ113" i="5" a="1"/>
  <c r="AQ113" i="5" s="1"/>
  <c r="AR113" i="5" a="1"/>
  <c r="AR113" i="5" s="1"/>
  <c r="AQ114" i="5" a="1"/>
  <c r="AQ114" i="5" s="1"/>
  <c r="AR114" i="5" a="1"/>
  <c r="AR114" i="5" s="1"/>
  <c r="AR115" i="5" a="1"/>
  <c r="AR115" i="5" s="1"/>
  <c r="AR116" i="5" a="1"/>
  <c r="AR116" i="5" s="1"/>
  <c r="AQ117" i="5" a="1"/>
  <c r="AQ117" i="5" s="1"/>
  <c r="AR117" i="5" a="1"/>
  <c r="AR117" i="5" s="1"/>
  <c r="AQ118" i="5" a="1"/>
  <c r="AQ118" i="5" s="1"/>
  <c r="AR118" i="5" a="1"/>
  <c r="AR118" i="5" s="1"/>
  <c r="AR91" i="5" a="1"/>
  <c r="AR91" i="5" s="1"/>
  <c r="BK101" i="5" a="1"/>
  <c r="BK101" i="5" s="1"/>
  <c r="BK102" i="5" a="1"/>
  <c r="BK102" i="5" s="1"/>
  <c r="BK103" i="5" a="1"/>
  <c r="BK103" i="5" s="1"/>
  <c r="BK104" i="5" a="1"/>
  <c r="BK104" i="5" s="1"/>
  <c r="BK105" i="5" a="1"/>
  <c r="BK105" i="5" s="1"/>
  <c r="BK106" i="5" a="1"/>
  <c r="BK106" i="5" s="1"/>
  <c r="BK107" i="5" a="1"/>
  <c r="BK107" i="5" s="1"/>
  <c r="BK108" i="5" a="1"/>
  <c r="BK108" i="5" s="1"/>
  <c r="BK109" i="5" a="1"/>
  <c r="BK109" i="5" s="1"/>
  <c r="BK110" i="5" a="1"/>
  <c r="BK110" i="5" s="1"/>
  <c r="BK111" i="5" a="1"/>
  <c r="BK111" i="5" s="1"/>
  <c r="BK112" i="5" a="1"/>
  <c r="BK112" i="5" s="1"/>
  <c r="BK113" i="5" a="1"/>
  <c r="BK113" i="5" s="1"/>
  <c r="BK114" i="5" a="1"/>
  <c r="BK114" i="5" s="1"/>
  <c r="BK115" i="5" a="1"/>
  <c r="BK115" i="5" s="1"/>
  <c r="BK116" i="5" a="1"/>
  <c r="BK116" i="5" s="1"/>
  <c r="BK117" i="5" a="1"/>
  <c r="BK117" i="5"/>
  <c r="BK118" i="5" a="1"/>
  <c r="BK118" i="5" s="1"/>
  <c r="BK119" i="5" a="1"/>
  <c r="BK119" i="5" s="1"/>
  <c r="BK120" i="5" a="1"/>
  <c r="BK120" i="5" s="1"/>
  <c r="BK121" i="5" a="1"/>
  <c r="BK121" i="5" s="1"/>
  <c r="BK122" i="5" a="1"/>
  <c r="BK122" i="5" s="1"/>
  <c r="BK123" i="5" a="1"/>
  <c r="BK123" i="5" s="1"/>
  <c r="BK124" i="5" a="1"/>
  <c r="BK124" i="5" s="1"/>
  <c r="BK125" i="5" a="1"/>
  <c r="BK125" i="5" s="1"/>
  <c r="BK126" i="5" a="1"/>
  <c r="BK126" i="5" s="1"/>
  <c r="BK127" i="5" a="1"/>
  <c r="BK127" i="5" s="1"/>
  <c r="BK128" i="5" a="1"/>
  <c r="BK128" i="5" s="1"/>
  <c r="BK129" i="5" a="1"/>
  <c r="BK129" i="5" s="1"/>
  <c r="BK130" i="5" a="1"/>
  <c r="BK130" i="5" s="1"/>
  <c r="BK100" i="5" a="1"/>
  <c r="BK100" i="5" s="1"/>
  <c r="BJ128" i="5" a="1"/>
  <c r="BJ128" i="5" s="1"/>
  <c r="BJ115" i="5" a="1"/>
  <c r="BJ115" i="5" s="1"/>
  <c r="BJ116" i="5" a="1"/>
  <c r="BJ116" i="5" s="1"/>
  <c r="BJ118" i="5" a="1"/>
  <c r="BJ118" i="5" s="1"/>
  <c r="BJ121" i="5" a="1"/>
  <c r="BJ121" i="5" s="1"/>
  <c r="BJ122" i="5" a="1"/>
  <c r="BJ122" i="5" s="1"/>
  <c r="BJ123" i="5" a="1"/>
  <c r="BJ123" i="5" s="1"/>
  <c r="BJ124" i="5" a="1"/>
  <c r="BJ124" i="5" s="1"/>
  <c r="BJ126" i="5" a="1"/>
  <c r="BJ126" i="5" s="1"/>
  <c r="BJ127" i="5" a="1"/>
  <c r="BJ127" i="5" s="1"/>
  <c r="BJ101" i="5" a="1"/>
  <c r="BJ101" i="5" s="1"/>
  <c r="BJ103" i="5" a="1"/>
  <c r="BJ103" i="5" s="1"/>
  <c r="BJ105" i="5" a="1"/>
  <c r="BJ105" i="5" s="1"/>
  <c r="BJ106" i="5" a="1"/>
  <c r="BJ106" i="5" s="1"/>
  <c r="BJ107" i="5" a="1"/>
  <c r="BJ107" i="5" s="1"/>
  <c r="BJ108" i="5" a="1"/>
  <c r="BJ108" i="5" s="1"/>
  <c r="BJ109" i="5" a="1"/>
  <c r="BJ109" i="5" s="1"/>
  <c r="BJ110" i="5" a="1"/>
  <c r="BJ110" i="5" s="1"/>
  <c r="BJ111" i="5" a="1"/>
  <c r="BJ111" i="5" s="1"/>
  <c r="BJ112" i="5" a="1"/>
  <c r="BJ112" i="5" s="1"/>
  <c r="BJ114" i="5" a="1"/>
  <c r="BJ114" i="5" s="1"/>
  <c r="BK3" i="5"/>
  <c r="BJ100" i="5" s="1" a="1"/>
  <c r="BJ100" i="5" s="1"/>
  <c r="BE74" i="5"/>
  <c r="BF74" i="5"/>
  <c r="AV74" i="5"/>
  <c r="AW77" i="5"/>
  <c r="BJ77" i="5" s="1"/>
  <c r="AV71" i="5"/>
  <c r="BJ71" i="5" s="1"/>
  <c r="AW68" i="5"/>
  <c r="BJ68" i="5" s="1"/>
  <c r="BK60" i="5"/>
  <c r="BK63" i="5" s="1"/>
  <c r="BJ120" i="5" s="1" a="1"/>
  <c r="BJ120" i="5" s="1"/>
  <c r="AW59" i="5"/>
  <c r="BJ59" i="5" s="1"/>
  <c r="BK54" i="5"/>
  <c r="BJ117" i="5" s="1" a="1"/>
  <c r="BJ117" i="5" s="1"/>
  <c r="AY50" i="5"/>
  <c r="BJ50" i="5" s="1"/>
  <c r="AW47" i="5"/>
  <c r="BJ47" i="5" s="1"/>
  <c r="BK42" i="5"/>
  <c r="BJ113" i="5" s="1" a="1"/>
  <c r="BJ113" i="5" s="1"/>
  <c r="BJ41" i="5"/>
  <c r="AW38" i="5"/>
  <c r="BJ38" i="5" s="1"/>
  <c r="AW35" i="5"/>
  <c r="AW32" i="5"/>
  <c r="BJ32" i="5" s="1"/>
  <c r="AW26" i="5"/>
  <c r="BJ26" i="5" s="1"/>
  <c r="AW20" i="5"/>
  <c r="BJ20" i="5" s="1"/>
  <c r="BK15" i="5"/>
  <c r="BJ104" i="5" s="1" a="1"/>
  <c r="BJ104" i="5" s="1"/>
  <c r="BK9" i="5"/>
  <c r="BJ102" i="5" s="1" a="1"/>
  <c r="BJ102" i="5" s="1"/>
  <c r="BF8" i="5"/>
  <c r="AW8" i="5"/>
  <c r="AG71" i="5"/>
  <c r="AQ71" i="5" s="1"/>
  <c r="JM4" i="5" a="1"/>
  <c r="JM4" i="5" s="1"/>
  <c r="JM5" i="5" a="1"/>
  <c r="JM5" i="5" s="1"/>
  <c r="JM6" i="5" a="1"/>
  <c r="JM6" i="5" s="1"/>
  <c r="JM7" i="5" a="1"/>
  <c r="JM7" i="5" s="1"/>
  <c r="JM8" i="5" a="1"/>
  <c r="JM8" i="5" s="1"/>
  <c r="JM9" i="5" a="1"/>
  <c r="JM9" i="5" s="1"/>
  <c r="JM10" i="5" a="1"/>
  <c r="JM10" i="5" s="1"/>
  <c r="JM11" i="5" a="1"/>
  <c r="JM11" i="5" s="1"/>
  <c r="JM12" i="5" a="1"/>
  <c r="JM12" i="5" s="1"/>
  <c r="JM13" i="5" a="1"/>
  <c r="JM13" i="5" s="1"/>
  <c r="JM14" i="5" a="1"/>
  <c r="JM14" i="5" s="1"/>
  <c r="JM15" i="5" a="1"/>
  <c r="JM15" i="5" s="1"/>
  <c r="JM16" i="5" a="1"/>
  <c r="JM16" i="5" s="1"/>
  <c r="JM17" i="5" a="1"/>
  <c r="JM17" i="5" s="1"/>
  <c r="JM18" i="5" a="1"/>
  <c r="JM18" i="5" s="1"/>
  <c r="JM19" i="5" a="1"/>
  <c r="JM19" i="5" s="1"/>
  <c r="JM20" i="5" a="1"/>
  <c r="JM20" i="5" s="1"/>
  <c r="JM21" i="5" a="1"/>
  <c r="JM21" i="5" s="1"/>
  <c r="JM22" i="5" a="1"/>
  <c r="JM22" i="5" s="1"/>
  <c r="JM23" i="5" a="1"/>
  <c r="JM23" i="5" s="1"/>
  <c r="JM24" i="5" a="1"/>
  <c r="JM24" i="5" s="1"/>
  <c r="JM25" i="5" a="1"/>
  <c r="JM25" i="5" s="1"/>
  <c r="JM26" i="5" a="1"/>
  <c r="JM26" i="5" s="1"/>
  <c r="JM27" i="5" a="1"/>
  <c r="JM27" i="5" s="1"/>
  <c r="JM28" i="5" a="1"/>
  <c r="JM28" i="5" s="1"/>
  <c r="JM29" i="5" a="1"/>
  <c r="JM29" i="5" s="1"/>
  <c r="JM30" i="5" a="1"/>
  <c r="JM30" i="5" s="1"/>
  <c r="JM31" i="5" a="1"/>
  <c r="JM31" i="5" s="1"/>
  <c r="JM32" i="5" a="1"/>
  <c r="JM32" i="5" s="1"/>
  <c r="JM33" i="5" a="1"/>
  <c r="JM33" i="5" s="1"/>
  <c r="BJ54" i="5"/>
  <c r="BJ87" i="5"/>
  <c r="BJ90" i="5"/>
  <c r="BJ92" i="5"/>
  <c r="BJ93" i="5"/>
  <c r="BJ95" i="5"/>
  <c r="BJ84" i="5"/>
  <c r="BJ81" i="5"/>
  <c r="BJ80" i="5"/>
  <c r="BJ78" i="5"/>
  <c r="BJ75" i="5"/>
  <c r="BJ72" i="5"/>
  <c r="BJ69" i="5"/>
  <c r="BJ66" i="5"/>
  <c r="BJ65" i="5"/>
  <c r="BJ63" i="5"/>
  <c r="BJ62" i="5"/>
  <c r="BJ60" i="5"/>
  <c r="BJ57" i="5"/>
  <c r="BJ51" i="5"/>
  <c r="BJ48" i="5"/>
  <c r="BJ45" i="5"/>
  <c r="BJ44" i="5"/>
  <c r="BJ42" i="5"/>
  <c r="BJ39" i="5"/>
  <c r="BJ36" i="5"/>
  <c r="BJ33" i="5"/>
  <c r="BJ30" i="5"/>
  <c r="BJ27" i="5"/>
  <c r="BJ24" i="5"/>
  <c r="BJ21" i="5"/>
  <c r="BJ18" i="5"/>
  <c r="BJ17" i="5"/>
  <c r="BJ15" i="5"/>
  <c r="BJ12" i="5"/>
  <c r="BJ9" i="5"/>
  <c r="BJ6" i="5"/>
  <c r="BJ5" i="5"/>
  <c r="BJ3" i="5"/>
  <c r="AD83" i="5"/>
  <c r="AQ83" i="5" s="1"/>
  <c r="BJ35" i="5"/>
  <c r="BJ29" i="5"/>
  <c r="BJ11" i="5"/>
  <c r="BJ56" i="5"/>
  <c r="BJ23" i="5"/>
  <c r="BJ53" i="5"/>
  <c r="AR75" i="5"/>
  <c r="AR78" i="5" s="1"/>
  <c r="AQ116" i="5" s="1" a="1"/>
  <c r="AQ116" i="5" s="1"/>
  <c r="AD74" i="5"/>
  <c r="AR66" i="5"/>
  <c r="AQ112" i="5" s="1" a="1"/>
  <c r="AQ112" i="5" s="1"/>
  <c r="Y36" i="5" a="1"/>
  <c r="Y36" i="5" s="1"/>
  <c r="AD65" i="5"/>
  <c r="AQ65" i="5" s="1"/>
  <c r="AR57" i="5"/>
  <c r="AR60" i="5" s="1"/>
  <c r="AQ110" i="5" s="1" a="1"/>
  <c r="AQ110" i="5" s="1"/>
  <c r="AG53" i="5"/>
  <c r="AQ53" i="5" s="1"/>
  <c r="AP50" i="5"/>
  <c r="AQ50" i="5" s="1"/>
  <c r="AR39" i="5"/>
  <c r="AR42" i="5" s="1"/>
  <c r="AM38" i="5"/>
  <c r="AP38" i="5"/>
  <c r="AM35" i="5"/>
  <c r="AQ35" i="5" s="1"/>
  <c r="AR30" i="5"/>
  <c r="AQ100" i="5" s="1" a="1"/>
  <c r="AQ100" i="5" s="1"/>
  <c r="AR24" i="5"/>
  <c r="AQ98" i="5" s="1" a="1"/>
  <c r="AQ98" i="5" s="1"/>
  <c r="AG23" i="5"/>
  <c r="AQ23" i="5" s="1"/>
  <c r="AD20" i="5"/>
  <c r="AQ20" i="5" s="1"/>
  <c r="AR12" i="5"/>
  <c r="AR15" i="5" s="1"/>
  <c r="AQ95" i="5" s="1" a="1"/>
  <c r="AQ95" i="5" s="1"/>
  <c r="AR3" i="5"/>
  <c r="AR6" i="5" s="1"/>
  <c r="AQ92" i="5" s="1" a="1"/>
  <c r="AQ92" i="5" s="1"/>
  <c r="AQ45" i="5"/>
  <c r="AQ48" i="5"/>
  <c r="AQ51" i="5"/>
  <c r="AQ54" i="5"/>
  <c r="AQ56" i="5"/>
  <c r="AQ57" i="5"/>
  <c r="AQ59" i="5"/>
  <c r="AQ60" i="5"/>
  <c r="AQ62" i="5"/>
  <c r="AQ63" i="5"/>
  <c r="AQ66" i="5"/>
  <c r="AQ68" i="5"/>
  <c r="AQ69" i="5"/>
  <c r="AQ72" i="5"/>
  <c r="AQ75" i="5"/>
  <c r="AQ77" i="5"/>
  <c r="AQ78" i="5"/>
  <c r="AQ80" i="5"/>
  <c r="AQ81" i="5"/>
  <c r="AQ84" i="5"/>
  <c r="AQ86" i="5"/>
  <c r="AQ36" i="5"/>
  <c r="AQ39" i="5"/>
  <c r="AQ41" i="5"/>
  <c r="AQ42" i="5"/>
  <c r="AQ44" i="5"/>
  <c r="AQ33" i="5"/>
  <c r="AQ32" i="5"/>
  <c r="AQ30" i="5"/>
  <c r="AQ27" i="5"/>
  <c r="AQ26" i="5"/>
  <c r="AQ24" i="5"/>
  <c r="AQ21" i="5"/>
  <c r="AQ18" i="5"/>
  <c r="AQ17" i="5"/>
  <c r="AQ15" i="5"/>
  <c r="AQ14" i="5"/>
  <c r="AQ12" i="5"/>
  <c r="AQ9" i="5"/>
  <c r="AQ8" i="5"/>
  <c r="AQ6" i="5"/>
  <c r="AQ5" i="5"/>
  <c r="AQ3" i="5"/>
  <c r="X30" i="5"/>
  <c r="Y27" i="5"/>
  <c r="X48" i="5" s="1" a="1"/>
  <c r="X48" i="5" s="1"/>
  <c r="AQ29" i="5"/>
  <c r="T26" i="5"/>
  <c r="Q26" i="5"/>
  <c r="AL39" i="4"/>
  <c r="Y15" i="5"/>
  <c r="X44" i="5" s="1" a="1"/>
  <c r="X44" i="5" s="1"/>
  <c r="X23" i="5"/>
  <c r="X8" i="5"/>
  <c r="X24" i="5"/>
  <c r="X27" i="5"/>
  <c r="X29" i="5"/>
  <c r="X32" i="5"/>
  <c r="X33" i="5"/>
  <c r="X3" i="5"/>
  <c r="X9" i="5"/>
  <c r="X6" i="5"/>
  <c r="X11" i="5"/>
  <c r="X12" i="5"/>
  <c r="X14" i="5"/>
  <c r="X15" i="5"/>
  <c r="X17" i="5"/>
  <c r="X18" i="5"/>
  <c r="X20" i="5"/>
  <c r="X21" i="5"/>
  <c r="N5" i="5"/>
  <c r="X5" i="5" s="1"/>
  <c r="AK38" i="4"/>
  <c r="AK39" i="4" s="1"/>
  <c r="AI38" i="4"/>
  <c r="AI39" i="4" s="1"/>
  <c r="AG38" i="4"/>
  <c r="AG39" i="4" s="1"/>
  <c r="AE38" i="4"/>
  <c r="AE39" i="4" s="1"/>
  <c r="AC38" i="4"/>
  <c r="AC39" i="4" s="1"/>
  <c r="AA38" i="4"/>
  <c r="AA39" i="4" s="1"/>
  <c r="Y38" i="4"/>
  <c r="Y39" i="4" s="1"/>
  <c r="S38" i="4"/>
  <c r="S39" i="4" s="1"/>
  <c r="W38" i="4"/>
  <c r="W39" i="4" s="1"/>
  <c r="U38" i="4"/>
  <c r="U39" i="4" s="1"/>
  <c r="Q38" i="4"/>
  <c r="Q39" i="4" s="1"/>
  <c r="O38" i="4"/>
  <c r="O39" i="4" s="1"/>
  <c r="M38" i="4"/>
  <c r="M39" i="4" s="1"/>
  <c r="K38" i="4"/>
  <c r="K39" i="4" s="1"/>
  <c r="I38" i="4"/>
  <c r="I39" i="4" s="1"/>
  <c r="D32" i="2"/>
  <c r="D30" i="2"/>
  <c r="D28" i="2"/>
  <c r="D26" i="2"/>
  <c r="D22" i="2"/>
  <c r="D19" i="2"/>
  <c r="D17" i="2"/>
  <c r="D12" i="2"/>
  <c r="D10" i="2"/>
  <c r="D8" i="2"/>
  <c r="D4" i="2"/>
  <c r="D6" i="2"/>
  <c r="FT35" i="5" l="1"/>
  <c r="CV59" i="5"/>
  <c r="JE96" i="5" a="1"/>
  <c r="JE96" i="5" s="1"/>
  <c r="AQ11" i="5"/>
  <c r="V547" i="8"/>
  <c r="V548" i="8" s="1"/>
  <c r="V208" i="8"/>
  <c r="V124" i="8"/>
  <c r="V177" i="8"/>
  <c r="V192" i="8"/>
  <c r="V107" i="8"/>
  <c r="V135" i="8"/>
  <c r="V147" i="8"/>
  <c r="V160" i="8"/>
  <c r="V30" i="8"/>
  <c r="B35" i="8"/>
  <c r="V17" i="8"/>
  <c r="IH110" i="5" a="1"/>
  <c r="IH110" i="5" s="1"/>
  <c r="II36" i="5"/>
  <c r="HR35" i="5"/>
  <c r="IH35" i="5" s="1"/>
  <c r="FT100" i="5" a="1"/>
  <c r="FT100" i="5" s="1"/>
  <c r="BY8" i="5"/>
  <c r="CC8" i="5" s="1"/>
  <c r="FA128" i="5" a="1"/>
  <c r="FA128" i="5" s="1"/>
  <c r="FA86" i="5"/>
  <c r="AQ74" i="5"/>
  <c r="CW42" i="5"/>
  <c r="CV113" i="5" s="1" a="1"/>
  <c r="CV113" i="5" s="1"/>
  <c r="CV68" i="5"/>
  <c r="GP110" i="5" a="1"/>
  <c r="GP110" i="5" s="1"/>
  <c r="GP109" i="5" a="1"/>
  <c r="GP109" i="5" s="1"/>
  <c r="HM6" i="5"/>
  <c r="HM9" i="5" s="1"/>
  <c r="HL102" i="5" s="1" a="1"/>
  <c r="HL102" i="5" s="1"/>
  <c r="GP95" i="5"/>
  <c r="IH47" i="5"/>
  <c r="JI34" i="5"/>
  <c r="JI35" i="5" s="1"/>
  <c r="AQ38" i="5"/>
  <c r="CV122" i="5" a="1"/>
  <c r="CV122" i="5" s="1"/>
  <c r="BP23" i="5"/>
  <c r="BV23" i="5"/>
  <c r="BY29" i="5"/>
  <c r="CC29" i="5" s="1"/>
  <c r="BP35" i="5"/>
  <c r="CB44" i="5"/>
  <c r="BY50" i="5"/>
  <c r="CC50" i="5" s="1"/>
  <c r="BV56" i="5"/>
  <c r="CC56" i="5" s="1"/>
  <c r="BV65" i="5"/>
  <c r="BV83" i="5"/>
  <c r="BV86" i="5"/>
  <c r="CV86" i="5"/>
  <c r="X26" i="5"/>
  <c r="X37" i="5" s="1"/>
  <c r="AQ94" i="5" a="1"/>
  <c r="AQ94" i="5" s="1"/>
  <c r="BP17" i="5"/>
  <c r="CC17" i="5" s="1"/>
  <c r="CB23" i="5"/>
  <c r="BV35" i="5"/>
  <c r="CV112" i="5" a="1"/>
  <c r="CV112" i="5" s="1"/>
  <c r="DO20" i="5"/>
  <c r="EH23" i="5"/>
  <c r="FA124" i="5" a="1"/>
  <c r="FA124" i="5" s="1"/>
  <c r="GP50" i="5"/>
  <c r="CC86" i="5"/>
  <c r="EH77" i="5"/>
  <c r="FA35" i="5"/>
  <c r="FT23" i="5"/>
  <c r="FT38" i="5"/>
  <c r="FT44" i="5"/>
  <c r="BK96" i="5" a="1"/>
  <c r="BK96" i="5" s="1"/>
  <c r="DO89" i="5"/>
  <c r="EH110" i="5" a="1"/>
  <c r="EH110" i="5" s="1"/>
  <c r="FA32" i="5"/>
  <c r="II3" i="5"/>
  <c r="IH100" i="5" s="1" a="1"/>
  <c r="IH100" i="5" s="1"/>
  <c r="CI71" i="5"/>
  <c r="CV71" i="5" s="1"/>
  <c r="EH101" i="5" a="1"/>
  <c r="EH101" i="5" s="1"/>
  <c r="DP51" i="5"/>
  <c r="DO116" i="5" s="1" a="1"/>
  <c r="DO116" i="5" s="1"/>
  <c r="EI60" i="5"/>
  <c r="EH119" i="5" s="1" a="1"/>
  <c r="EH119" i="5" s="1"/>
  <c r="EH65" i="5"/>
  <c r="FT8" i="5"/>
  <c r="FT26" i="5"/>
  <c r="HM96" i="5" a="1"/>
  <c r="HM96" i="5" s="1"/>
  <c r="HL129" i="5" a="1"/>
  <c r="HL129" i="5" s="1"/>
  <c r="V507" i="8"/>
  <c r="V508" i="8" s="1"/>
  <c r="V527" i="8"/>
  <c r="V528" i="8" s="1"/>
  <c r="T507" i="8"/>
  <c r="T508" i="8" s="1"/>
  <c r="T527" i="8"/>
  <c r="T528" i="8" s="1"/>
  <c r="CC44" i="5"/>
  <c r="EH41" i="5"/>
  <c r="EH96" i="5" s="1" a="1"/>
  <c r="EH96" i="5" s="1"/>
  <c r="FU75" i="5"/>
  <c r="FU96" i="5" s="1" a="1"/>
  <c r="FU96" i="5" s="1"/>
  <c r="FT86" i="5"/>
  <c r="IH23" i="5"/>
  <c r="AQ109" i="5" a="1"/>
  <c r="AQ109" i="5" s="1"/>
  <c r="X36" i="5"/>
  <c r="AQ115" i="5" a="1"/>
  <c r="AQ115" i="5" s="1"/>
  <c r="CD96" i="5" a="1"/>
  <c r="CD96" i="5" s="1"/>
  <c r="CV38" i="5"/>
  <c r="DP6" i="5"/>
  <c r="DO26" i="5"/>
  <c r="FB69" i="5"/>
  <c r="GP65" i="5"/>
  <c r="AQ91" i="5" a="1"/>
  <c r="AQ91" i="5" s="1"/>
  <c r="AQ103" i="5" a="1"/>
  <c r="AQ103" i="5" s="1"/>
  <c r="BJ8" i="5"/>
  <c r="CC41" i="5"/>
  <c r="CV80" i="5"/>
  <c r="CV92" i="5"/>
  <c r="FA74" i="5"/>
  <c r="GP41" i="5"/>
  <c r="GP80" i="5"/>
  <c r="GP83" i="5"/>
  <c r="EH113" i="5" a="1"/>
  <c r="EH113" i="5" s="1"/>
  <c r="EI45" i="5"/>
  <c r="EH114" i="5" s="1" a="1"/>
  <c r="EH114" i="5" s="1"/>
  <c r="BJ119" i="5" a="1"/>
  <c r="BJ119" i="5" s="1"/>
  <c r="BJ89" i="5"/>
  <c r="CC23" i="5"/>
  <c r="CC65" i="5"/>
  <c r="CC83" i="5"/>
  <c r="CV115" i="5" a="1"/>
  <c r="CV115" i="5" s="1"/>
  <c r="CV123" i="5" a="1"/>
  <c r="CV123" i="5" s="1"/>
  <c r="CW75" i="5"/>
  <c r="CV124" i="5" s="1" a="1"/>
  <c r="CV124" i="5" s="1"/>
  <c r="DO29" i="5"/>
  <c r="DO47" i="5"/>
  <c r="DP84" i="5"/>
  <c r="DO127" i="5" s="1" a="1"/>
  <c r="DO127" i="5" s="1"/>
  <c r="DO92" i="5"/>
  <c r="EI69" i="5"/>
  <c r="EH122" i="5" s="1" a="1"/>
  <c r="EH122" i="5" s="1"/>
  <c r="EH121" i="5" a="1"/>
  <c r="EH121" i="5" s="1"/>
  <c r="CC124" i="5" a="1"/>
  <c r="CC124" i="5" s="1"/>
  <c r="BJ74" i="5"/>
  <c r="JO34" i="5"/>
  <c r="JO35" i="5" s="1"/>
  <c r="IH20" i="5"/>
  <c r="IH96" i="5" s="1" a="1"/>
  <c r="IH96" i="5" s="1"/>
  <c r="IH26" i="5"/>
  <c r="FT65" i="5"/>
  <c r="FT68" i="5"/>
  <c r="GP59" i="5"/>
  <c r="GP68" i="5"/>
  <c r="GP92" i="5"/>
  <c r="HL26" i="5"/>
  <c r="FB9" i="5"/>
  <c r="FA102" i="5" s="1" a="1"/>
  <c r="FA102" i="5" s="1"/>
  <c r="FB21" i="5"/>
  <c r="FA106" i="5" s="1" a="1"/>
  <c r="FA106" i="5" s="1"/>
  <c r="GQ96" i="5" a="1"/>
  <c r="GQ96" i="5" s="1"/>
  <c r="FT59" i="5"/>
  <c r="HL119" i="5" a="1"/>
  <c r="HL119" i="5" s="1"/>
  <c r="HL50" i="5"/>
  <c r="HL89" i="5"/>
  <c r="IH130" i="5" a="1"/>
  <c r="IH130" i="5" s="1"/>
  <c r="JF3" i="5"/>
  <c r="JF96" i="5" s="1" a="1"/>
  <c r="JF96" i="5" s="1"/>
  <c r="HL56" i="5"/>
  <c r="V490" i="8"/>
  <c r="V491" i="8" s="1"/>
  <c r="V477" i="8"/>
  <c r="V478" i="8" s="1"/>
  <c r="V462" i="8"/>
  <c r="V463" i="8" s="1"/>
  <c r="T477" i="8"/>
  <c r="T478" i="8" s="1"/>
  <c r="T462" i="8"/>
  <c r="T463" i="8" s="1"/>
  <c r="T490" i="8"/>
  <c r="T491" i="8" s="1"/>
  <c r="V439" i="8"/>
  <c r="V440" i="8" s="1"/>
  <c r="V452" i="8"/>
  <c r="V453" i="8" s="1"/>
  <c r="T439" i="8"/>
  <c r="T440" i="8" s="1"/>
  <c r="T452" i="8"/>
  <c r="T453" i="8" s="1"/>
  <c r="V399" i="8"/>
  <c r="V400" i="8" s="1"/>
  <c r="V425" i="8"/>
  <c r="V426" i="8" s="1"/>
  <c r="V412" i="8"/>
  <c r="V413" i="8" s="1"/>
  <c r="T399" i="8"/>
  <c r="T400" i="8" s="1"/>
  <c r="T425" i="8"/>
  <c r="T426" i="8" s="1"/>
  <c r="T412" i="8"/>
  <c r="T413" i="8" s="1"/>
  <c r="W191" i="8"/>
  <c r="W159" i="8"/>
  <c r="W176" i="8"/>
  <c r="JE112" i="5" a="1"/>
  <c r="JE112" i="5" s="1"/>
  <c r="JQ34" i="5"/>
  <c r="JQ35" i="5" s="1"/>
  <c r="CV116" i="5" a="1"/>
  <c r="CV116" i="5" s="1"/>
  <c r="AR45" i="5"/>
  <c r="AQ104" i="5" a="1"/>
  <c r="AQ104" i="5" s="1"/>
  <c r="JM34" i="5"/>
  <c r="JM35" i="5" s="1"/>
  <c r="JS34" i="5"/>
  <c r="JS35" i="5" s="1"/>
  <c r="JU34" i="5"/>
  <c r="JU35" i="5" s="1"/>
  <c r="FT124" i="5" a="1"/>
  <c r="FT124" i="5" s="1"/>
  <c r="JK34" i="5"/>
  <c r="JK35" i="5" s="1"/>
  <c r="KA34" i="5"/>
  <c r="KA35" i="5" s="1"/>
  <c r="HL101" i="5" a="1"/>
  <c r="HL101" i="5" s="1"/>
  <c r="KC34" i="5"/>
  <c r="KC35" i="5" s="1"/>
  <c r="CU50" i="5"/>
  <c r="CV50" i="5" s="1"/>
  <c r="EH102" i="5" a="1"/>
  <c r="EH102" i="5" s="1"/>
  <c r="EH117" i="5" a="1"/>
  <c r="EH117" i="5" s="1"/>
  <c r="EH125" i="5" a="1"/>
  <c r="EH125" i="5" s="1"/>
  <c r="EI81" i="5"/>
  <c r="EH126" i="5" s="1" a="1"/>
  <c r="EH126" i="5" s="1"/>
  <c r="GP100" i="5" a="1"/>
  <c r="GP100" i="5" s="1"/>
  <c r="GQ6" i="5"/>
  <c r="EH97" i="5" a="1"/>
  <c r="EH97" i="5" s="1"/>
  <c r="DO14" i="5"/>
  <c r="FB96" i="5" a="1"/>
  <c r="FB96" i="5" s="1"/>
  <c r="FA116" i="5" a="1"/>
  <c r="FA116" i="5" s="1"/>
  <c r="JW34" i="5"/>
  <c r="JW35" i="5" s="1"/>
  <c r="JY34" i="5"/>
  <c r="JY35" i="5" s="1"/>
  <c r="GP17" i="5"/>
  <c r="HL29" i="5"/>
  <c r="HM84" i="5"/>
  <c r="HL127" i="5" s="1" a="1"/>
  <c r="HL127" i="5" s="1"/>
  <c r="HL126" i="5" a="1"/>
  <c r="HL126" i="5" s="1"/>
  <c r="KE34" i="5"/>
  <c r="KE35" i="5" s="1"/>
  <c r="HM18" i="5"/>
  <c r="HL71" i="5"/>
  <c r="HL68" i="5"/>
  <c r="U264" i="8"/>
  <c r="U400" i="8"/>
  <c r="U191" i="8"/>
  <c r="U193" i="8" s="1"/>
  <c r="U207" i="8"/>
  <c r="U209" i="8" s="1"/>
  <c r="U159" i="8"/>
  <c r="U161" i="8" s="1"/>
  <c r="U176" i="8"/>
  <c r="U178" i="8" s="1"/>
  <c r="X159" i="8"/>
  <c r="X176" i="8"/>
  <c r="X191" i="8"/>
  <c r="W207" i="8"/>
  <c r="T176" i="8"/>
  <c r="X146" i="8"/>
  <c r="T159" i="8"/>
  <c r="T191" i="8"/>
  <c r="X207" i="8"/>
  <c r="U146" i="8"/>
  <c r="U148" i="8" s="1"/>
  <c r="V159" i="8"/>
  <c r="V161" i="8" s="1"/>
  <c r="V176" i="8"/>
  <c r="V178" i="8" s="1"/>
  <c r="V191" i="8"/>
  <c r="V207" i="8"/>
  <c r="T207" i="8"/>
  <c r="V123" i="8"/>
  <c r="W134" i="8"/>
  <c r="T146" i="8"/>
  <c r="W123" i="8"/>
  <c r="T134" i="8"/>
  <c r="V146" i="8"/>
  <c r="V272" i="8"/>
  <c r="V273" i="8" s="1"/>
  <c r="V356" i="8"/>
  <c r="V357" i="8" s="1"/>
  <c r="V382" i="8"/>
  <c r="V383" i="8" s="1"/>
  <c r="V339" i="8"/>
  <c r="V340" i="8" s="1"/>
  <c r="V306" i="8"/>
  <c r="V307" i="8" s="1"/>
  <c r="V373" i="8"/>
  <c r="V374" i="8" s="1"/>
  <c r="V289" i="8"/>
  <c r="V290" i="8" s="1"/>
  <c r="V322" i="8"/>
  <c r="V323" i="8" s="1"/>
  <c r="U272" i="8"/>
  <c r="U273" i="8" s="1"/>
  <c r="U356" i="8"/>
  <c r="U357" i="8" s="1"/>
  <c r="U382" i="8"/>
  <c r="U383" i="8" s="1"/>
  <c r="U339" i="8"/>
  <c r="U340" i="8" s="1"/>
  <c r="U306" i="8"/>
  <c r="U307" i="8" s="1"/>
  <c r="U373" i="8"/>
  <c r="U374" i="8" s="1"/>
  <c r="U289" i="8"/>
  <c r="U290" i="8" s="1"/>
  <c r="U322" i="8"/>
  <c r="U323" i="8" s="1"/>
  <c r="T289" i="8"/>
  <c r="T290" i="8" s="1"/>
  <c r="T322" i="8"/>
  <c r="T323" i="8" s="1"/>
  <c r="T356" i="8"/>
  <c r="T357" i="8" s="1"/>
  <c r="T382" i="8"/>
  <c r="T383" i="8" s="1"/>
  <c r="T339" i="8"/>
  <c r="T340" i="8" s="1"/>
  <c r="T306" i="8"/>
  <c r="T307" i="8" s="1"/>
  <c r="T373" i="8"/>
  <c r="T374" i="8" s="1"/>
  <c r="T43" i="8"/>
  <c r="U16" i="8"/>
  <c r="U18" i="8" s="1"/>
  <c r="T106" i="8"/>
  <c r="X106" i="8"/>
  <c r="V106" i="8"/>
  <c r="T123" i="8"/>
  <c r="V264" i="8"/>
  <c r="V255" i="8"/>
  <c r="T272" i="8"/>
  <c r="T273" i="8" s="1"/>
  <c r="T255" i="8"/>
  <c r="T239" i="8"/>
  <c r="T135" i="8"/>
  <c r="T147" i="8"/>
  <c r="T44" i="8"/>
  <c r="B31" i="8"/>
  <c r="W547" i="8" s="1"/>
  <c r="W548" i="8" s="1"/>
  <c r="T160" i="8"/>
  <c r="T93" i="8"/>
  <c r="T60" i="8"/>
  <c r="B32" i="8"/>
  <c r="X547" i="8" s="1"/>
  <c r="X548" i="8" s="1"/>
  <c r="T224" i="8"/>
  <c r="T208" i="8"/>
  <c r="T77" i="8"/>
  <c r="T264" i="8"/>
  <c r="T30" i="8"/>
  <c r="T192" i="8"/>
  <c r="T107" i="8"/>
  <c r="T17" i="8"/>
  <c r="T177" i="8"/>
  <c r="T124" i="8"/>
  <c r="V134" i="8"/>
  <c r="X134" i="8"/>
  <c r="U123" i="8"/>
  <c r="U125" i="8" s="1"/>
  <c r="X59" i="8"/>
  <c r="T59" i="8"/>
  <c r="X43" i="8"/>
  <c r="U29" i="8"/>
  <c r="U31" i="8" s="1"/>
  <c r="W29" i="8"/>
  <c r="W16" i="8"/>
  <c r="U106" i="8"/>
  <c r="U108" i="8" s="1"/>
  <c r="W146" i="8"/>
  <c r="W43" i="8"/>
  <c r="U43" i="8"/>
  <c r="U45" i="8" s="1"/>
  <c r="T16" i="8"/>
  <c r="W106" i="8"/>
  <c r="X123" i="8"/>
  <c r="U134" i="8"/>
  <c r="U136" i="8" s="1"/>
  <c r="X76" i="8"/>
  <c r="V59" i="8"/>
  <c r="V61" i="8" s="1"/>
  <c r="V29" i="8"/>
  <c r="T254" i="8"/>
  <c r="T238" i="8"/>
  <c r="W223" i="8"/>
  <c r="V238" i="8"/>
  <c r="V240" i="8" s="1"/>
  <c r="W92" i="8"/>
  <c r="W76" i="8"/>
  <c r="W59" i="8"/>
  <c r="V92" i="8"/>
  <c r="V94" i="8" s="1"/>
  <c r="V76" i="8"/>
  <c r="V78" i="8" s="1"/>
  <c r="X254" i="8"/>
  <c r="V43" i="8"/>
  <c r="V45" i="8" s="1"/>
  <c r="V223" i="8"/>
  <c r="V225" i="8" s="1"/>
  <c r="X223" i="8"/>
  <c r="U254" i="8"/>
  <c r="U256" i="8" s="1"/>
  <c r="X238" i="8"/>
  <c r="T92" i="8"/>
  <c r="U223" i="8"/>
  <c r="U225" i="8" s="1"/>
  <c r="W238" i="8"/>
  <c r="X263" i="8"/>
  <c r="U92" i="8"/>
  <c r="U94" i="8" s="1"/>
  <c r="T76" i="8"/>
  <c r="X92" i="8"/>
  <c r="U76" i="8"/>
  <c r="U78" i="8" s="1"/>
  <c r="U59" i="8"/>
  <c r="U61" i="8" s="1"/>
  <c r="X29" i="8"/>
  <c r="T29" i="8"/>
  <c r="X16" i="8"/>
  <c r="V16" i="8"/>
  <c r="W263" i="8"/>
  <c r="U263" i="8"/>
  <c r="V254" i="8"/>
  <c r="V263" i="8"/>
  <c r="T263" i="8"/>
  <c r="T223" i="8"/>
  <c r="W254" i="8"/>
  <c r="U238" i="8"/>
  <c r="U240" i="8" s="1"/>
  <c r="V193" i="8" l="1"/>
  <c r="V256" i="8"/>
  <c r="V209" i="8"/>
  <c r="V125" i="8"/>
  <c r="CC35" i="5"/>
  <c r="V148" i="8"/>
  <c r="V108" i="8"/>
  <c r="V31" i="8"/>
  <c r="V136" i="8"/>
  <c r="V18" i="8"/>
  <c r="II39" i="5"/>
  <c r="IH111" i="5" a="1"/>
  <c r="IH111" i="5" s="1"/>
  <c r="GP96" i="5" a="1"/>
  <c r="GP96" i="5" s="1"/>
  <c r="FT97" i="5" a="1"/>
  <c r="FT97" i="5" s="1"/>
  <c r="FU78" i="5"/>
  <c r="IH97" i="5" a="1"/>
  <c r="IH97" i="5" s="1"/>
  <c r="DO96" i="5" a="1"/>
  <c r="DO96" i="5" s="1"/>
  <c r="CV96" i="5" a="1"/>
  <c r="CV96" i="5" s="1"/>
  <c r="BJ96" i="5" a="1"/>
  <c r="BJ96" i="5" s="1"/>
  <c r="DP96" i="5" a="1"/>
  <c r="DP96" i="5" s="1"/>
  <c r="CW96" i="5" a="1"/>
  <c r="CW96" i="5" s="1"/>
  <c r="FT96" i="5" a="1"/>
  <c r="FT96" i="5" s="1"/>
  <c r="X507" i="8"/>
  <c r="X508" i="8" s="1"/>
  <c r="X527" i="8"/>
  <c r="X528" i="8" s="1"/>
  <c r="W507" i="8"/>
  <c r="W508" i="8" s="1"/>
  <c r="W527" i="8"/>
  <c r="W528" i="8" s="1"/>
  <c r="HL96" i="5" a="1"/>
  <c r="HL96" i="5" s="1"/>
  <c r="GP97" i="5" a="1"/>
  <c r="GP97" i="5" s="1"/>
  <c r="DO101" i="5" a="1"/>
  <c r="DO101" i="5" s="1"/>
  <c r="DP9" i="5"/>
  <c r="DO102" i="5" s="1" a="1"/>
  <c r="DO102" i="5" s="1"/>
  <c r="EN71" i="5"/>
  <c r="EQ71" i="5"/>
  <c r="FA122" i="5" a="1"/>
  <c r="FA122" i="5" s="1"/>
  <c r="CC97" i="5" a="1"/>
  <c r="CC97" i="5" s="1"/>
  <c r="BJ97" i="5" a="1"/>
  <c r="BJ97" i="5" s="1"/>
  <c r="CC96" i="5" a="1"/>
  <c r="CC96" i="5" s="1"/>
  <c r="HL97" i="5" a="1"/>
  <c r="HL97" i="5" s="1"/>
  <c r="JE100" i="5" a="1"/>
  <c r="JE100" i="5" s="1"/>
  <c r="JF6" i="5"/>
  <c r="X477" i="8"/>
  <c r="X478" i="8" s="1"/>
  <c r="X462" i="8"/>
  <c r="X463" i="8" s="1"/>
  <c r="X490" i="8"/>
  <c r="X491" i="8" s="1"/>
  <c r="W462" i="8"/>
  <c r="W463" i="8" s="1"/>
  <c r="W490" i="8"/>
  <c r="W491" i="8" s="1"/>
  <c r="W477" i="8"/>
  <c r="W478" i="8" s="1"/>
  <c r="X439" i="8"/>
  <c r="X440" i="8" s="1"/>
  <c r="X452" i="8"/>
  <c r="X453" i="8" s="1"/>
  <c r="W439" i="8"/>
  <c r="W440" i="8" s="1"/>
  <c r="W452" i="8"/>
  <c r="W453" i="8" s="1"/>
  <c r="X399" i="8"/>
  <c r="X400" i="8" s="1"/>
  <c r="X425" i="8"/>
  <c r="X426" i="8" s="1"/>
  <c r="X412" i="8"/>
  <c r="X413" i="8" s="1"/>
  <c r="W399" i="8"/>
  <c r="W400" i="8" s="1"/>
  <c r="W425" i="8"/>
  <c r="W426" i="8" s="1"/>
  <c r="W412" i="8"/>
  <c r="W413" i="8" s="1"/>
  <c r="CV97" i="5" a="1"/>
  <c r="CV97" i="5" s="1"/>
  <c r="GQ9" i="5"/>
  <c r="GP102" i="5" s="1" a="1"/>
  <c r="GP102" i="5" s="1"/>
  <c r="GP101" i="5" a="1"/>
  <c r="GP101" i="5" s="1"/>
  <c r="AD47" i="5"/>
  <c r="AQ47" i="5" s="1"/>
  <c r="AR87" i="5" a="1"/>
  <c r="AR87" i="5" s="1"/>
  <c r="AQ105" i="5" a="1"/>
  <c r="AQ105" i="5" s="1"/>
  <c r="HL105" i="5" a="1"/>
  <c r="HL105" i="5" s="1"/>
  <c r="HM21" i="5"/>
  <c r="DO97" i="5" a="1"/>
  <c r="DO97" i="5" s="1"/>
  <c r="U265" i="8"/>
  <c r="T193" i="8"/>
  <c r="T178" i="8"/>
  <c r="T161" i="8"/>
  <c r="T209" i="8"/>
  <c r="T148" i="8"/>
  <c r="T108" i="8"/>
  <c r="T136" i="8"/>
  <c r="T125" i="8"/>
  <c r="X289" i="8"/>
  <c r="X290" i="8" s="1"/>
  <c r="X382" i="8"/>
  <c r="X383" i="8" s="1"/>
  <c r="X339" i="8"/>
  <c r="X340" i="8" s="1"/>
  <c r="X306" i="8"/>
  <c r="X307" i="8" s="1"/>
  <c r="X373" i="8"/>
  <c r="X374" i="8" s="1"/>
  <c r="X322" i="8"/>
  <c r="X323" i="8" s="1"/>
  <c r="X356" i="8"/>
  <c r="X357" i="8" s="1"/>
  <c r="W289" i="8"/>
  <c r="W290" i="8" s="1"/>
  <c r="W382" i="8"/>
  <c r="W383" i="8" s="1"/>
  <c r="W339" i="8"/>
  <c r="W340" i="8" s="1"/>
  <c r="W306" i="8"/>
  <c r="W307" i="8" s="1"/>
  <c r="W373" i="8"/>
  <c r="W374" i="8" s="1"/>
  <c r="W322" i="8"/>
  <c r="W323" i="8" s="1"/>
  <c r="W356" i="8"/>
  <c r="W357" i="8" s="1"/>
  <c r="T45" i="8"/>
  <c r="II96" i="5" a="1"/>
  <c r="II96" i="5" s="1"/>
  <c r="V265" i="8"/>
  <c r="T265" i="8"/>
  <c r="T31" i="8"/>
  <c r="T18" i="8"/>
  <c r="T94" i="8"/>
  <c r="T225" i="8"/>
  <c r="T240" i="8"/>
  <c r="W272" i="8"/>
  <c r="W273" i="8" s="1"/>
  <c r="W177" i="8"/>
  <c r="W178" i="8" s="1"/>
  <c r="W44" i="8"/>
  <c r="W45" i="8" s="1"/>
  <c r="W160" i="8"/>
  <c r="W161" i="8" s="1"/>
  <c r="W93" i="8"/>
  <c r="W94" i="8" s="1"/>
  <c r="W264" i="8"/>
  <c r="W265" i="8" s="1"/>
  <c r="W147" i="8"/>
  <c r="W148" i="8" s="1"/>
  <c r="B36" i="8"/>
  <c r="B37" i="8" s="1"/>
  <c r="W255" i="8"/>
  <c r="W256" i="8" s="1"/>
  <c r="W239" i="8"/>
  <c r="W240" i="8" s="1"/>
  <c r="W135" i="8"/>
  <c r="W136" i="8" s="1"/>
  <c r="W107" i="8"/>
  <c r="W108" i="8" s="1"/>
  <c r="W30" i="8"/>
  <c r="W31" i="8" s="1"/>
  <c r="W208" i="8"/>
  <c r="W209" i="8" s="1"/>
  <c r="W60" i="8"/>
  <c r="W61" i="8" s="1"/>
  <c r="W224" i="8"/>
  <c r="W225" i="8" s="1"/>
  <c r="W192" i="8"/>
  <c r="W193" i="8" s="1"/>
  <c r="W77" i="8"/>
  <c r="W78" i="8" s="1"/>
  <c r="W124" i="8"/>
  <c r="W125" i="8" s="1"/>
  <c r="W17" i="8"/>
  <c r="W18" i="8" s="1"/>
  <c r="T78" i="8"/>
  <c r="X272" i="8"/>
  <c r="X273" i="8" s="1"/>
  <c r="X135" i="8"/>
  <c r="X136" i="8" s="1"/>
  <c r="X77" i="8"/>
  <c r="X78" i="8" s="1"/>
  <c r="X107" i="8"/>
  <c r="X108" i="8" s="1"/>
  <c r="X30" i="8"/>
  <c r="X31" i="8" s="1"/>
  <c r="X192" i="8"/>
  <c r="X193" i="8" s="1"/>
  <c r="X124" i="8"/>
  <c r="X125" i="8" s="1"/>
  <c r="X264" i="8"/>
  <c r="X265" i="8" s="1"/>
  <c r="X255" i="8"/>
  <c r="X256" i="8" s="1"/>
  <c r="X239" i="8"/>
  <c r="X240" i="8" s="1"/>
  <c r="X17" i="8"/>
  <c r="X18" i="8" s="1"/>
  <c r="X177" i="8"/>
  <c r="X178" i="8" s="1"/>
  <c r="X44" i="8"/>
  <c r="X45" i="8" s="1"/>
  <c r="X160" i="8"/>
  <c r="X161" i="8" s="1"/>
  <c r="X93" i="8"/>
  <c r="X94" i="8" s="1"/>
  <c r="X224" i="8"/>
  <c r="X225" i="8" s="1"/>
  <c r="X208" i="8"/>
  <c r="X209" i="8" s="1"/>
  <c r="X147" i="8"/>
  <c r="X148" i="8" s="1"/>
  <c r="X60" i="8"/>
  <c r="X61" i="8" s="1"/>
  <c r="T256" i="8"/>
  <c r="T61" i="8"/>
  <c r="IH112" i="5" l="1" a="1"/>
  <c r="IH112" i="5" s="1"/>
  <c r="II42" i="5"/>
  <c r="IH113" i="5" s="1" a="1"/>
  <c r="IH113" i="5" s="1"/>
  <c r="FU81" i="5"/>
  <c r="FT126" i="5" s="1" a="1"/>
  <c r="FT126" i="5" s="1"/>
  <c r="FT125" i="5" a="1"/>
  <c r="FT125" i="5" s="1"/>
  <c r="FA71" i="5"/>
  <c r="JF9" i="5"/>
  <c r="JE101" i="5" a="1"/>
  <c r="JE101" i="5" s="1"/>
  <c r="AQ88" i="5" a="1"/>
  <c r="AQ88" i="5" s="1"/>
  <c r="AQ87" i="5" a="1"/>
  <c r="AQ87" i="5" s="1"/>
  <c r="JI96" i="5"/>
  <c r="HL106" i="5" a="1"/>
  <c r="HL106" i="5" s="1"/>
  <c r="HM24" i="5"/>
  <c r="HL107" i="5" s="1" a="1"/>
  <c r="HL107" i="5" s="1"/>
  <c r="FA97" i="5" l="1" a="1"/>
  <c r="FA97" i="5" s="1"/>
  <c r="FA96" i="5" a="1"/>
  <c r="FA96" i="5" s="1"/>
  <c r="JF12" i="5"/>
  <c r="JE103" i="5" s="1" a="1"/>
  <c r="JE103" i="5" s="1"/>
  <c r="JE102" i="5" a="1"/>
  <c r="JE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Nate River</author>
  </authors>
  <commentList>
    <comment ref="E308" authorId="0" shapeId="0" xr:uid="{9CF51E5B-FE74-415B-9BFA-CAB2EC286DB0}">
      <text>
        <r>
          <rPr>
            <b/>
            <sz val="9"/>
            <color indexed="81"/>
            <rFont val="Tahoma"/>
            <family val="2"/>
          </rPr>
          <t>Nate River:</t>
        </r>
        <r>
          <rPr>
            <sz val="9"/>
            <color indexed="81"/>
            <rFont val="Tahoma"/>
            <family val="2"/>
          </rPr>
          <t xml:space="preserve">
2.5kg minced chicken breast + 1kg Aro frozen mixed veg (peas/corn/carrot 1:1:1) + 800g Agnesi Arrabbiata sauce. Cook chicken through, add veg and sauce, mix well.</t>
        </r>
      </text>
    </comment>
    <comment ref="E309" authorId="0" shapeId="0" xr:uid="{68F8FF4E-B691-4C51-8CDC-FC73357C18ED}">
      <text>
        <r>
          <rPr>
            <b/>
            <sz val="9"/>
            <color indexed="81"/>
            <rFont val="Tahoma"/>
            <family val="2"/>
          </rPr>
          <t>Nate River:</t>
        </r>
        <r>
          <rPr>
            <sz val="9"/>
            <color indexed="81"/>
            <rFont val="Tahoma"/>
            <family val="2"/>
          </rPr>
          <t xml:space="preserve">
2.5kg minced chicken breast + 1kg Aro frozen mixed veg (peas/corn/carrot 1:1:1). Cook chicken through, add ve, mix well.</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Alex Kim</author>
    <author>Nate River</author>
  </authors>
  <commentList>
    <comment ref="D3" authorId="0" shapeId="0" xr:uid="{79852F6E-0C82-4E77-A0EF-5A8BBEA32B53}">
      <text>
        <r>
          <rPr>
            <b/>
            <sz val="9"/>
            <color indexed="81"/>
            <rFont val="Tahoma"/>
            <family val="2"/>
          </rPr>
          <t>Alex Kim:</t>
        </r>
        <r>
          <rPr>
            <sz val="9"/>
            <color indexed="81"/>
            <rFont val="Tahoma"/>
            <family val="2"/>
          </rPr>
          <t xml:space="preserve">
Watch Conan Episode O with Aom, but coulding get the special event ticket so I ordered it from Shopee (ETOA 03-4/03/26).</t>
        </r>
      </text>
    </comment>
    <comment ref="F4" authorId="0" shapeId="0" xr:uid="{366EFD06-A004-4482-B413-14430E56A33A}">
      <text>
        <r>
          <rPr>
            <b/>
            <sz val="9"/>
            <color indexed="81"/>
            <rFont val="Tahoma"/>
            <family val="2"/>
          </rPr>
          <t>Alex Kim:</t>
        </r>
        <r>
          <rPr>
            <sz val="9"/>
            <color indexed="81"/>
            <rFont val="Tahoma"/>
            <family val="2"/>
          </rPr>
          <t xml:space="preserve">
Watched Conan Movie 29 with Aom, got the special event ticket!</t>
        </r>
      </text>
    </comment>
    <comment ref="D9" authorId="1" shapeId="0" xr:uid="{6FA7AF34-52B8-4FCB-89D5-C4CC040A5E4B}">
      <text>
        <r>
          <rPr>
            <b/>
            <sz val="9"/>
            <color indexed="81"/>
            <rFont val="Tahoma"/>
            <family val="2"/>
          </rPr>
          <t>Nate River:</t>
        </r>
        <r>
          <rPr>
            <sz val="9"/>
            <color indexed="81"/>
            <rFont val="Tahoma"/>
            <family val="2"/>
          </rPr>
          <t xml:space="preserve">
Aom surprise arrival to the condo!</t>
        </r>
      </text>
    </comment>
    <comment ref="D10" authorId="1" shapeId="0" xr:uid="{3814E311-2E69-4470-B689-C3CABC199E7B}">
      <text>
        <r>
          <rPr>
            <b/>
            <sz val="9"/>
            <color indexed="81"/>
            <rFont val="Tahoma"/>
            <family val="2"/>
          </rPr>
          <t>Nate River:</t>
        </r>
        <r>
          <rPr>
            <sz val="9"/>
            <color indexed="81"/>
            <rFont val="Tahoma"/>
            <family val="2"/>
          </rPr>
          <t xml:space="preserve">
Date with Aom when great (complete homework, plant, food, dessert)!</t>
        </r>
      </text>
    </comment>
    <comment ref="C21" authorId="0" shapeId="0" xr:uid="{BB79C355-F89F-48BB-9739-97F3BDB2D480}">
      <text>
        <r>
          <rPr>
            <b/>
            <sz val="9"/>
            <color indexed="81"/>
            <rFont val="Tahoma"/>
            <family val="2"/>
          </rPr>
          <t>Alex Kim:</t>
        </r>
        <r>
          <rPr>
            <sz val="9"/>
            <color indexed="81"/>
            <rFont val="Tahoma"/>
            <family val="2"/>
          </rPr>
          <t xml:space="preserve">
19/02/26 — Date with Aom at the Ayutthaya Annual Fair
Overall mood: B
The day started on a high note (A+) enjoying the fair together, but a negative mindset crept in during the afternoon (D), bringing the overall experience down to an average of B.</t>
        </r>
      </text>
    </comment>
    <comment ref="C28" authorId="0" shapeId="0" xr:uid="{E5362586-27B3-4B6B-9186-99CDD51FBFF2}">
      <text>
        <r>
          <rPr>
            <b/>
            <sz val="9"/>
            <color indexed="81"/>
            <rFont val="Tahoma"/>
            <family val="2"/>
          </rPr>
          <t>Alex Kim:
Sick but still able to do my job (preparing Lebrex 200 lot RD11025002 v.4)</t>
        </r>
      </text>
    </comment>
    <comment ref="D30" authorId="0" shapeId="0" xr:uid="{737259A2-147C-40A5-B7C6-6167F0BF1FDF}">
      <text>
        <r>
          <rPr>
            <b/>
            <sz val="9"/>
            <color indexed="81"/>
            <rFont val="Tahoma"/>
            <family val="2"/>
          </rPr>
          <t>Alex Kim:</t>
        </r>
        <r>
          <rPr>
            <sz val="9"/>
            <color indexed="81"/>
            <rFont val="Tahoma"/>
            <family val="2"/>
          </rPr>
          <t xml:space="preserve">
Went to Japanese Village date with Aom</t>
        </r>
      </text>
    </comment>
    <comment ref="D32" authorId="0" shapeId="0" xr:uid="{504BD104-C351-43A3-92F6-550CE0A358B6}">
      <text>
        <r>
          <rPr>
            <b/>
            <sz val="9"/>
            <color indexed="81"/>
            <rFont val="Tahoma"/>
            <family val="2"/>
          </rPr>
          <t xml:space="preserve">Alex Kim:
</t>
        </r>
        <r>
          <rPr>
            <sz val="9"/>
            <color indexed="81"/>
            <rFont val="Tahoma"/>
            <family val="2"/>
          </rPr>
          <t>Car won't start but Aom came to the rescue!</t>
        </r>
      </text>
    </comment>
    <comment ref="D33" authorId="1" shapeId="0" xr:uid="{321DD22C-0491-4173-BFE9-448F93573EBA}">
      <text>
        <r>
          <rPr>
            <b/>
            <sz val="9"/>
            <color indexed="81"/>
            <rFont val="Tahoma"/>
            <family val="2"/>
          </rPr>
          <t>Nate River:</t>
        </r>
        <r>
          <rPr>
            <sz val="9"/>
            <color indexed="81"/>
            <rFont val="Tahoma"/>
            <family val="2"/>
          </rPr>
          <t xml:space="preserve">
Car fixed!</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GetUSDAFoodData" description="Connection to the 'GetUSDAFoodData' query in the workbook." type="5" refreshedVersion="0" background="1">
    <dbPr connection="Provider=Microsoft.Mashup.OleDb.1;Data Source=$Workbook$;Location=GetUSDAFoodData;Extended Properties=&quot;&quot;" command="SELECT * FROM [GetUSDAFoodData]"/>
  </connection>
  <connection id="2" xr16:uid="{00000000-0015-0000-FFFF-FFFF01000000}" keepAlive="1" name="Query - Query1" description="Connection to the 'Query1' query in the workbook." type="5" refreshedVersion="0" background="1">
    <dbPr connection="Provider=Microsoft.Mashup.OleDb.1;Data Source=$Workbook$;Location=Query1;Extended Properties=&quot;&quot;" command="SELECT * FROM [Query1]"/>
  </connection>
  <connection id="3" xr16:uid="{00000000-0015-0000-FFFF-FFFF02000000}" keepAlive="1" name="Query - Table2" description="Connection to the 'Table2' query in the workbook." type="5" refreshedVersion="8" background="1" saveData="1">
    <dbPr connection="Provider=Microsoft.Mashup.OleDb.1;Data Source=$Workbook$;Location=Table2;Extended Properties=&quot;&quot;" command="SELECT * FROM [Table2]"/>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<sst xmlns="http://schemas.openxmlformats.org/spreadsheetml/2006/main" count="24503" uniqueCount="1120">
  <si>
    <t>Month</t>
  </si>
  <si>
    <t>Date</t>
  </si>
  <si>
    <t>Activity</t>
  </si>
  <si>
    <t>Name</t>
  </si>
  <si>
    <t>Weight (kg)</t>
  </si>
  <si>
    <t>Sets</t>
  </si>
  <si>
    <t>Reps</t>
  </si>
  <si>
    <t>July</t>
  </si>
  <si>
    <t>Walking Steps</t>
  </si>
  <si>
    <t>-</t>
  </si>
  <si>
    <t>Dumbell Curls</t>
  </si>
  <si>
    <t>Grip strength</t>
  </si>
  <si>
    <t>45/45</t>
  </si>
  <si>
    <t>Dumbbell Overhead Press</t>
  </si>
  <si>
    <t>Hammer Curl</t>
  </si>
  <si>
    <t>Dumbell Press</t>
  </si>
  <si>
    <t>Dumbell Shrugs</t>
  </si>
  <si>
    <t>Push Ups</t>
  </si>
  <si>
    <t>August</t>
  </si>
  <si>
    <t>September</t>
  </si>
  <si>
    <t>Squats</t>
  </si>
  <si>
    <t>October</t>
  </si>
  <si>
    <t>Body Weight</t>
  </si>
  <si>
    <t>Diamond Push Ups</t>
  </si>
  <si>
    <t>Chest/Shoulders</t>
  </si>
  <si>
    <t>Protonated Grip Dumbell Press</t>
  </si>
  <si>
    <t>Neutral Grip Dumbell Press</t>
  </si>
  <si>
    <t>Dumbell Chest Fly</t>
  </si>
  <si>
    <t>Bi/Triceps/Legs</t>
  </si>
  <si>
    <t>Monday</t>
  </si>
  <si>
    <t>Tuesday</t>
  </si>
  <si>
    <t>Wednesday</t>
  </si>
  <si>
    <t>Thursday</t>
  </si>
  <si>
    <t>Friday</t>
  </si>
  <si>
    <t>Saturday</t>
  </si>
  <si>
    <t>Sunday</t>
  </si>
  <si>
    <t>REST</t>
  </si>
  <si>
    <t>Back/Shoulders/Legs</t>
  </si>
  <si>
    <t>Barbell Bent Over Row</t>
  </si>
  <si>
    <t>Underhand Barbell Bent Over Row</t>
  </si>
  <si>
    <t>Conventional Deadlift</t>
  </si>
  <si>
    <t>Barbell Shrug</t>
  </si>
  <si>
    <t>Schedule</t>
  </si>
  <si>
    <t>Body Part</t>
  </si>
  <si>
    <t>November</t>
  </si>
  <si>
    <t>December</t>
  </si>
  <si>
    <t>January</t>
  </si>
  <si>
    <t>February</t>
  </si>
  <si>
    <t>March</t>
  </si>
  <si>
    <t>April</t>
  </si>
  <si>
    <t>May</t>
  </si>
  <si>
    <t>June</t>
  </si>
  <si>
    <t>Trained?</t>
  </si>
  <si>
    <t>❌</t>
  </si>
  <si>
    <t>✔</t>
  </si>
  <si>
    <t>Total</t>
  </si>
  <si>
    <t>Day</t>
  </si>
  <si>
    <t>No.</t>
  </si>
  <si>
    <t>Exercise</t>
  </si>
  <si>
    <t>Set</t>
  </si>
  <si>
    <t xml:space="preserve"> Reps</t>
  </si>
  <si>
    <t>Workout</t>
  </si>
  <si>
    <t>Weight
(kg)</t>
  </si>
  <si>
    <t>Full Body</t>
  </si>
  <si>
    <t>Smith Machine Deadlifts</t>
  </si>
  <si>
    <t>pound</t>
  </si>
  <si>
    <t>kg</t>
  </si>
  <si>
    <t>Dumbbell Chest Press</t>
  </si>
  <si>
    <t>Leg Extension</t>
  </si>
  <si>
    <t>Smith Machine Squats</t>
  </si>
  <si>
    <t>Threadmill</t>
  </si>
  <si>
    <t>Dumbbell Romanian Deadlift</t>
  </si>
  <si>
    <t>Lat Pulldown Machine</t>
  </si>
  <si>
    <t>Rep</t>
  </si>
  <si>
    <t>Dumbbell Bicep Curl to Shoulder Press</t>
  </si>
  <si>
    <t>Elliptical</t>
  </si>
  <si>
    <t>15 mins</t>
  </si>
  <si>
    <t>Dumbbell Deadlifts</t>
  </si>
  <si>
    <t>Cross Body Hammer Curl</t>
  </si>
  <si>
    <t>Dumbbel Chest Fly</t>
  </si>
  <si>
    <t>Dumbell Shoulder Press</t>
  </si>
  <si>
    <t>Dumbell Lateral Raise</t>
  </si>
  <si>
    <t>Cable Triceps Pushdowns</t>
  </si>
  <si>
    <t>Seated Squat Row</t>
  </si>
  <si>
    <t>Seated Dumbell Bicep Curl</t>
  </si>
  <si>
    <t>Crunch</t>
  </si>
  <si>
    <t>Barbell Bicep Curl</t>
  </si>
  <si>
    <t>Barbell Overhead Press</t>
  </si>
  <si>
    <t>Barbell Seated Wrist Extenstion</t>
  </si>
  <si>
    <t>Chest Press Machine</t>
  </si>
  <si>
    <t>Pull (Back, Biceps)</t>
  </si>
  <si>
    <t>Dumbbell Row</t>
  </si>
  <si>
    <t>Dumbbell Bicep Curl</t>
  </si>
  <si>
    <t>Dumbbel Incline Chest Press</t>
  </si>
  <si>
    <t>Seated Dumbbell Shoulder Press</t>
  </si>
  <si>
    <t>Bayesian Cable Curls</t>
  </si>
  <si>
    <t>Standing Cable Row</t>
  </si>
  <si>
    <t>Bench Bicep Curl</t>
  </si>
  <si>
    <t>Legs and Core</t>
  </si>
  <si>
    <t>Leg Extension Machine</t>
  </si>
  <si>
    <t>Eliptical</t>
  </si>
  <si>
    <t>Squat Row</t>
  </si>
  <si>
    <t>Cable Fly Crossover</t>
  </si>
  <si>
    <t>Back Extension</t>
  </si>
  <si>
    <t>Zottaman Curl</t>
  </si>
  <si>
    <t>Dumbell Bicep Curl</t>
  </si>
  <si>
    <t>Seated Palms Up Wrist Curl</t>
  </si>
  <si>
    <t>Sit-Up Bench Decline Crunches</t>
  </si>
  <si>
    <t>Upper Body (Chest, Back, Shoulders)</t>
  </si>
  <si>
    <t>Smith Machine Incline Press</t>
  </si>
  <si>
    <t>Cable Twist</t>
  </si>
  <si>
    <t>Dumbbell Squat</t>
  </si>
  <si>
    <t>Dumbbell Shoulder Press</t>
  </si>
  <si>
    <t>Dumbbell Skullcrusher</t>
  </si>
  <si>
    <t>Dumbbell Lateral Raise</t>
  </si>
  <si>
    <t>Tricep Pushdown</t>
  </si>
  <si>
    <t>Incline Bench Press (Smith Machine)</t>
  </si>
  <si>
    <t>Dumbbell Flyes</t>
  </si>
  <si>
    <t>Dumbbell Shrugs</t>
  </si>
  <si>
    <t>Dumbbel Chest Press</t>
  </si>
  <si>
    <t>Dumbbel Flys</t>
  </si>
  <si>
    <t xml:space="preserve"> </t>
  </si>
  <si>
    <t>Batminton</t>
  </si>
  <si>
    <t>Cable Bicep Curl</t>
  </si>
  <si>
    <t>Push (Chest, Shoulders, Triceps)</t>
  </si>
  <si>
    <t>Smith Machine Shoulder Press</t>
  </si>
  <si>
    <t>Dumbbell Lateral Raises</t>
  </si>
  <si>
    <t>Cable Chest Press</t>
  </si>
  <si>
    <t>Seated Dumbell Curl</t>
  </si>
  <si>
    <t>Face Pull</t>
  </si>
  <si>
    <t>Seated Dumbbell Hammer Curls</t>
  </si>
  <si>
    <t>Smith Machine Incline Bench Press</t>
  </si>
  <si>
    <t>Sit-Up Bench Crunches</t>
  </si>
  <si>
    <t>Dumbbell Hammer Curl</t>
  </si>
  <si>
    <t>Tricep Rope Pulldown</t>
  </si>
  <si>
    <t>Total Workout</t>
  </si>
  <si>
    <t>Total Weight (kg)</t>
  </si>
  <si>
    <t>Weight</t>
  </si>
  <si>
    <t>Pull</t>
  </si>
  <si>
    <t>Dumbbel Shoulder Press</t>
  </si>
  <si>
    <t>Endurance</t>
  </si>
  <si>
    <t>Push (2)</t>
  </si>
  <si>
    <t>Legs /Core</t>
  </si>
  <si>
    <t>Push (1)</t>
  </si>
  <si>
    <t>Walk</t>
  </si>
  <si>
    <t>Seated Dumbell Hammer Curl</t>
  </si>
  <si>
    <t>Cable Fly Crossovers</t>
  </si>
  <si>
    <t>Pull Up</t>
  </si>
  <si>
    <t>Seated Dumbbell Bicep Curl</t>
  </si>
  <si>
    <t>Zottman Curl</t>
  </si>
  <si>
    <t>Smith Machine Bench Press</t>
  </si>
  <si>
    <t>Running</t>
  </si>
  <si>
    <t>Cycling</t>
  </si>
  <si>
    <t>Dumbell Bench Press</t>
  </si>
  <si>
    <t>Seated Wrist Extenstion</t>
  </si>
  <si>
    <t>Dumbbel Bicep Curl</t>
  </si>
  <si>
    <t>Smith Machine Squat</t>
  </si>
  <si>
    <t>(Cross Body) Hammer Curl</t>
  </si>
  <si>
    <t>DAILY NUTRITION TRACKER</t>
  </si>
  <si>
    <t>PART 1: PERSONAL SETTINGS</t>
  </si>
  <si>
    <t>PART 2: FOOD DATABASE</t>
  </si>
  <si>
    <t>PART 3: DAILY FOOD LOG</t>
  </si>
  <si>
    <t>Fitness Calculator</t>
  </si>
  <si>
    <t>Food Item</t>
  </si>
  <si>
    <t>Serving</t>
  </si>
  <si>
    <t>Unit</t>
  </si>
  <si>
    <t>Calories (kcal)</t>
  </si>
  <si>
    <t>Protein (g)</t>
  </si>
  <si>
    <t>Fat (g)</t>
  </si>
  <si>
    <t>Carbs (g)</t>
  </si>
  <si>
    <t>Fiber (g)</t>
  </si>
  <si>
    <t>Time</t>
  </si>
  <si>
    <t>Meal</t>
  </si>
  <si>
    <t>Notes</t>
  </si>
  <si>
    <t>Input Section</t>
  </si>
  <si>
    <t>Your Data</t>
  </si>
  <si>
    <t>Chicken Breast (cooked)</t>
  </si>
  <si>
    <t>g</t>
  </si>
  <si>
    <t>Breakfast</t>
  </si>
  <si>
    <t xml:space="preserve">Sunshine Dairy High Protein (Chocolate) </t>
  </si>
  <si>
    <t>White Rice (cooked)</t>
  </si>
  <si>
    <t>Whole Wheat Bread</t>
  </si>
  <si>
    <t>Age</t>
  </si>
  <si>
    <t>Years</t>
  </si>
  <si>
    <t>slice</t>
  </si>
  <si>
    <t>Lunch</t>
  </si>
  <si>
    <t>Height</t>
  </si>
  <si>
    <t>cm</t>
  </si>
  <si>
    <t>Yolida Greek Yogurt</t>
  </si>
  <si>
    <t>Broccoli (steamed)</t>
  </si>
  <si>
    <t>Orange</t>
  </si>
  <si>
    <t>Gender</t>
  </si>
  <si>
    <t>M</t>
  </si>
  <si>
    <t>(M/F)</t>
  </si>
  <si>
    <t>Egg Whites</t>
  </si>
  <si>
    <t>cup</t>
  </si>
  <si>
    <t>Activity Level</t>
  </si>
  <si>
    <t>1-3 times/week</t>
  </si>
  <si>
    <t>Sweet Potato</t>
  </si>
  <si>
    <t>Dinner</t>
  </si>
  <si>
    <t>Goal</t>
  </si>
  <si>
    <t>Weight Loss</t>
  </si>
  <si>
    <t>Chia Seeds</t>
  </si>
  <si>
    <t>tbsp</t>
  </si>
  <si>
    <t>Caroline Fresh Cream Cheese (1 tbsp)</t>
  </si>
  <si>
    <t>Activity Level Options</t>
  </si>
  <si>
    <t>Multiplier</t>
  </si>
  <si>
    <t>FITSOY Protein</t>
  </si>
  <si>
    <t>scoop</t>
  </si>
  <si>
    <t>Psyllium Husk</t>
  </si>
  <si>
    <t>No exercise</t>
  </si>
  <si>
    <t>medium</t>
  </si>
  <si>
    <t>Malee Coco (350 mL)</t>
  </si>
  <si>
    <t>bottle</t>
  </si>
  <si>
    <t>Cadbury Dairy Milk with Oreo (12.5g)</t>
  </si>
  <si>
    <t>4-5 times/week</t>
  </si>
  <si>
    <t>HooRay! Protein Shake (Plain)</t>
  </si>
  <si>
    <t>TOTALS:</t>
  </si>
  <si>
    <t>6-7 times/week</t>
  </si>
  <si>
    <t>Coca-Cola Zero</t>
  </si>
  <si>
    <t>TARGETS:</t>
  </si>
  <si>
    <t>2 times/day</t>
  </si>
  <si>
    <t>DIFFERENCE:</t>
  </si>
  <si>
    <t>Goal Options</t>
  </si>
  <si>
    <t>Calorie Adjustment</t>
  </si>
  <si>
    <t>Alli Cottage Cheese (1/4 cup)</t>
  </si>
  <si>
    <t>kcal</t>
  </si>
  <si>
    <t>bar</t>
  </si>
  <si>
    <t>Maintenance</t>
  </si>
  <si>
    <t>กะเพราไก่ (Basil Chicken)</t>
  </si>
  <si>
    <t>Muscle Gain</t>
  </si>
  <si>
    <t>ต้มเล้งแซ่บกระดูกหมู (Spicy Pork Bone Soup)</t>
  </si>
  <si>
    <t>Calculated Metrics</t>
  </si>
  <si>
    <t>Formula</t>
  </si>
  <si>
    <t>Mackerel in Tomato Sauce Roza (155g)</t>
  </si>
  <si>
    <t>can</t>
  </si>
  <si>
    <t>BMI</t>
  </si>
  <si>
    <r>
      <t>kg/m</t>
    </r>
    <r>
      <rPr>
        <vertAlign val="superscript"/>
        <sz val="12"/>
        <rFont val="Aptos"/>
        <family val="2"/>
      </rPr>
      <t>2</t>
    </r>
  </si>
  <si>
    <t>large plate</t>
  </si>
  <si>
    <t>BMR</t>
  </si>
  <si>
    <t>ไข่ดาว (Fried Egg)</t>
  </si>
  <si>
    <t>egg</t>
  </si>
  <si>
    <t>TDEE</t>
  </si>
  <si>
    <t>ข้าวมันไก่ (Chicken Rice)</t>
  </si>
  <si>
    <t>Daily Calorie Target</t>
  </si>
  <si>
    <t>large bowl</t>
  </si>
  <si>
    <t>Macro Targets (Daily)</t>
  </si>
  <si>
    <t>ก่วยเตี๋ยวไก่ (Chicken Noodle Soup)</t>
  </si>
  <si>
    <t>Protein</t>
  </si>
  <si>
    <t>Red Apple (medium)</t>
  </si>
  <si>
    <t>Fat</t>
  </si>
  <si>
    <t>Yellow Kiwi (medium)</t>
  </si>
  <si>
    <t>Carbs</t>
  </si>
  <si>
    <t>Green Kiwi (medium)</t>
  </si>
  <si>
    <t>Fiber</t>
  </si>
  <si>
    <t>Ginzy Blended Chicken Shake (The Original)</t>
  </si>
  <si>
    <t>Calorie Breakdown</t>
  </si>
  <si>
    <t>Calculation</t>
  </si>
  <si>
    <t>Krispy Kreme Original Glazed Doughnut</t>
  </si>
  <si>
    <t>doughnut</t>
  </si>
  <si>
    <t>From Protein</t>
  </si>
  <si>
    <t>ไก่ย่างแดง (Grilled Red Chicken Skewer)</t>
  </si>
  <si>
    <t>stick</t>
  </si>
  <si>
    <t>From Fat</t>
  </si>
  <si>
    <t>หมูปิ้ง (Grilled Pork Skewer)</t>
  </si>
  <si>
    <t>From Carbs</t>
  </si>
  <si>
    <t>สุกี้น้ำหมู</t>
  </si>
  <si>
    <t>medium bowl</t>
  </si>
  <si>
    <t>Ice Cream (65 g)</t>
  </si>
  <si>
    <t>Black Coffee (240 mL)</t>
  </si>
  <si>
    <t>ต้มยำน้ำใส</t>
  </si>
  <si>
    <t>ไข่เจียว (2-3 eggs)</t>
  </si>
  <si>
    <t>whole</t>
  </si>
  <si>
    <t>Sticky Rice (150 g cooked)</t>
  </si>
  <si>
    <t>medium bag</t>
  </si>
  <si>
    <t>กล้วยทอด (Fried Banana)</t>
  </si>
  <si>
    <t>piece</t>
  </si>
  <si>
    <t>ปาปริกา (Potato Snack)</t>
  </si>
  <si>
    <t>small bag</t>
  </si>
  <si>
    <t>ชมพู่ (Wax Apple)</t>
  </si>
  <si>
    <t>Jolli Bears</t>
  </si>
  <si>
    <t>pieces</t>
  </si>
  <si>
    <t>พะแนงไก่ใส่มะเขือพวง</t>
  </si>
  <si>
    <t>bowl</t>
  </si>
  <si>
    <t>Lindt Nocciolatte (35 g)</t>
  </si>
  <si>
    <t>Snickers (51 g)</t>
  </si>
  <si>
    <t>Aro Fish Chip (ปลาทิพย์)</t>
  </si>
  <si>
    <t>Ezygo Chicken Steak Burger</t>
  </si>
  <si>
    <t>burger</t>
  </si>
  <si>
    <t>Snack</t>
  </si>
  <si>
    <t>Primaham Skewered Frank Cheese Sausage</t>
  </si>
  <si>
    <t>Ezygo Hot Gimbap Roll with Bulgogi Pork</t>
  </si>
  <si>
    <t>Cadbury Dairy Milk Bubbly Milk Choc (46g)</t>
  </si>
  <si>
    <t>Betagen Pro (300 mL)</t>
  </si>
  <si>
    <t>Euro Copp Sky Cereals (70 g)</t>
  </si>
  <si>
    <t>Proten High Protein Chocolate (350 mL)</t>
  </si>
  <si>
    <t>กล้วยน้ำว้า (Kluai Namwa Banana)</t>
  </si>
  <si>
    <t>มาม่า รสหมูสับ (60 g)</t>
  </si>
  <si>
    <t>pack</t>
  </si>
  <si>
    <t>Pocky Strawberry Flavour (9 g)</t>
  </si>
  <si>
    <t>HoorRay! Protein Shake Chocolate (340 mL)</t>
  </si>
  <si>
    <t>Alfie Chocolate Flavour (31 g)</t>
  </si>
  <si>
    <t>หมูกระทะ (Moo Krata / Thai BBQ Hotpot)</t>
  </si>
  <si>
    <t>order</t>
  </si>
  <si>
    <t>Beer (Regular Lager)</t>
  </si>
  <si>
    <t>glass</t>
  </si>
  <si>
    <t>Pringles Potato Chisps Cheesy Cheese (42 g)</t>
  </si>
  <si>
    <t>Pineapple (bite-size)</t>
  </si>
  <si>
    <t>KFC Wings Zabb Spicy</t>
  </si>
  <si>
    <t>Gourmet Thai x Butterbear Lookkai Rice Cracker with Spicy Pork Floss (175 g)</t>
  </si>
  <si>
    <t xml:space="preserve">Swensen Belgian Chocolate and Black Forest </t>
  </si>
  <si>
    <t>set</t>
  </si>
  <si>
    <t>Pizza Hut Meat Lover's (Large 14")</t>
  </si>
  <si>
    <t>Grill Cheese with Ham and Egg</t>
  </si>
  <si>
    <t>sandwich</t>
  </si>
  <si>
    <t>McDonald's Quarter Pounder with Cheese</t>
  </si>
  <si>
    <t>McDonald's World Famous Fries (Large)</t>
  </si>
  <si>
    <t>double bars</t>
  </si>
  <si>
    <t>McDonald's Coca-Cola (Large)</t>
  </si>
  <si>
    <t>Cup</t>
  </si>
  <si>
    <t>Nature Valley Crunchy Oats &amp; Dark Chocolate (42 g)</t>
  </si>
  <si>
    <t>Pepperidge Farm Captiva Dark Chocolate (31 g)</t>
  </si>
  <si>
    <t>cookie</t>
  </si>
  <si>
    <t>Snickers Oat Dark Chocolate Bar (38 g)</t>
  </si>
  <si>
    <t>Kleens Chic Shake Plus+ Mixed Fruit (350 mL)</t>
  </si>
  <si>
    <t>Scrabble Egg and Ham</t>
  </si>
  <si>
    <t>Strawberry</t>
  </si>
  <si>
    <t>strawberry</t>
  </si>
  <si>
    <t>คอหมูย่าง (Grilled Pork Collar)</t>
  </si>
  <si>
    <t>หมูสามชั้นชุบแป้งทอด (Breaded Deep-Fried Pork Belly)</t>
  </si>
  <si>
    <t>ข้าวเหนียวดำ (Black Sticky Rice)</t>
  </si>
  <si>
    <t>Swensen Ice Cream Mini Quart Chocolate with Brownie Chunks</t>
  </si>
  <si>
    <t>Cottage Pie</t>
  </si>
  <si>
    <t>Mr Beast Feastables Peanut Butter (35 g)</t>
  </si>
  <si>
    <t>Pepperidge Farm Double Chocolate Nantucket (220 g)</t>
  </si>
  <si>
    <t>ตับหวาน (Sweet Liver)</t>
  </si>
  <si>
    <t>ไส้อั่ว (Sai Ua)</t>
  </si>
  <si>
    <t>ไก่ทอดหาดใหญ่ (Hat Yai Fried Chicken)</t>
  </si>
  <si>
    <t>Mom's Sandwich</t>
  </si>
  <si>
    <t>Lay's Rock Original Flavor (48 g)</t>
  </si>
  <si>
    <t>bag</t>
  </si>
  <si>
    <t>Dairy Dough Daifuku Chocolate Dubai</t>
  </si>
  <si>
    <t>daifuku</t>
  </si>
  <si>
    <t>Lindt Nocci Noir Chocolate Bar</t>
  </si>
  <si>
    <t>Rebisco ChocoMuncho Dark Chocolate (22 g)</t>
  </si>
  <si>
    <t>Wall Royale Cornetto Chocoluv (88 g)</t>
  </si>
  <si>
    <t>cone</t>
  </si>
  <si>
    <t>good mate Protein Oat Drink Chocolate Shake</t>
  </si>
  <si>
    <t>Hot Dog Pastry</t>
  </si>
  <si>
    <t>pastry</t>
  </si>
  <si>
    <t>Hoshio Baby Star Crispy Noodle Snack (74 g)</t>
  </si>
  <si>
    <t>Size 2 Eggs (Thai standard)</t>
  </si>
  <si>
    <t>cola</t>
  </si>
  <si>
    <t>nugget</t>
  </si>
  <si>
    <t>Hershey's Dark Chocolate with Almonds Nugget (28 g)</t>
  </si>
  <si>
    <t>Guava</t>
  </si>
  <si>
    <t>fruit</t>
  </si>
  <si>
    <t>Jolly Cola (100 g)</t>
  </si>
  <si>
    <t>แคบหมู (Pork Rinds)</t>
  </si>
  <si>
    <t>After Morning Bakehouse Double Chocolate</t>
  </si>
  <si>
    <t>Punthai Coffee Fudge Chocolate Cake (120 g)</t>
  </si>
  <si>
    <t>box</t>
  </si>
  <si>
    <t>Lay's Flat Potato Chips Linme and Chili Flavor (44 g)</t>
  </si>
  <si>
    <t>Ezygo Chicken Burger</t>
  </si>
  <si>
    <t>coconut</t>
  </si>
  <si>
    <t>Coconut (Fresh meat)</t>
  </si>
  <si>
    <t>Coconut (Fresh Meat + Water)</t>
  </si>
  <si>
    <t>ขนมต้ม (Khanom Tom)</t>
  </si>
  <si>
    <t>ก๋วยเตี๋ยวลุยสวน (Spicy Glass Noodle Salad)</t>
  </si>
  <si>
    <t>Halls Mentho-Lypthus Candy</t>
  </si>
  <si>
    <t>lonzenge</t>
  </si>
  <si>
    <t>ทองม้วน (Thai Egg Roll)</t>
  </si>
  <si>
    <t>Souri Macaron (Fatcaron)</t>
  </si>
  <si>
    <t>Lateral Pulldown</t>
  </si>
  <si>
    <t>Size 0 Eggs (Thai standard)</t>
  </si>
  <si>
    <t>Fried Chicken Wing</t>
  </si>
  <si>
    <t>Julie's OAT25 Strawberry (25 g)</t>
  </si>
  <si>
    <t>Smitch Machine Squat</t>
  </si>
  <si>
    <t>Leg Extenstion</t>
  </si>
  <si>
    <t>Smitch Machine Bench Press</t>
  </si>
  <si>
    <t>Seated Cable Row</t>
  </si>
  <si>
    <t>Exercise 1</t>
  </si>
  <si>
    <t>Superset With</t>
  </si>
  <si>
    <t>Exercise 2</t>
  </si>
  <si>
    <t>8–10</t>
  </si>
  <si>
    <t>Superset 1</t>
  </si>
  <si>
    <t>10–12</t>
  </si>
  <si>
    <t>Superset 2</t>
  </si>
  <si>
    <t>Cable Triceps Pushdown</t>
  </si>
  <si>
    <t>12–15</t>
  </si>
  <si>
    <t>15–20</t>
  </si>
  <si>
    <t>Plank</t>
  </si>
  <si>
    <t>30–45s</t>
  </si>
  <si>
    <t>Focus</t>
  </si>
  <si>
    <t>Full Body Heavy</t>
  </si>
  <si>
    <t>6–8</t>
  </si>
  <si>
    <t>Treadmill Incline Walk</t>
  </si>
  <si>
    <t>5.2 km/h</t>
  </si>
  <si>
    <t>Full Body Light</t>
  </si>
  <si>
    <t>Mon</t>
  </si>
  <si>
    <t>Upper Push Emphasis</t>
  </si>
  <si>
    <t>Cardio Only</t>
  </si>
  <si>
    <t>Wed</t>
  </si>
  <si>
    <t>Lower + Core</t>
  </si>
  <si>
    <t>Upper Pull Emphasis</t>
  </si>
  <si>
    <t>Sat</t>
  </si>
  <si>
    <t>Rest</t>
  </si>
  <si>
    <t>40 min</t>
  </si>
  <si>
    <t>Exercises Per Day</t>
  </si>
  <si>
    <t>Sun (Hard)</t>
  </si>
  <si>
    <t>Tue (Easy)</t>
  </si>
  <si>
    <t>Crunch (Decline)</t>
  </si>
  <si>
    <t>Thu (Hard)</t>
  </si>
  <si>
    <t>Fri (Easy)</t>
  </si>
  <si>
    <t>Sum</t>
  </si>
  <si>
    <t>Overall</t>
  </si>
  <si>
    <t>Time Calculation (min)</t>
  </si>
  <si>
    <t>Decline Crunch</t>
  </si>
  <si>
    <t>Japanese Sweet Potato</t>
  </si>
  <si>
    <t>potato</t>
  </si>
  <si>
    <t>Lay's Flat Potato Chips Lime and Chili Flavor (44 g)</t>
  </si>
  <si>
    <t>Lay's Sour Cream and Onion Flavor (48 g)</t>
  </si>
  <si>
    <t>ลาบหมู (Spicy Minced Pork Salad)</t>
  </si>
  <si>
    <t>Dentyne Splash Collagen and Vit C Lynchee Flavour</t>
  </si>
  <si>
    <t>Dumbbell Shrug</t>
  </si>
  <si>
    <t>Duration</t>
  </si>
  <si>
    <t>Weight Conversion</t>
  </si>
  <si>
    <t>Rice with shrimp salad &amp; minced pork stir-fry (Thai lunch box)</t>
  </si>
  <si>
    <t>Almond Joy Miniatures (13.5 g)</t>
  </si>
  <si>
    <t>Mounds Miniatures (13.5 g)</t>
  </si>
  <si>
    <t>Potato (g)</t>
  </si>
  <si>
    <t>Bounty Minis Travel Edition (28.5 g)</t>
  </si>
  <si>
    <t>กะหรี่ปั๊บจิ๋ว ไส้หมูหยองน้ำพริกเผา (Original Curry Puff)</t>
  </si>
  <si>
    <t>ขนมผิง (Thai Khanom Ping)</t>
  </si>
  <si>
    <t>Dumbbell Bench Press</t>
  </si>
  <si>
    <t>Seated Dumbbell Overhead Press</t>
  </si>
  <si>
    <t>Sweet Potato Sticks (80 g)</t>
  </si>
  <si>
    <t>คนอร์ คัพโจ๊ก รสหมู (Knorr Cup Jok Pork Flavour) (32 g)</t>
  </si>
  <si>
    <t>Chicken Gizzard (grilled)</t>
  </si>
  <si>
    <t>ตับย่าง (Chicken Liver, grilled)</t>
  </si>
  <si>
    <t>M150 (150 mL)</t>
  </si>
  <si>
    <t>เส้นใหญ่เนื้อตุ๋นลูกชิ้นพิเศษ (Braised Beef &amp; Special Meatball Noodle)</t>
  </si>
  <si>
    <t>Coconut Ice Cream (กะทิ) with Sticky Rice</t>
  </si>
  <si>
    <t>Pocky Cookies and Cream Flavour (9 g)</t>
  </si>
  <si>
    <t>EZY TASTE แซนวิช ไส้กรอกชีส (87 g)</t>
  </si>
  <si>
    <t>Jollies Bear  Grape Flavour (85 g)</t>
  </si>
  <si>
    <t>Fried Eggs with Rice</t>
  </si>
  <si>
    <t>plate</t>
  </si>
  <si>
    <t>Lay's Chili and Salt Flavor (44 g)</t>
  </si>
  <si>
    <t>Frit-C Bites Hotties Pineapple Flavour (20 g)</t>
  </si>
  <si>
    <t>Rice with Stir-fried Pork Curry &amp; Red Curry Pork</t>
  </si>
  <si>
    <t>meal</t>
  </si>
  <si>
    <t>Jolly Bears DUO Lime and Orange Flavour (76 g)</t>
  </si>
  <si>
    <t>Ferrero Rocher, Hazelnut Chocolate Ball</t>
  </si>
  <si>
    <t>Yum Mama with Vietnamese Sausage (ยำมาม่าหมูยอ)</t>
  </si>
  <si>
    <t>มโนรา ข้าวเกรียมกุ่ง (Manora Fried Shriomp Chips) (10 g)</t>
  </si>
  <si>
    <t>Fried Fish with Rice</t>
  </si>
  <si>
    <t>Ice Cream Sundae</t>
  </si>
  <si>
    <t>Vanilla ice cream</t>
  </si>
  <si>
    <t>Dutchie Low Faterr Yougurt (430 g)</t>
  </si>
  <si>
    <t>ARO Frozen Mixed berries (1 kg)</t>
  </si>
  <si>
    <t>Cadbury Dairy Milk Chunks Milk Chocolate (135 g)</t>
  </si>
  <si>
    <t>chunks</t>
  </si>
  <si>
    <t>Proten High Protein Thai Tea (350 mL)</t>
  </si>
  <si>
    <t>Halls Honey-Lemon Flavored Candy</t>
  </si>
  <si>
    <t>CP Kitchen of the World Seasoned Chicken (Cooked, 1 kg)</t>
  </si>
  <si>
    <t>Thai mixed rice plate (rice, stir-fried pork &amp; sides)</t>
  </si>
  <si>
    <t>apple</t>
  </si>
  <si>
    <t>Gala Apple (Raw)</t>
  </si>
  <si>
    <t>Thai peanut–sesame brittle (ถั่วตัดงาใส่ถั่วลิสง, 35 g)</t>
  </si>
  <si>
    <t>Chicken Leg (with bone, skin on)</t>
  </si>
  <si>
    <t>Chicken Leg (meat only, skin on)</t>
  </si>
  <si>
    <t>ear</t>
  </si>
  <si>
    <t>Cashew Nuts (มะม่วงหิมพานต์)</t>
  </si>
  <si>
    <t>Waxy Corn (ข้าวโพดข้าวเหนียว)</t>
  </si>
  <si>
    <t>Monster Energy Ultra (330 mL)</t>
  </si>
  <si>
    <t>Hershey's Dark Chocolate (40 g)</t>
  </si>
  <si>
    <t>Peanut (roasted)</t>
  </si>
  <si>
    <t>Ice cream in waffle cone (chocolate + toppings)</t>
  </si>
  <si>
    <t>cake</t>
  </si>
  <si>
    <t>serving</t>
  </si>
  <si>
    <t>Citrus Coffee Chocolate Cake</t>
  </si>
  <si>
    <t>อาร์ท ข้าวมันไก่จ๋า ข้าวมันไก่ ไก่ทอด (Hainanese Chicken and Fried chicken with Rice)</t>
  </si>
  <si>
    <t>โรตีสายไหมแม่ป้อม (Thai Cotton Candy Roti)</t>
  </si>
  <si>
    <t>Potato (with skin, air-fried, no oil)</t>
  </si>
  <si>
    <t>ข้าวเหนียวมูล (Sweet Coconut Sticky Rice)</t>
  </si>
  <si>
    <t>Rice with fried fish cakes, spring rolls, Chinese sausage, cabbage &amp; braised pork leg</t>
  </si>
  <si>
    <t>McVities Digestives The Original (250 g)</t>
  </si>
  <si>
    <t>KC มันหวานญี่ปุ่นเผา (125 g)</t>
  </si>
  <si>
    <t>KC มันหวาน 3 สีญี่ปุ่นเผา (125 g)</t>
  </si>
  <si>
    <t>ข้าวพะโล้ ไข่พะโล้ น่องไก่ (Stewed Chicken Drumstick and Eggs with Rice)</t>
  </si>
  <si>
    <t>Lay's Sour Cream and Onion Flavor (69 g)</t>
  </si>
  <si>
    <t>Toblerone Tiny (32 g)</t>
  </si>
  <si>
    <t>TimTam Dark (200 g)</t>
  </si>
  <si>
    <t>Cocktail Sausages</t>
  </si>
  <si>
    <t>SEALECT Tuna Spread Spicy Mayo (76 g)</t>
  </si>
  <si>
    <t>Cracker</t>
  </si>
  <si>
    <t>Cheetos Corn Snack American Cheese Flavour (18 g)</t>
  </si>
  <si>
    <t>chicken</t>
  </si>
  <si>
    <t>Aro Rotisserie Chicken (whole, with skin)</t>
  </si>
  <si>
    <t>Tasto Salt &amp; Sour (42 g)</t>
  </si>
  <si>
    <t>Van Houten Semi Sweet (40 g)</t>
  </si>
  <si>
    <t>Cable Shrug</t>
  </si>
  <si>
    <t>ME</t>
  </si>
  <si>
    <t>Below 1.5 = F</t>
  </si>
  <si>
    <t>1.5-2.4 pts = D</t>
  </si>
  <si>
    <t>2.5-3.4 pts = C</t>
  </si>
  <si>
    <t>3.5-4.4 pts = B</t>
  </si>
  <si>
    <t>4.5-5.4 pts = A</t>
  </si>
  <si>
    <t>5.5+ pts = A+</t>
  </si>
  <si>
    <t>Monthly Average Scoring:</t>
  </si>
  <si>
    <t>• Use notes column to track what influenced your mood</t>
  </si>
  <si>
    <t>• Look for patterns over time</t>
  </si>
  <si>
    <t>• Be honest with yourself</t>
  </si>
  <si>
    <t>• Fill in your mood at the end of each day</t>
  </si>
  <si>
    <t>B</t>
  </si>
  <si>
    <t>Tips:</t>
  </si>
  <si>
    <t>F</t>
  </si>
  <si>
    <t>D</t>
  </si>
  <si>
    <t>C</t>
  </si>
  <si>
    <t>A</t>
  </si>
  <si>
    <t>A+</t>
  </si>
  <si>
    <t>Percentage</t>
  </si>
  <si>
    <t>Days</t>
  </si>
  <si>
    <t>Mood</t>
  </si>
  <si>
    <t>Statistics:</t>
  </si>
  <si>
    <t>Very negative (1 pt)</t>
  </si>
  <si>
    <t>Negative (2 pts)</t>
  </si>
  <si>
    <t>Neutral (3 pts)</t>
  </si>
  <si>
    <t>Positive (4 pts)</t>
  </si>
  <si>
    <t>Very positive (5 pts)</t>
  </si>
  <si>
    <t>Positive core memory (6 pts)</t>
  </si>
  <si>
    <t>Legend:</t>
  </si>
  <si>
    <t>Dec</t>
  </si>
  <si>
    <t>Nov</t>
  </si>
  <si>
    <t>Oct</t>
  </si>
  <si>
    <t>Sep</t>
  </si>
  <si>
    <t>Aug</t>
  </si>
  <si>
    <t>Jul</t>
  </si>
  <si>
    <t>Jun</t>
  </si>
  <si>
    <t>Apr</t>
  </si>
  <si>
    <t>Mar</t>
  </si>
  <si>
    <t>Feb</t>
  </si>
  <si>
    <t>Jan</t>
  </si>
  <si>
    <t>2025 Mood Tracker</t>
  </si>
  <si>
    <t>Rice with กะเพราไก่ &amp; ไส้หมูพะโล้</t>
  </si>
  <si>
    <t>YOUR CURRENT PROGRAM - TRAINING PROGRAM 3.0</t>
  </si>
  <si>
    <t>(You do 4 total sets per exercise: 1 warmup set + 3 working sets. Working sets = what we count for volume)</t>
  </si>
  <si>
    <t>Total Sets
(Program)</t>
  </si>
  <si>
    <t>Warmup
Sets</t>
  </si>
  <si>
    <t>Working
Sets</t>
  </si>
  <si>
    <t>Muscle</t>
  </si>
  <si>
    <t>Sun
(Hard)</t>
  </si>
  <si>
    <t>Full Body
Heavy</t>
  </si>
  <si>
    <t>4</t>
  </si>
  <si>
    <t>6-8</t>
  </si>
  <si>
    <t>1</t>
  </si>
  <si>
    <t>3</t>
  </si>
  <si>
    <t>Chest</t>
  </si>
  <si>
    <t>8-10</t>
  </si>
  <si>
    <t>Back</t>
  </si>
  <si>
    <t>↑</t>
  </si>
  <si>
    <t>Shoulders</t>
  </si>
  <si>
    <t>10-12</t>
  </si>
  <si>
    <t>Legs</t>
  </si>
  <si>
    <t>Biceps</t>
  </si>
  <si>
    <t>Only bicep exercise</t>
  </si>
  <si>
    <t>Upper Push</t>
  </si>
  <si>
    <t>Triceps</t>
  </si>
  <si>
    <t>12-15</t>
  </si>
  <si>
    <t>Standalone</t>
  </si>
  <si>
    <t>Tue
(Easy)</t>
  </si>
  <si>
    <t>Cardio</t>
  </si>
  <si>
    <t>1 x 40min</t>
  </si>
  <si>
    <t>Lower +
Core</t>
  </si>
  <si>
    <t>Core</t>
  </si>
  <si>
    <t>15-20</t>
  </si>
  <si>
    <t>Thu
(Hard)</t>
  </si>
  <si>
    <t>Upper Pull</t>
  </si>
  <si>
    <t>Fri
(Easy)</t>
  </si>
  <si>
    <t>Full Body
Light</t>
  </si>
  <si>
    <t>30-45s</t>
  </si>
  <si>
    <t>Complete Rest Day</t>
  </si>
  <si>
    <t>WEEKLY VOLUME SUMMARY (Working Sets Only - Warmups NOT Counted)</t>
  </si>
  <si>
    <t>Muscle Group</t>
  </si>
  <si>
    <t>Working Sets/Week</t>
  </si>
  <si>
    <t>Frequency</t>
  </si>
  <si>
    <t>Optimal Range</t>
  </si>
  <si>
    <t>Status</t>
  </si>
  <si>
    <t>12</t>
  </si>
  <si>
    <t>4x/week</t>
  </si>
  <si>
    <t>12-18</t>
  </si>
  <si>
    <t>✓ GOOD</t>
  </si>
  <si>
    <t>18</t>
  </si>
  <si>
    <t>✓ EXCELLENT</t>
  </si>
  <si>
    <t>9</t>
  </si>
  <si>
    <t>3x/week</t>
  </si>
  <si>
    <t>⚠️ LOW (need +3-6)</t>
  </si>
  <si>
    <t>6</t>
  </si>
  <si>
    <t>2x/week</t>
  </si>
  <si>
    <t>⚠️ LOW (need +2-4)</t>
  </si>
  <si>
    <t>1x/week</t>
  </si>
  <si>
    <t>❌ CRITICAL (need +7-9)</t>
  </si>
  <si>
    <t>12-16</t>
  </si>
  <si>
    <t>10-15</t>
  </si>
  <si>
    <t>✓ OK</t>
  </si>
  <si>
    <t>WHERE TO ADD OVERHEAD TRICEP EXTENSION:</t>
  </si>
  <si>
    <t>OPTION 1 (Recommended):</t>
  </si>
  <si>
    <t>Friday - Add as 5th exercise (replaces nothing, just adds)</t>
  </si>
  <si>
    <t>→ Friday becomes: Chest Press, Cable Row, Leg Extension, Plank, Overhead Tricep Extension</t>
  </si>
  <si>
    <t>→ Still 5 exercises total, fits your limit perfectly!</t>
  </si>
  <si>
    <t>OPTION 2:</t>
  </si>
  <si>
    <t>Thursday - Add as 6th exercise (1 extra, but manageable)</t>
  </si>
  <si>
    <t>→ Thursday becomes 6 exercises (breaks your 5-exercise rule slightly)</t>
  </si>
  <si>
    <t>RESULT WITH FRIDAY ADDITION:</t>
  </si>
  <si>
    <t>Triceps: 3 → 6 working sets/week (Mon:3, Fri:3)</t>
  </si>
  <si>
    <t>Fried Chicken Breast (homemade) with Rice</t>
  </si>
  <si>
    <t>Cable Overhead Triceps Extension</t>
  </si>
  <si>
    <t>Fried Chicken Strips (street style)</t>
  </si>
  <si>
    <t>Fresh Spring Rolls (shrimp/veg)</t>
  </si>
  <si>
    <t>rolls</t>
  </si>
  <si>
    <t>Beef Kebab (shawarma-style meat only)</t>
  </si>
  <si>
    <t>Chocolate-Covered Strawberries</t>
  </si>
  <si>
    <t>Tanghulu (Sugar-Coated Strawberries)</t>
  </si>
  <si>
    <t>📅  DAILY LIFE TRACKER  |  Track Everything in One Place</t>
  </si>
  <si>
    <t>💡 Fill this out DAILY! Each row = one day. Track sleep, gym, meals, mood. Other sheets auto-calculate weekly summaries and show your training program.</t>
  </si>
  <si>
    <t>Bedtime</t>
  </si>
  <si>
    <t>Wake Time</t>
  </si>
  <si>
    <t>Sleep Hrs
(Manual)</t>
  </si>
  <si>
    <t>Watch Hrs</t>
  </si>
  <si>
    <t>Sleep
Quality
(1-5)</t>
  </si>
  <si>
    <t>Energy
Level
(1-5)</t>
  </si>
  <si>
    <t>Gym
Today?</t>
  </si>
  <si>
    <t>Training
Day</t>
  </si>
  <si>
    <t>Calories
Eaten</t>
  </si>
  <si>
    <t>Protein
(g)</t>
  </si>
  <si>
    <t>Notes / Mood</t>
  </si>
  <si>
    <t>Tue</t>
  </si>
  <si>
    <t>Thu</t>
  </si>
  <si>
    <t>Fri</t>
  </si>
  <si>
    <t>Sun</t>
  </si>
  <si>
    <t>📊  WEEKLY SUMMARY (Last 7 Days)</t>
  </si>
  <si>
    <t>Metric</t>
  </si>
  <si>
    <t>Average/Count</t>
  </si>
  <si>
    <t>Target</t>
  </si>
  <si>
    <t>Avg Sleep (hours)</t>
  </si>
  <si>
    <t>7.0</t>
  </si>
  <si>
    <t>Avg Sleep Quality</t>
  </si>
  <si>
    <t>4.0</t>
  </si>
  <si>
    <t>Avg Energy Level</t>
  </si>
  <si>
    <t>Days with gym</t>
  </si>
  <si>
    <t>5</t>
  </si>
  <si>
    <t>Avg Calories</t>
  </si>
  <si>
    <t>2835</t>
  </si>
  <si>
    <t>Avg Protein (g)</t>
  </si>
  <si>
    <t>154</t>
  </si>
  <si>
    <t>Rice with Stir-Fried Long Beans Pork + Bamboo + Spring Rolls</t>
  </si>
  <si>
    <t>😴  SLEEP TRACKER  |  Track Your Sleep Quality &amp; Duration</t>
  </si>
  <si>
    <t>💡 Track daily: Fill in bedtime/wake time + how you felt. Compare your manual hours vs smartwatch data. Target: 7+ hours/night for muscle growth!</t>
  </si>
  <si>
    <t>Total Hours
(Manual)</t>
  </si>
  <si>
    <t>Smartwatch
Hours</t>
  </si>
  <si>
    <t>Quality
(1-5)</t>
  </si>
  <si>
    <t>Energy
Level (1-5)</t>
  </si>
  <si>
    <t>Yes</t>
  </si>
  <si>
    <t>📊  WEEKLY SUMMARY</t>
  </si>
  <si>
    <t>Last 7 Days</t>
  </si>
  <si>
    <t>Last 30 Days</t>
  </si>
  <si>
    <t>Average Sleep (hours)</t>
  </si>
  <si>
    <t>Average Quality (1-5)</t>
  </si>
  <si>
    <t>Average Energy (1-5)</t>
  </si>
  <si>
    <t>Days with 7+ hours</t>
  </si>
  <si>
    <t>7 / 7</t>
  </si>
  <si>
    <t>Days tracked</t>
  </si>
  <si>
    <t>30</t>
  </si>
  <si>
    <t>📖  SLEEP TRACKING GUIDE &amp; TIPS</t>
  </si>
  <si>
    <t>HOW TO USE THIS TRACKER</t>
  </si>
  <si>
    <t>📱 Smartwatch Data</t>
  </si>
  <si>
    <t>Check Apple Health app each morning for total hours slept. Enter this in the 'Smartwatch Hours' column.</t>
  </si>
  <si>
    <t>⏰ Manual Tracking</t>
  </si>
  <si>
    <t>Fill in your actual bedtime and wake time. The 'Total Hours (Manual)' will calculate automatically.</t>
  </si>
  <si>
    <t>💤 Sleep Stages</t>
  </si>
  <si>
    <t>If your smartwatch provides breakdown, enter deep/light/REM sleep in minutes (optional).</t>
  </si>
  <si>
    <t>⭐ Quality Rating</t>
  </si>
  <si>
    <t>Rate 1-5 based on how well you slept:
1 = Terrible (woke up multiple times)
2 = Poor (restless)
3 = OK (normal)
4 = Good (woke up refreshed)
5 = Excellent (best sleep ever)</t>
  </si>
  <si>
    <t>⚡ Energy Level</t>
  </si>
  <si>
    <t>Rate 1-5 based on how you felt upon waking:
1 = Exhausted
2 = Tired
3 = OK
4 = Good energy
5 = Energized and ready</t>
  </si>
  <si>
    <t>SLEEP &amp; MUSCLE GROWTH</t>
  </si>
  <si>
    <t>Why 7+ hours?</t>
  </si>
  <si>
    <t>Growth hormone is released during deep sleep (stages 3-4). This is when muscle repair and growth actually happens. Less than 7 hours = reduced recovery and gains.</t>
  </si>
  <si>
    <t>Consistency Matters</t>
  </si>
  <si>
    <t>Your body thrives on routine. Going to bed at 10:30 PM and waking at 5:30 AM every day (even weekends) optimizes your circadian rhythm.</t>
  </si>
  <si>
    <t>Sleep Stages Explained</t>
  </si>
  <si>
    <t>• Deep Sleep (15-25%): Physical recovery, muscle growth, immune function
• REM Sleep (20-25%): Mental recovery, memory consolidation
• Light Sleep (50-60%): Transition between stages</t>
  </si>
  <si>
    <t>COMPARING SMARTWATCH VS MANUAL</t>
  </si>
  <si>
    <t>Why compare?</t>
  </si>
  <si>
    <t>Smartwatches can be inaccurate (±30-60 mins). By tracking manually, you can identify patterns:
• If watch shows less: You may be lying awake before sleeping
• If watch shows more: You may be counting restless time as sleep</t>
  </si>
  <si>
    <t>What to look for</t>
  </si>
  <si>
    <t>Focus on trends, not exact numbers. If watch consistently shows 6.5 hrs but you feel great, that's your real number.</t>
  </si>
  <si>
    <t>TIPS FOR BETTER SLEEP</t>
  </si>
  <si>
    <t>Temperature</t>
  </si>
  <si>
    <t>Keep bedroom cool (18-20°C / 65-68°F). Your body needs to drop temperature to sleep deeply.</t>
  </si>
  <si>
    <t>Light</t>
  </si>
  <si>
    <t>Complete darkness or eye mask. Even small amounts of light can disrupt melatonin production.</t>
  </si>
  <si>
    <t>Consistency</t>
  </si>
  <si>
    <t>Same bedtime &amp; wake time daily (even weekends). This is more important than total hours.</t>
  </si>
  <si>
    <t>Pre-bed routine</t>
  </si>
  <si>
    <t>Your 9:35 PM screens-off + 10:00 PM reading routine is perfect. Keep this consistent!</t>
  </si>
  <si>
    <t>Avoid</t>
  </si>
  <si>
    <t>• Caffeine after 2 PM
• Large meals 3 hrs before bed
• Intense exercise 3 hrs before bed
• Blue light (phone/TV) after 9:30 PM</t>
  </si>
  <si>
    <t>TROUBLESHOOTING</t>
  </si>
  <si>
    <t>Can't fall asleep?</t>
  </si>
  <si>
    <t>Try:
• Reading for 30+ mins (not phone)
• Progressive muscle relaxation
• 4-7-8 breathing (4 sec inhale, 7 sec hold, 8 sec exhale)
• Keep bedroom cool
• Don't check the time</t>
  </si>
  <si>
    <t>Waking up tired?</t>
  </si>
  <si>
    <t>Possible causes:
• Not enough deep sleep (check smartwatch breakdown)
• Sleep apnea (if snoring heavily)
• Waking during deep sleep cycle
• Dehydration
• Room too warm</t>
  </si>
  <si>
    <t>Afternoon crashes?</t>
  </si>
  <si>
    <t>Often caused by:
• Poor sleep quality
• Not enough carbs at lunch
• Dehydration
• Need for a power nap (15-20 mins max)</t>
  </si>
  <si>
    <t>📅  FEBRUARY 2026  |  Sleep Hours Calendar</t>
  </si>
  <si>
    <t>Week</t>
  </si>
  <si>
    <t>Week 1</t>
  </si>
  <si>
    <t>Feb 1</t>
  </si>
  <si>
    <t>Feb 2</t>
  </si>
  <si>
    <t>Week 2</t>
  </si>
  <si>
    <t>Feb 3</t>
  </si>
  <si>
    <t>Feb 4</t>
  </si>
  <si>
    <t>Feb 5</t>
  </si>
  <si>
    <t>Feb 6</t>
  </si>
  <si>
    <t>Feb 7</t>
  </si>
  <si>
    <t>Feb 8</t>
  </si>
  <si>
    <t>Feb 9</t>
  </si>
  <si>
    <t>Week 3</t>
  </si>
  <si>
    <t>Feb 10</t>
  </si>
  <si>
    <t>Feb 11</t>
  </si>
  <si>
    <t>Feb 12</t>
  </si>
  <si>
    <t>Feb 13</t>
  </si>
  <si>
    <t>Feb 14</t>
  </si>
  <si>
    <t>Feb 15</t>
  </si>
  <si>
    <t>Feb 16</t>
  </si>
  <si>
    <t>Week 4</t>
  </si>
  <si>
    <t>Feb 17</t>
  </si>
  <si>
    <t>Feb 18</t>
  </si>
  <si>
    <t>Feb 19</t>
  </si>
  <si>
    <t>Feb 20</t>
  </si>
  <si>
    <t>Feb 21</t>
  </si>
  <si>
    <t>Feb 22</t>
  </si>
  <si>
    <t>Feb 23</t>
  </si>
  <si>
    <t>Week 5</t>
  </si>
  <si>
    <t>Feb 24</t>
  </si>
  <si>
    <t>Feb 25</t>
  </si>
  <si>
    <t>Feb 26</t>
  </si>
  <si>
    <t>Feb 27</t>
  </si>
  <si>
    <t>Feb 28</t>
  </si>
  <si>
    <t>Fresh spring rolls (L)</t>
  </si>
  <si>
    <t>39Ramen Chicken teriyaki rice bowl (ข้าวหน้าไก่เทอริยากิ)</t>
  </si>
  <si>
    <t>ARO Japanese Sweet Potato (beni haruka, g)</t>
  </si>
  <si>
    <t>Brown rice (cooked)</t>
  </si>
  <si>
    <t>Steamed mixed vegetables (broccoli, carrots)</t>
  </si>
  <si>
    <t>EZ Bar Biceps Curl</t>
  </si>
  <si>
    <t>Singha Lemon Cream Soda (330 mL)</t>
  </si>
  <si>
    <t>Sticky rice with pork floss (ข้าวเหนียวหมูฝอย)</t>
  </si>
  <si>
    <t>Grilled pork skewer (หมูปิ้ง)</t>
  </si>
  <si>
    <t>skewers</t>
  </si>
  <si>
    <t>Felt easier to wake up compared to 23/02/26</t>
  </si>
  <si>
    <t>Deep Sleep
%</t>
  </si>
  <si>
    <t>Light Sleep
%</t>
  </si>
  <si>
    <t>REM Sleep
%</t>
  </si>
  <si>
    <t>Deep Sleep
(hrs)</t>
  </si>
  <si>
    <t>Light Sleep
(hrs)</t>
  </si>
  <si>
    <t>REM Sleep
(hrs)</t>
  </si>
  <si>
    <t>Jolli Bears (110 g)</t>
  </si>
  <si>
    <t>Steamed pork bun (ซาลาเปาไซ้โครง)</t>
  </si>
  <si>
    <t>bun</t>
  </si>
  <si>
    <t xml:space="preserve">Woke up at 4AM and thought it was 5:3AM, turn on most of the light, does my regular routine, and when I notice went back to bed. </t>
  </si>
  <si>
    <t>Coconut smoothie with Oreo and tapioca pearls (น้ำมะพร้าวปั่น + Oreo + ไข่มุก)</t>
  </si>
  <si>
    <t>Lemon honey soda</t>
  </si>
  <si>
    <t>Larb moo with holy basil chicken over rice (น้ำลาบหมู กะเพราไก่ชิ้น)</t>
  </si>
  <si>
    <t>Pizza with ham</t>
  </si>
  <si>
    <t>slices</t>
  </si>
  <si>
    <t>Pizza with spinach and cheese</t>
  </si>
  <si>
    <t>Singha Lime Lemon Soda (330 mL)</t>
  </si>
  <si>
    <t>Smith Machine Seated Overhead Press</t>
  </si>
  <si>
    <t>Sessions</t>
  </si>
  <si>
    <t>Avg Duration</t>
  </si>
  <si>
    <t>No</t>
  </si>
  <si>
    <t>Triangle Snack (6.5 g)</t>
  </si>
  <si>
    <t>Avg RPE</t>
  </si>
  <si>
    <t>RPE
(1-10)</t>
  </si>
  <si>
    <t>Cocomax Aromatic Roasted Coconut Water (350 mL)</t>
  </si>
  <si>
    <t>Singha Red Lemon Soda (330 mL)</t>
  </si>
  <si>
    <t>Woke up 3 times to use the toliet.</t>
  </si>
  <si>
    <t>Seated Single Arm Cable Row</t>
  </si>
  <si>
    <t>Larb gai (ลาบไก่)</t>
  </si>
  <si>
    <t>Stir-fried pork with long beans (ผัดหมูถั่วฝักยาว)</t>
  </si>
  <si>
    <t>Spring rolls</t>
  </si>
  <si>
    <t>Nam prik (chili paste with vegetables)</t>
  </si>
  <si>
    <t>Feel so tired.</t>
  </si>
  <si>
    <t>Boiled sweet corn</t>
  </si>
  <si>
    <t>Nestle Milo Ice Cream เข้มข้น (Cone)</t>
  </si>
  <si>
    <t>No fluid intake for annual health check.</t>
  </si>
  <si>
    <t>KitKat Mini ice cream bar</t>
  </si>
  <si>
    <t>Coconut ice cream with corn</t>
  </si>
  <si>
    <t>Pa-nid's ยำเส้นเล็กกากเจียวหมูกรอบ</t>
  </si>
  <si>
    <t>Pa-nid's ข้าวหมูทรงเครื่องคั่วพริกกะเปา</t>
  </si>
  <si>
    <t>Pa-nid's ก๋วยเตี๋ยวไก่ต้มยำเส้นใหญ่</t>
  </si>
  <si>
    <t>ขนมหม้อแก้ง แม่ยาย โคตรจิม (Coconut milk + บัวลอย + Coconut ice cream)</t>
  </si>
  <si>
    <t>ขนมหม้อแก้ง แม่ยาย บัวลอยมะพร้าวอ่อน</t>
  </si>
  <si>
    <t>EZY BAKE Custard Milk Cream Bread (80 g)</t>
  </si>
  <si>
    <t>Oreo Original (27.6 g)</t>
  </si>
  <si>
    <t>Cocobella Blueberry Coconut Yoghurt</t>
  </si>
  <si>
    <t>Meiji Natural Yoghurt (500 g)</t>
  </si>
  <si>
    <t>package</t>
  </si>
  <si>
    <t>Dutchie Low Fat Yogurt (430 g)</t>
  </si>
  <si>
    <t>มโนรา ข้าวเกรียมกุ่ง (Manora Fried Shrimp Chips) (10 g)</t>
  </si>
  <si>
    <t>Grilled Cheese with Ham</t>
  </si>
  <si>
    <t>HooRay! Protein Shake Chocolate (340 mL)</t>
  </si>
  <si>
    <t>Sunshine Dairy High Protein (Chocolate)</t>
  </si>
  <si>
    <t>Nutella B-ready (132 g)</t>
  </si>
  <si>
    <t>Beef (Cooked, 90:10)</t>
  </si>
  <si>
    <t>Aro Dairy Beef Dice (cooked)</t>
  </si>
  <si>
    <t>Rice with chicken breast, broccoli &amp; tomatoes</t>
  </si>
  <si>
    <t>Swensen Belgian Chocolate and Black Forest</t>
  </si>
  <si>
    <t>biscuits</t>
  </si>
  <si>
    <t>lozenge</t>
  </si>
  <si>
    <t>Oatmeal (dry)</t>
  </si>
  <si>
    <t>Incompleted workout.</t>
  </si>
  <si>
    <t>Fried Chicken Skin</t>
  </si>
  <si>
    <t>Fried rice with egg and vegetables (ข้าวผัด)</t>
  </si>
  <si>
    <t>container</t>
  </si>
  <si>
    <t>หมึกกี่โมง Original (17 g)</t>
  </si>
  <si>
    <t>หมึกกี่โมง Spicy (17 g)</t>
  </si>
  <si>
    <t>Rice noodle soup red pork and meatballs (ก๋วยเตี๋ยวหมูแดงลูกชิ้น)</t>
  </si>
  <si>
    <t>Taro Mochi (30 g)</t>
  </si>
  <si>
    <t>Riceberry Mixed Jasmine Rice (ข้าวไรซ์เบอร์รี่)</t>
  </si>
  <si>
    <t>Stir-fried holy basil with pork offal (กะเพราเครื่องในหมู)</t>
  </si>
  <si>
    <t>Stir-fried cabbage with fish sauce (ผัดผักกะหล่ำปลี)</t>
  </si>
  <si>
    <t>Braised pork intestines in five-spice broth (พะโล้ไส้หมู)</t>
  </si>
  <si>
    <t>Swensen's chocolate ice cream cake</t>
  </si>
  <si>
    <t>Turn #</t>
  </si>
  <si>
    <t>User Request</t>
  </si>
  <si>
    <t>Action Taken</t>
  </si>
  <si>
    <t>Details</t>
  </si>
  <si>
    <t>Outcome</t>
  </si>
  <si>
    <t>User asked for an analysis of their current training routine, noting the last 2 weeks had schedule changes/conflicts.</t>
  </si>
  <si>
    <t>Read and analyzed Training Program 4.0 — program structure, 3 completed weeks of workout logs, volume summary, and schedule adherence.</t>
  </si>
  <si>
    <t>Read cols A-Q (program template), R-AO (Week 1: Dec 31–Jan 5), AP-BM (Week 2: Jan 31–Feb 5), BN-CK (Week 3: Feb 28–Mar 5), plus volume summary rows 48-58. Compared actual exercises logged vs. prescribed program per day.</t>
  </si>
  <si>
    <t>Delivered routine summary: 6-day split (Sun Hard/Mon Push/Tue Cardio/Wed Lower+Core/Thu Pull/Fri Light/Sat Rest), identified schedule swaps in recent weeks, flagged triceps as critically low volume per the sheet's own status notes.</t>
  </si>
  <si>
    <t>Fried Egg (Crispy Edges)</t>
  </si>
  <si>
    <t>Singha Pink Lemon Soda (330 mL)</t>
  </si>
  <si>
    <t>Singha Lemon Soda (330 mL)</t>
  </si>
  <si>
    <t>Woke up late.</t>
  </si>
  <si>
    <t>Glass noodle soup with chicken meatballs and vegetables (สุกี้น้ำ)</t>
  </si>
  <si>
    <t>Spicy sukiyaki dipping sauce (น้ำจิ้มสุกี้)</t>
  </si>
  <si>
    <t>Ice cream on grilled bread (ไอศกรีมขนมปังปิ้ง)</t>
  </si>
  <si>
    <t>Dairy Queen Dipped Cone, Chocolate - Medium</t>
  </si>
  <si>
    <t>Francoise Hazelnut Milk Chocolate Cookies</t>
  </si>
  <si>
    <t>4700BC Butter Popcorn (50 g)</t>
  </si>
  <si>
    <t>Green mango (raw)</t>
  </si>
  <si>
    <t>Yellow mango (ripe)</t>
  </si>
  <si>
    <t>Fill in blank Date, Time, and Meal fields in the Nutrition 2.0 food log. Delete fully empty rows. Date is most important (daily sequential). Time = copy from above. Meal = educated guess from time/food.</t>
  </si>
  <si>
    <t>Scanned all 1282 rows across 70 daily blocks. Fixed 577 cells (dates, times, meals). Deleted 117 empty/placeholder rows. Corrected date sequence for blocks 51-69 which were stuck on wrong date serials.</t>
  </si>
  <si>
    <t>Dates: Fixed block 51 (46087→46088) and blocks 57-69 (all 46093→46094-46106). Times: Propagated from cell above within each block; for blocks with no times at all (dates 46046, 46069), assigned reasonable times by meal type. Meals: Guessed from time-of-day + food item classification (protein shakes=Breakfast early/Dinner late, snack foods=Snack, rice/meat/curry=meal by time). Deleted 117 rows with dates but no food data.</t>
  </si>
  <si>
    <t>All 964 food entries now have complete Date, Time, and Meal. Date sequence verified: 70 consecutive days (46037-46106). Zero remaining blanks in any column. Zero empty rows.</t>
  </si>
  <si>
    <t>Fried fish with crispy basil (ปลาทอดกรอบใบกะเพรา)</t>
  </si>
  <si>
    <t>Fill in blanks and correct dates in Nutrition 2.0, keeping today's (27/03/26) blanks as-is.</t>
  </si>
  <si>
    <t>Fixed dates for 2 day blocks (rows 1188-1197 and 1201-1219) that were stuck on 2026-03-25. Filled missing Meal labels in 3 blocks.</t>
  </si>
  <si>
    <t>Block 3 (rows 1172-1184, Mar 25): filled 9 missing meals (Snack×5, Dinner×4) based on time/food. Block 4 (rows 1188-1197): corrected dates 46106→46107 (Mar 26), filled 9 missing meals. Block 5 (rows 1201-1219): corrected dates 46106→46108 (Mar 27), filled 3 meals for entered items only, left empty rows untouched per user request.</t>
  </si>
  <si>
    <t>Dates now sequential: Mar 25 (block 3), Mar 26 (block 4), Mar 27 (block 5). All entered food items have Meal labels. Today's empty rows preserved for ongoing logging.</t>
  </si>
  <si>
    <t>ที่เด็ด ก๋วยเตี๋ยวกึ่งสำเร็จรูป (dried noodles with crispy pork)</t>
  </si>
  <si>
    <t>Doonge Crispy Prawn Chips (ดูเรไซส์กุ้งกรอบ)</t>
  </si>
  <si>
    <t>Glass noodle soup with tofu and vegetables (แกงจืดเต้าหู้)</t>
  </si>
  <si>
    <t>Cheetos Spicy BBQ (เชโตสหมูย่างรสเผ็ด)</t>
  </si>
  <si>
    <t>Jolly Bears Sugar Free Gummies (เยลลี่หมีปราศจากน้ำตาล)</t>
  </si>
  <si>
    <t>7-Eleven Hot Gimbap Roll (ซูชิคิมบับร้อน)</t>
  </si>
  <si>
    <t>roll</t>
  </si>
  <si>
    <t>Calbee JAXX Potato Fries Tomato Sauce (เจ็กซ์มันฝรั่งทอดกรอบ)</t>
  </si>
  <si>
    <t>Hanami Nori Seaweed Prawn Crackers (ฮานามิข้าวเกรียบกุ้งรสสาหร่าย)</t>
  </si>
  <si>
    <t>ตะวัน รสกุ้งกรอบ (Tawan Tapioca Chips Prawn Flavor, 16g)</t>
  </si>
  <si>
    <t>Oh Fruity Sliced Green Mango (มะม่วงสไลซ์)</t>
  </si>
  <si>
    <t>Proten Duo Protein Concentrate</t>
  </si>
  <si>
    <t>Pepsi (เป๊ปซี่, 325 mL)</t>
  </si>
  <si>
    <t>Taro Cake</t>
  </si>
  <si>
    <t>MACROS INTAKE SUMMARY (75 Days)</t>
  </si>
  <si>
    <t>Avg Daily Intake</t>
  </si>
  <si>
    <t>Daily Target</t>
  </si>
  <si>
    <t>Avg Difference</t>
  </si>
  <si>
    <t>% of Target</t>
  </si>
  <si>
    <t>Within Range?</t>
  </si>
  <si>
    <t>"Within Range" = average intake is within ±10% of daily target. Based on 75 tracked days.</t>
  </si>
  <si>
    <t>Summarize average macros intake across all tracked days and determine whether averages fall within target range.</t>
  </si>
  <si>
    <t>Built a Macros Intake Summary table at the bottom of the Nutrition 2.0 sheet (rows 1281-1290) with Avg Daily Intake, Daily Target, Avg Difference, % of Target, and Within Range? rows.</t>
  </si>
  <si>
    <t>Found 75 TOTALS rows across the sheet. Used AVERAGE formulas referencing all 75 daily totals for Calories, Protein, Fat, Carbs, and Fiber. Targets pulled from personal settings (B27, B29-B32). 'Within Range' defined as ±10% of target. Applied green/red conditional coloring on difference and status rows.</t>
  </si>
  <si>
    <t>None of the 5 macros hit ±10% of target on average: Calories 92.0% (under by 226 kcal), Protein 115.2% (over by 23g), Fat 121.9% (over by 14g), Carbs 72.2% (under by 114g), Fiber 79.4% (under by 8g). Summary at rows 1281-1290.</t>
  </si>
  <si>
    <t>Yam woon sen with chicken (ยำวุ้นเส้นไก่)</t>
  </si>
  <si>
    <t>Meat pie (puff pastry with meat filling)</t>
  </si>
  <si>
    <t>Mixed salad greens</t>
  </si>
  <si>
    <t>Egg white (boiled)</t>
  </si>
  <si>
    <t>large</t>
  </si>
  <si>
    <t>Cherry tomatoes</t>
  </si>
  <si>
    <t>Pocky Chocolate Flavour (10 g)</t>
  </si>
  <si>
    <t>Chicken breast (fried, with skin)</t>
  </si>
  <si>
    <t>McGarrett Whole Grain Quick Cooking Oats (400 g)</t>
  </si>
  <si>
    <t>Mash Crunchy Peanut Butter (227 g)</t>
  </si>
  <si>
    <t>Sun Forest Honey (น้ำผึ้งตราซันฟอเรสท์ 100%)</t>
  </si>
  <si>
    <t>Lay's Rock Ridged Potato Chips Extra Barbecue Flavor (13 g)</t>
  </si>
  <si>
    <t>Cable Straight Arm Lat Pulldown</t>
  </si>
  <si>
    <t>Cabele Hammer Curl</t>
  </si>
  <si>
    <t>Cable Reverse Curl</t>
  </si>
  <si>
    <t>Smith Machine Shrug</t>
  </si>
  <si>
    <t>Chicken wings (air-fried with seasoned flour)</t>
  </si>
  <si>
    <t>Air-fried เห็ดเข็มทอง (Enoki + Flour)</t>
  </si>
  <si>
    <t>Kyu Kyu Umeshu Zero Sugar</t>
  </si>
  <si>
    <t>ml</t>
  </si>
  <si>
    <t>Ritter Sport Fine Milk Chocolate</t>
  </si>
  <si>
    <t>Five Stars Chicken &amp; Cheese Wrap</t>
  </si>
  <si>
    <t>ปูไทย Black Pepper Flavor (25 g)</t>
  </si>
  <si>
    <t>Chocolate Donut</t>
  </si>
  <si>
    <t>Lotus's Bagel</t>
  </si>
  <si>
    <t>Tops Ready to Eat Salad (no dressing)</t>
  </si>
  <si>
    <t>Singha Ume Lemon Soda (330 mL)</t>
  </si>
  <si>
    <t>Meiji Greek Style Yoghurt (1000 g)</t>
  </si>
  <si>
    <t>Correct dates, fill time/meal blanks, and remove empty food rows in Nutrition 2.0 food log (rows 1280-1512). Keep today's (Apr 8) and tomorrow's (Apr 9) empty rows.</t>
  </si>
  <si>
    <t>Fixed dates in 5 blocks, filled 145 time cells (propagate from above), assigned 205 meal labels by time-of-day, deleted 21 empty food rows.</t>
  </si>
  <si>
    <t>Date fixes: Block 3 (46113→46114/Apr 2), Block 7 (46117→46118/Apr 6), Block 8 (46117→46119/Apr 7), Block 9 (46117→46120/Apr 8), Block 10 (46117→46121/Apr 9). Meal mapping: &lt;12:00=Breakfast, 12-15:00=Lunch, 15-18:00=Snack, 18:00+=Dinner. Deleted empty rows from dates 46113 (5), 46114 (4), 46116 (2), 46117 (10). Preserved empty rows for today (46120) and tomorrow (46121).</t>
  </si>
  <si>
    <t>10 consecutive day blocks (Mar 31 – Apr 9) now fully correct. All food entries have Date, Time, and Meal filled. 21 empty rows removed. Today's and tomorrow's placeholder rows preserved.</t>
  </si>
  <si>
    <t>User asked for a micronutrient gap analysis based on their tracked diet across 80+ days of food logging.</t>
  </si>
  <si>
    <t>Analyzed all ~1,490 rows of food log data. Categorized food frequency, mapped against micronutrient RDAs, and identified deficiency risks by nutrient.</t>
  </si>
  <si>
    <t>Key patterns: chicken breast + white rice + whole wheat bread + protein shake = 80%+ of diet. Broccoli disappeared ~30 days ago. Almost no vegetables recently. Fatty fish appeared only ~3 times. Yogurt/dairy very rare. Chocolate/snacks daily. Recent additions: oats, chia seeds, peanut butter (last ~5 days).</t>
  </si>
  <si>
    <t>High-risk deficiencies: Vitamin A, K, D, Folate, Calcium, Omega-3, Vitamin E. Moderate risk: Vitamin C, Magnesium, Potassium. Adequate: B12, B6, Niacin, Selenium, Phosphorus, Zinc, Protein. Root cause: near-zero vegetable intake and no fatty fish.</t>
  </si>
  <si>
    <t>PART 4: BI-WEEKLY DIET SUMMARY</t>
  </si>
  <si>
    <t>Category</t>
  </si>
  <si>
    <t>Detail</t>
  </si>
  <si>
    <t>Actual (Avg)</t>
  </si>
  <si>
    <t>Notes / Recommendation</t>
  </si>
  <si>
    <t>Summary #1</t>
  </si>
  <si>
    <t>Period: Mar 25 – Apr 8, 2026</t>
  </si>
  <si>
    <t>Date Written:</t>
  </si>
  <si>
    <t>Macro Overview</t>
  </si>
  <si>
    <t>Calories</t>
  </si>
  <si>
    <t>kcal/day</t>
  </si>
  <si>
    <t>⚠️ Under</t>
  </si>
  <si>
    <t>~380 kcal below target. May hinder maintenance goal.</t>
  </si>
  <si>
    <t>g/day</t>
  </si>
  <si>
    <t>✅ On Track</t>
  </si>
  <si>
    <t>+10% above target. Great consistency via chicken + protein shakes.</t>
  </si>
  <si>
    <t>⚠️ Low</t>
  </si>
  <si>
    <t>~11% below target. Healthy fats (nuts, avocado, olive oil) can help.</t>
  </si>
  <si>
    <t>~26% below target. Main calorie deficit driver. Add more rice/oats/sweet potato.</t>
  </si>
  <si>
    <t>Psyllium husk helps, but need more food-based fiber (vegetables, legumes).</t>
  </si>
  <si>
    <t>Micronutrient Risk Assessment</t>
  </si>
  <si>
    <t>Vitamin A</t>
  </si>
  <si>
    <t>Vision, immune</t>
  </si>
  <si>
    <t>900 mcg</t>
  </si>
  <si>
    <t>Very Low</t>
  </si>
  <si>
    <t>🔴 High Risk</t>
  </si>
  <si>
    <t>No carrots, leafy greens, or liver. Sweet potato dropped off.</t>
  </si>
  <si>
    <t>Vitamin D</t>
  </si>
  <si>
    <t>Bones, mood</t>
  </si>
  <si>
    <t>15 mcg</t>
  </si>
  <si>
    <t>Almost no fatty fish. Eggs provide trace amounts. Sun helps.</t>
  </si>
  <si>
    <t>Vitamin K</t>
  </si>
  <si>
    <t>Blood, bones</t>
  </si>
  <si>
    <t>120 mcg</t>
  </si>
  <si>
    <t>No dark leafy greens. Broccoli gone for weeks.</t>
  </si>
  <si>
    <t>Folate (B9)</t>
  </si>
  <si>
    <t>Cell growth</t>
  </si>
  <si>
    <t>400 mcg</t>
  </si>
  <si>
    <t>No leafy greens, legumes, or beans. Bread gives ~15% of RDA.</t>
  </si>
  <si>
    <t>Calcium</t>
  </si>
  <si>
    <t>Bones, teeth</t>
  </si>
  <si>
    <t>1000 mg</t>
  </si>
  <si>
    <t>Low</t>
  </si>
  <si>
    <t>Yogurt only ~6x in 85 days. No milk or cheese regularly.</t>
  </si>
  <si>
    <t>Omega-3</t>
  </si>
  <si>
    <t>Heart, brain</t>
  </si>
  <si>
    <t>1.6 g</t>
  </si>
  <si>
    <t>Mackerel only ~3x in 85 days. Chia seeds (recent) help ALA only.</t>
  </si>
  <si>
    <t>Vitamin C</t>
  </si>
  <si>
    <t>Immune, skin</t>
  </si>
  <si>
    <t>90 mg</t>
  </si>
  <si>
    <t>Variable</t>
  </si>
  <si>
    <t>🟡 Moderate</t>
  </si>
  <si>
    <t>Oranges help on days eaten. Inconsistent. No vegetable sources.</t>
  </si>
  <si>
    <t>Magnesium</t>
  </si>
  <si>
    <t>Muscles, nerves</t>
  </si>
  <si>
    <t>420 mg</t>
  </si>
  <si>
    <t>Recent oats + peanut butter help. Needs more nuts, seeds, leafy greens.</t>
  </si>
  <si>
    <t>Vitamin E</t>
  </si>
  <si>
    <t>Antioxidant</t>
  </si>
  <si>
    <t>15 mg</t>
  </si>
  <si>
    <t>Peanut butter + chia (last week) are a good start. Add almonds.</t>
  </si>
  <si>
    <t>B12, B6, Niacin</t>
  </si>
  <si>
    <t>Energy, nerves</t>
  </si>
  <si>
    <t>Various</t>
  </si>
  <si>
    <t>Good</t>
  </si>
  <si>
    <t>✅ Adequate</t>
  </si>
  <si>
    <t>Well-covered by daily chicken, beef, eggs, and protein shakes.</t>
  </si>
  <si>
    <t>Selenium, Zinc</t>
  </si>
  <si>
    <t>Immune, thyroid</t>
  </si>
  <si>
    <t>Chicken, beef, eggs, and whole wheat provide sufficient amounts.</t>
  </si>
  <si>
    <t>Key Observations</t>
  </si>
  <si>
    <t>Vegetable intake has nearly disappeared. Broccoli was a staple in the first month but hasn't appeared in weeks. This single gap drives most micronutrient deficiencies.</t>
  </si>
  <si>
    <t>Diet is very repetitive — ~10 core foods account for 80%+ of daily calories (chicken, rice, bread, protein shake, sweet potato, eggs, chocolate, coconut water). Low variety = low micronutrient coverage.</t>
  </si>
  <si>
    <t>Calorie intake trending down recently (~2,456 avg vs 2,835 target). Last 2 days especially low (~1,380 and ~1,580). This is a significant deficit for a maintenance goal.</t>
  </si>
  <si>
    <t>Positive recent trend: oats, chia seeds, peanut butter, and yogurt added in the last ~5 days. These are excellent additions for magnesium, vitamin E, and healthy fats. Keep this up!</t>
  </si>
  <si>
    <t>Protein consistently exceeds target (169g avg vs 154g target). This is your strongest macro — driven by daily chicken breast and Proten shakes. Well done.</t>
  </si>
  <si>
    <t>Actionable Tips</t>
  </si>
  <si>
    <t>🥦</t>
  </si>
  <si>
    <t>Add 1 serving of dark leafy greens daily (ผักบุ้ง/morning glory, spinach, or kale). This single change addresses Vitamin A, K, Folate, and Magnesium simultaneously.</t>
  </si>
  <si>
    <t>🐟</t>
  </si>
  <si>
    <t>Swap chicken for canned salmon or sardines 2-3x/week. Fixes Omega-3 (EPA/DHA) and Vitamin D. Mackerel Roza is already in your food database — aim for 2-3 cans per week.</t>
  </si>
  <si>
    <t>🥛</t>
  </si>
  <si>
    <t>Add daily dairy: a glass of milk or 1 cup of yogurt. The Meiji/Dutchie yogurt you've tried is perfect — make it a daily habit for Calcium.</t>
  </si>
  <si>
    <t>🍠</t>
  </si>
  <si>
    <t>Bring back sweet potato! It was a great source of Vitamin A and complex carbs. It also helps close the carb gap. You clearly enjoy it — it was a daily staple early on.</t>
  </si>
  <si>
    <t>🌰</t>
  </si>
  <si>
    <t>Keep the oats + chia + peanut butter habit going! Add a small handful of almonds as a snack for Vitamin E boost.</t>
  </si>
  <si>
    <t>Motivation 💪</t>
  </si>
  <si>
    <t>85 days of consistent food tracking — that's incredible discipline. Most people quit after 2 weeks. You're building a real dataset that shows exactly where to improve.</t>
  </si>
  <si>
    <t>Your protein game is elite — consistently exceeding targets. That's the hardest macro to get right and you've nailed it. The foundation is strong.</t>
  </si>
  <si>
    <t>Focus on just ONE change this week: add a vegetable to your dinner plate every day. That alone will shift 4 nutrients from red to green. Small wins compound.</t>
  </si>
  <si>
    <t>Days Tracked:</t>
  </si>
  <si>
    <t>Avg Daily Calories:</t>
  </si>
  <si>
    <t>Overall Score:</t>
  </si>
  <si>
    <t>6/10 — Strong macros, weak micros</t>
  </si>
  <si>
    <t>User asked to create Part 4 as a bi-weekly diet summary section to the right of Part 3 (starting col AA). Should include macro/micro analysis, tips, motivation, and date. 'Summary' keyword will trigger future entries.</t>
  </si>
  <si>
    <t>Built Part 4: BI-WEEKLY DIET SUMMARY in columns AA:AF, starting row 3. Created Summary #1 with 5 sections: Macro Overview, Micronutrient Risk Assessment, Key Observations, Actionable Tips, Motivation. Saved 'summary' trigger preference to user instructions.</t>
  </si>
  <si>
    <t>Structure: AA=Category, AB=Detail, AC=Target, AD=Actual, AE=Status, AF=Notes. Color-coded status: red=High Risk, orange=Under/Low/Moderate, green=On Track/Adequate. Text sections merged AB:AF. Macro data computed from last 14 days of TOTALS rows. Column Z is spacer. Formatting matches Parts 1-3 (Aptos 12pt, thin borders, 15pt bold headers).</t>
  </si>
  <si>
    <t>Part 4 live in AA3:AF46. Summary #1 covers Mar 25-Apr 8. Score: 6/10. Key findings: 6 high-risk micronutrients (Vit A/D/K, Folate, Calcium, Omega-3) driven by zero vegetables. Protein excellent. Saved 'summary' trigger to user instructions for future bi-weekly generation.</t>
  </si>
  <si>
    <t>Cheetos Corn Snack Butterr Roasted Corn Flavor (75 g)</t>
  </si>
  <si>
    <t>User asked to verify food database nutritional values in Part 2 of Nutrition 2.0 sheet.</t>
  </si>
  <si>
    <t>Audited 22 representative food items across categories (generic staples, packaged brands, protein-heavy items, Thai foods) against USDA, official brand labels, and web sources.</t>
  </si>
  <si>
    <t>2 significant errors: Chicken Breast (cooked) protein listed as 25g instead of ~31g (USDA); Roza Mackerel 155g shows 260cal/30g protein vs ~184cal/22g protein. 6 minor issues: Peanut, Snickers, McDonald's Large Coke, Whole Wheat Bread, Chicken Leg, Nature Valley. 15 items confirmed correct.</t>
  </si>
  <si>
    <t>Database is ~68% accurate among checked items. Recommended fixes for chicken breast protein (most impactful — frequently logged item) and Roza mackerel. Minor items flagged for user review.</t>
  </si>
  <si>
    <t>Summary #2</t>
  </si>
  <si>
    <t>Period: Apr 4 – Apr 10, 2026</t>
  </si>
  <si>
    <t>Notes / vs Summary #1</t>
  </si>
  <si>
    <t>92% of target. Up from 2,456 (+155 cal). Improving trend.</t>
  </si>
  <si>
    <t>110% of target. Consistent via chicken, beef, and Proten shakes. Same as before.</t>
  </si>
  <si>
    <t>102% of target. ⬆️ Improved from 57g (89%) → now on target. Peanut butter &amp; yogurt helped.</t>
  </si>
  <si>
    <t>81% of target. Up from 304g (74%) but still biggest gap. Need more rice/oats/potato.</t>
  </si>
  <si>
    <t>88% of target. Up from 30g (75%). Psyllium husk + chia driving improvement. Still no veggies.</t>
  </si>
  <si>
    <t>RDA Target</t>
  </si>
  <si>
    <t>Estimated</t>
  </si>
  <si>
    <t>Change vs #1</t>
  </si>
  <si>
    <t>➡️ No change. Still zero orange/leafy veggies. Mango provides some but not enough.</t>
  </si>
  <si>
    <t>➡️ No change. No fatty fish this week. Eggs only trace amounts.</t>
  </si>
  <si>
    <t>➡️ No change. Zero leafy greens all week.</t>
  </si>
  <si>
    <t>➡️ No change. No leafy greens or legumes. Bread provides ~15% RDA only.</t>
  </si>
  <si>
    <t>⬆️ Slight improvement. Yogurt appeared 2x this week. Still not daily habit.</t>
  </si>
  <si>
    <t>⬆️ Chia seeds (ALA) are new. But no EPA/DHA (fatty fish). Partial improvement.</t>
  </si>
  <si>
    <t>⬆️ Better. Oranges eaten 3 out of 6 days this week vs inconsistent before.</t>
  </si>
  <si>
    <t>Moderate</t>
  </si>
  <si>
    <t>⬆️ Improved. Oats + peanut butter + chia added this period. Keep going.</t>
  </si>
  <si>
    <t>Low-Moderate</t>
  </si>
  <si>
    <t>⬆️ New: peanut butter + chia providing some. Add almonds for full coverage.</t>
  </si>
  <si>
    <t>➡️ Still strong. Daily chicken + beef + eggs cover these well.</t>
  </si>
  <si>
    <t>➡️ Same. Chicken, beef, eggs, whole grains providing sufficient amounts.</t>
  </si>
  <si>
    <t>Oats + chia + peanut butter breakfast is a WIN. This new habit delivers magnesium, vitamin E, healthy fats, and fiber in one meal. It appeared 2-3 days this week — make it daily.</t>
  </si>
  <si>
    <t>Yogurt appeared twice (Dutchie + Meiji Greek). This is a direct response to Summary #1's recommendation. Great start — now push for daily to meaningfully impact calcium.</t>
  </si>
  <si>
    <t>Vegetables remain at ZERO for the 3rd consecutive week. This is the single biggest bottleneck. All 6 high-risk micronutrients (Vit A, D, K, Folate, Calcium, Omega-3) trace back to missing vegetables and fish.</t>
  </si>
  <si>
    <t>Carb gap persists (81% of target). Bread and rice alone can't close it — potato appeared only 2 days this week. More consistent starchy sides (potato, oats, sweet potato) would fix both carbs and calories.</t>
  </si>
  <si>
    <t>Apr 5 was a low day (2,167 cal) — skipped breakfast and had no starchy carbs at lunch. On days like this, an extra bowl of oats or rice at dinner would recover ~300+ kcal easily.</t>
  </si>
  <si>
    <t>PRIORITY #1: Buy a bag of ผักบุ้ง (morning glory) or spinach this week. Stir-fry it with garlic alongside your rice+chicken dinner. This one change fixes Vitamin A, K, Folate, and Fiber simultaneously.</t>
  </si>
  <si>
    <t>Swap chicken for Roza mackerel 2x this week. You already have it in your food database. Open can + rice = easy dinner that adds Omega-3 (EPA/DHA) and Vitamin D.</t>
  </si>
  <si>
    <t>Make yogurt a daily habit. You've already tried Dutchie and Meiji — pick whichever you prefer and add it to your breakfast oats. Covers calcium and adds variety.</t>
  </si>
  <si>
    <t>Close the carb gap: aim for 300g rice instead of 250g at lunch, OR add a potato/sweet potato to dinner every day. This also pushes calories closer to target.</t>
  </si>
  <si>
    <t>🍊</t>
  </si>
  <si>
    <t>Keep the oranges going daily. 3 out of 6 days this week is good — push for every day. They're your best Vitamin C source and you clearly enjoy them.</t>
  </si>
  <si>
    <t>You're adapting! The oats-chia-PB breakfast, the yogurt additions, more oranges — these all came from the tips in Summary #1 and you actually followed through. That's real progress, not just tracking.</t>
  </si>
  <si>
    <t>91 days of food logging. You now have one of the most detailed personal nutrition datasets anyone could ask for. The patterns are crystal clear — and fixing the top 2 gaps (veggies + fish) would flip your score from 6.5 to 8+.</t>
  </si>
  <si>
    <t>This week's challenge: 🥦 one vegetable with dinner, every day, for 7 days straight. Just one. Pick your favorite. Track it. Come back and let's see the difference in Summary #3.</t>
  </si>
  <si>
    <t>6.5/10 — Macros improving, micros still weak</t>
  </si>
  <si>
    <t>User asked for a bi-weekly diet summary ('summary' trigger). Covers Apr 4-10 food log data.</t>
  </si>
  <si>
    <t>Built Summary #2 in Part 4 of Nutrition 2.0 (AA49:AF90). Analyzed 6 complete days of food log data and compared against Summary #1.</t>
  </si>
  <si>
    <t>Macros: Cal 2611 (92%), Protein 169g (110%), Fat 65g (102%), Carbs 335g (81%), Fiber 35g (88%). Improvements vs #1: fat now on target, fiber up, calories up 155. Still 6 high-risk micros (Vit A/D/K, Folate, Calcium, Omega-3) due to zero vegetables. Positive trends: oats+chia+PB breakfast, yogurt 2x, oranges 3x.</t>
  </si>
  <si>
    <t>Summary #2 live at AA49:AF90. Score: 6.5/10 (up from 6/10). User following some #1 recommendations (yogurt, oats). Key challenge issued: add 1 vegetable to dinner daily for 7 days.</t>
  </si>
  <si>
    <t>Aro Multifruit Muesli (1 kg)</t>
  </si>
  <si>
    <t>Jele beautie Lyncee Flavour (140 g)</t>
  </si>
  <si>
    <t>pounch</t>
  </si>
  <si>
    <t>ก๋วยเตี๋ยวเกี๊ยว (Wonton Noodle Cup)</t>
  </si>
  <si>
    <t>Sappe Beauti Tea Fiber Lychee</t>
  </si>
  <si>
    <t>UHA Sakeru Gummy Magic Apple</t>
  </si>
  <si>
    <t>Psyllium Husk (g)</t>
  </si>
  <si>
    <t>User requested 5 adjustments to Training Program 4.0: (1) black out Saturday workout cells only (not Time/Total/RPE/Weight), (2) exclude RPE=0/blank from averages, (3) exclude Duration=0/blank from averages, (4) single RPE average cell per month, (5) charts match their own month.</t>
  </si>
  <si>
    <t>Applied black background to Saturday workout cells across all 13 months. Fixed RPE average formula (was targeting wrong rows). Consolidated RPE avg to single cell. Updated all 13 chart titles and source data to match correct months.</t>
  </si>
  <si>
    <t>Saturdays blacked: 57 ranges (workout cols only, S-AJ equivalent per month). RPE formula bug: MOD(ROW()-4,3) targeted subheader rows instead of date rows where RPE lives; fixed to MOD(ROW()-3,3). RPE avg moved from rpeCol row 96 to timeCol row 99, old cell cleared. Charts 4-13 had 'March 2026 Weight' title; corrected to Apr-Jan2027. Also fixed 'Feburary' typo. Chart source data repointed to each month's own Date+Weight columns.</t>
  </si>
  <si>
    <t>All 5 adjustments applied across 13 month blocks. March RPE avg now correctly shows 7.4 (was 0 due to wrong row targeting). Duration avg was already correct (excluded 0s). Charts now titled and sourced per-month.</t>
  </si>
  <si>
    <t>User asked to add back trendlines to all weight charts.</t>
  </si>
  <si>
    <t>Added linear trendline to the Weight series on all 13 monthly charts.</t>
  </si>
  <si>
    <t>Used ChartTrendlineType.linear on series[0] for each chart. No equation or R² displayed.</t>
  </si>
  <si>
    <t>All 13 charts (January 2026 – January 2027) now have linear trendlines.</t>
  </si>
  <si>
    <t>User asked for micronutrient column suggestions to add to Nutrition 2.0, mentioning EPA/DHA as an example.</t>
  </si>
  <si>
    <t>Reviewed current sheet structure (only tracks macros: Cal/Protein/Fat/Carbs/Fiber). Recommended 4 high-priority micros based on prior deficiency assessments.</t>
  </si>
  <si>
    <t>Current food DB and log have no micro columns. Recommended: EPA+DHA (mg), Calcium (mg), Vitamin D (mcg), Vitamin C (mg) based on bi-weekly summary risk assessments. Advised limiting to 3-4 to keep database maintenance manageable.</t>
  </si>
  <si>
    <t>Presented recommendations with rationale. Awaiting user decision on which micros to add before modifying the sheet.</t>
  </si>
  <si>
    <t>EPA+DHA (mg)</t>
  </si>
  <si>
    <t>Vit D (mcg)</t>
  </si>
  <si>
    <t>Calcium (mg)</t>
  </si>
  <si>
    <t>Micro Targets (Daily)</t>
  </si>
  <si>
    <t>EPA+DHA</t>
  </si>
  <si>
    <t>mg</t>
  </si>
  <si>
    <t>User asked to add EPA+DHA tracking to Nutrition 2.0 sheet, starting with EPA+DHA only (Vit D and Calcium later).</t>
  </si>
  <si>
    <t>Added EPA+DHA (mg) column to food database (col M) with values for 295 items. Inserted EPA+DHA column (AB) in food log with VLOOKUP formulas. Added SUM/Target/Diff formulas for all 92 daily blocks. Added Micro Targets section at A38:C39 with 500mg daily target.</t>
  </si>
  <si>
    <t>EPA+DHA values: mackerel=1300mg (top source), fried fish=200-250mg, tuna=150mg, eggs=35-40mg each, shrimp dishes=60-120mg. VLOOKUP formula: =IFERROR(VLOOKUP(T,E5:O818,9,FALSE)*(U/VLOOKUP(T,E5:O818,2,FALSE)),""). Conditional formatting on diff rows: green&gt;=0, red&lt;0. Target stored in B39.</t>
  </si>
  <si>
    <t>EPA+DHA column fully operational across all 92 daily blocks. 1304 food rows have VLOOKUP formulas. Vit D (col N) and Calcium (col O) headers exist but data not yet populated.</t>
  </si>
  <si>
    <t>Chia Seeds (g)</t>
  </si>
  <si>
    <t>Jele beautie Sugar Free Lyncee Flavour (140 g)</t>
  </si>
  <si>
    <t>ยำมาม่า Tom Yum (Mama + Tofu + Shrimp + Veg)</t>
  </si>
  <si>
    <t>น้ำมะพร้าวปั่น (Blended Coconut Water)</t>
  </si>
  <si>
    <t>Moove Clear Protein Lychee Flavour (200 mL)</t>
  </si>
  <si>
    <t>ส้มโอ (Pomelo)</t>
  </si>
  <si>
    <t>Fill in missing Meal types (col S) for food log entries in 🍽️ Nutrition 2.0</t>
  </si>
  <si>
    <t>Scanned all 1839 rows; found 311 rows with food items but no meal type across 22 days. Applied time+food heuristic to assign Breakfast/Lunch/Dinner/Snack.</t>
  </si>
  <si>
    <t>Logic: earliest time per day → Breakfast; mid-day (10:45am–4:48pm) with main-meal foods (chicken, eggs, potato, rice, beef, fish) → Lunch; evening (after 4:48pm) with main-meal foods → Dinner; everything else → Snack.</t>
  </si>
  <si>
    <t>Wrote 311 meal assignments: 43 Breakfast, 38 Lunch, 45 Dinner, 185 Snack. All rows in S:T now have meal types.</t>
  </si>
  <si>
    <t>Ginzy Blended Chicken Shake Yogurt Berry (500 mL)</t>
  </si>
  <si>
    <t>Schweppes Shine Muscat ad Peach (330 mL)</t>
  </si>
  <si>
    <t>Chicken Breast Veggie Blend No Sauce (Homemade)</t>
  </si>
  <si>
    <t>Chicken Breast Veggie Blend 800g Sauce (Homemade)</t>
  </si>
  <si>
    <t>Coca-Cola Original (500 mL)</t>
  </si>
  <si>
    <t>Lay's Flat Potato Chips Original Flavor (13 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</si>
</sst>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
    <numFmt numFmtId="165" formatCode="[$-409]d/mmm;@"/>
    <numFmt numFmtId="166" formatCode="yyyy\-mm\-dd"/>
    <numFmt numFmtId="167" formatCode="0.00\%"/>
    <numFmt numFmtId="168" formatCode="#,##0\ &quot;min&quot;"/>
    <numFmt numFmtId="169" formatCode="\+0.0;\-0.0;&quot;±0&quot;"/>
    <numFmt numFmtId="170" formatCode="\+0.0%;\-0.0%;&quot;0.0%&quot;"/>
    <numFmt numFmtId="171" formatCode="0.0%"/>
  </numFmts>
  <fonts count="128">
    <font>
      <sz val="11"/>
      <color theme="1"/>
      <name val="Calibri"/>
      <family val="2"/>
      <scheme val="minor"/>
    </font>
    <font>
      <b/>
      <sz val="11"/>
      <color theme="1"/>
      <name val="Calibri"/>
      <family val="2"/>
      <scheme val="minor"/>
    </font>
    <font>
      <sz val="8"/>
      <name val="Calibri"/>
      <family val="2"/>
      <scheme val="minor"/>
    </font>
    <font>
      <sz val="11"/>
      <color theme="0"/>
      <name val="Calibri"/>
      <family val="2"/>
      <scheme val="minor"/>
    </font>
    <font>
      <sz val="11"/>
      <name val="Calibri"/>
      <family val="2"/>
      <scheme val="minor"/>
    </font>
    <font>
      <sz val="11"/>
      <color theme="0" tint="-4.9989318521683403E-2"/>
      <name val="Calibri"/>
      <family val="2"/>
      <scheme val="minor"/>
    </font>
    <font>
      <sz val="11"/>
      <color theme="1"/>
      <name val="Calibri"/>
      <family val="2"/>
      <scheme val="minor"/>
    </font>
    <font>
      <b/>
      <sz val="11"/>
      <color theme="0"/>
      <name val="Calibri"/>
      <family val="2"/>
      <scheme val="minor"/>
    </font>
    <font>
      <b/>
      <sz val="11"/>
      <name val="Calibri"/>
      <family val="2"/>
      <scheme val="minor"/>
    </font>
    <font>
      <b/>
      <sz val="14"/>
      <color theme="1"/>
      <name val="Calibri"/>
      <family val="2"/>
      <scheme val="minor"/>
    </font>
    <font>
      <sz val="14"/>
      <color theme="0"/>
      <name val="Calibri"/>
      <family val="2"/>
      <scheme val="minor"/>
    </font>
    <font>
      <sz val="14"/>
      <color theme="1"/>
      <name val="Calibri"/>
      <family val="2"/>
      <scheme val="minor"/>
    </font>
    <font>
      <sz val="14"/>
      <name val="Calibri"/>
      <family val="2"/>
      <scheme val="minor"/>
    </font>
    <font>
      <sz val="10"/>
      <color theme="1"/>
      <name val="Calibri"/>
      <family val="2"/>
      <scheme val="minor"/>
    </font>
    <font>
      <b/>
      <sz val="10"/>
      <color theme="1"/>
      <name val="Calibri"/>
      <family val="2"/>
      <scheme val="minor"/>
    </font>
    <font>
      <b/>
      <sz val="12"/>
      <color theme="1"/>
      <name val="Calibri"/>
      <family val="2"/>
      <scheme val="minor"/>
    </font>
    <font>
      <b/>
      <sz val="8"/>
      <color theme="1"/>
      <name val="Calibri"/>
      <family val="2"/>
      <scheme val="minor"/>
    </font>
    <font>
      <b/>
      <sz val="9"/>
      <color theme="1"/>
      <name val="Calibri"/>
      <family val="2"/>
      <scheme val="minor"/>
    </font>
    <font>
      <sz val="11"/>
      <color theme="1"/>
      <name val="Aptos"/>
      <family val="2"/>
    </font>
    <font>
      <b/>
      <sz val="17"/>
      <name val="Aptos"/>
      <family val="2"/>
    </font>
    <font>
      <b/>
      <sz val="15"/>
      <name val="Aptos"/>
      <family val="2"/>
    </font>
    <font>
      <sz val="11"/>
      <name val="Aptos"/>
      <family val="2"/>
    </font>
    <font>
      <b/>
      <sz val="11"/>
      <name val="Aptos"/>
      <family val="2"/>
    </font>
    <font>
      <b/>
      <sz val="12"/>
      <name val="Aptos"/>
      <family val="2"/>
    </font>
    <font>
      <sz val="12"/>
      <color theme="1"/>
      <name val="Aptos"/>
      <family val="2"/>
    </font>
    <font>
      <sz val="12"/>
      <name val="Aptos"/>
      <family val="2"/>
    </font>
    <font>
      <vertAlign val="superscript"/>
      <sz val="12"/>
      <name val="Aptos"/>
      <family val="2"/>
    </font>
    <font>
      <sz val="12"/>
      <color theme="1"/>
      <name val="Aptos"/>
      <family val="2"/>
    </font>
    <font>
      <sz val="12"/>
      <color theme="1"/>
      <name val="Aptos"/>
      <family val="2"/>
    </font>
    <font>
      <sz val="12"/>
      <name val="Aptos"/>
      <family val="2"/>
    </font>
    <font>
      <b/>
      <sz val="12"/>
      <name val="Aptos"/>
      <family val="2"/>
    </font>
    <font>
      <sz val="8"/>
      <color theme="1"/>
      <name val="Aptos"/>
      <family val="2"/>
    </font>
    <font>
      <sz val="12"/>
      <color rgb="FF0F1115"/>
      <name val="Aptos"/>
      <family val="2"/>
    </font>
    <font>
      <sz val="12"/>
      <color rgb="FF000000"/>
      <name val="Aptos"/>
      <family val="2"/>
    </font>
    <font>
      <sz val="12"/>
      <color rgb="FF000000"/>
      <name val="Aptos"/>
      <family val="2"/>
    </font>
    <font>
      <sz val="11"/>
      <color theme="1"/>
      <name val="Aptos"/>
      <family val="2"/>
    </font>
    <font>
      <sz val="12"/>
      <color theme="1"/>
      <name val="Aptos"/>
      <family val="2"/>
    </font>
    <font>
      <sz val="12"/>
      <name val="Aptos"/>
      <family val="2"/>
    </font>
    <font>
      <b/>
      <sz val="12"/>
      <name val="Aptos"/>
      <family val="2"/>
    </font>
    <font>
      <sz val="12"/>
      <color theme="1"/>
      <name val="Aptos"/>
      <family val="2"/>
    </font>
    <font>
      <sz val="12"/>
      <name val="Aptos"/>
      <family val="2"/>
    </font>
    <font>
      <b/>
      <sz val="12"/>
      <name val="Aptos"/>
      <family val="2"/>
    </font>
    <font>
      <sz val="10"/>
      <name val="Calibri"/>
      <family val="2"/>
      <scheme val="minor"/>
    </font>
    <font>
      <sz val="12"/>
      <color theme="1"/>
      <name val="Aptos"/>
      <family val="2"/>
    </font>
    <font>
      <sz val="12"/>
      <name val="Aptos"/>
      <family val="2"/>
    </font>
    <font>
      <b/>
      <sz val="12"/>
      <name val="Aptos"/>
      <family val="2"/>
    </font>
    <font>
      <sz val="11"/>
      <color theme="1"/>
      <name val="Aptos"/>
      <family val="2"/>
    </font>
    <font>
      <b/>
      <sz val="10"/>
      <name val="Calibri"/>
      <family val="2"/>
      <scheme val="minor"/>
    </font>
    <font>
      <b/>
      <sz val="9"/>
      <name val="Calibri"/>
      <family val="2"/>
      <scheme val="minor"/>
    </font>
    <font>
      <b/>
      <sz val="12"/>
      <color theme="1"/>
      <name val="Aptos"/>
      <family val="2"/>
    </font>
    <font>
      <sz val="11"/>
      <color theme="1"/>
      <name val="Calibri"/>
      <family val="2"/>
      <charset val="1"/>
    </font>
    <font>
      <sz val="11"/>
      <color theme="0" tint="-4.9989318521683403E-2"/>
      <name val="Calibri"/>
      <family val="2"/>
      <charset val="222"/>
    </font>
    <font>
      <b/>
      <sz val="10"/>
      <name val="Cambria"/>
      <family val="1"/>
    </font>
    <font>
      <b/>
      <sz val="11"/>
      <name val="Cambria"/>
      <family val="1"/>
    </font>
    <font>
      <sz val="11"/>
      <name val="Calibri"/>
      <family val="2"/>
      <charset val="222"/>
    </font>
    <font>
      <b/>
      <sz val="9"/>
      <name val="Cambria"/>
      <family val="1"/>
    </font>
    <font>
      <b/>
      <sz val="11"/>
      <color theme="0" tint="-4.9989318521683403E-2"/>
      <name val="Cambria"/>
      <family val="1"/>
    </font>
    <font>
      <b/>
      <sz val="11"/>
      <name val="Cambria"/>
      <family val="1"/>
      <charset val="222"/>
    </font>
    <font>
      <b/>
      <sz val="12"/>
      <name val="Cambria"/>
      <family val="1"/>
    </font>
    <font>
      <b/>
      <sz val="18"/>
      <name val="Cambria"/>
      <family val="1"/>
    </font>
    <font>
      <b/>
      <sz val="14"/>
      <color rgb="FFFFFFFF"/>
      <name val="Arial"/>
      <family val="2"/>
    </font>
    <font>
      <i/>
      <sz val="9"/>
      <name val="Calibri"/>
      <family val="2"/>
    </font>
    <font>
      <b/>
      <sz val="11"/>
      <color rgb="FFFFFFFF"/>
      <name val="Arial"/>
      <family val="2"/>
    </font>
    <font>
      <b/>
      <sz val="11"/>
      <name val="Calibri"/>
      <family val="2"/>
    </font>
    <font>
      <sz val="9"/>
      <color indexed="81"/>
      <name val="Tahoma"/>
      <family val="2"/>
    </font>
    <font>
      <b/>
      <sz val="9"/>
      <color indexed="81"/>
      <name val="Tahoma"/>
      <family val="2"/>
    </font>
    <font>
      <i/>
      <sz val="9"/>
      <color rgb="FF444444"/>
      <name val="Arial"/>
      <family val="2"/>
    </font>
    <font>
      <b/>
      <sz val="9"/>
      <color rgb="FFFFFFFF"/>
      <name val="Arial"/>
      <family val="2"/>
    </font>
    <font>
      <sz val="10"/>
      <color rgb="FF000000"/>
      <name val="Arial"/>
      <family val="2"/>
    </font>
    <font>
      <sz val="10"/>
      <color rgb="FF008000"/>
      <name val="Arial"/>
      <family val="2"/>
    </font>
    <font>
      <sz val="9"/>
      <color rgb="FF008000"/>
      <name val="Arial"/>
      <family val="2"/>
    </font>
    <font>
      <b/>
      <sz val="10"/>
      <color rgb="FF000000"/>
      <name val="Arial"/>
      <family val="2"/>
    </font>
    <font>
      <sz val="11"/>
      <color rgb="FF008000"/>
      <name val="Arial"/>
      <family val="2"/>
    </font>
    <font>
      <b/>
      <sz val="10"/>
      <color rgb="FF1F3864"/>
      <name val="Arial"/>
      <family val="2"/>
    </font>
    <font>
      <sz val="9"/>
      <color rgb="FF000000"/>
      <name val="Arial"/>
      <family val="2"/>
    </font>
    <font>
      <b/>
      <sz val="10"/>
      <color rgb="FFFFFFFF"/>
      <name val="Arial"/>
      <family val="2"/>
    </font>
    <font>
      <sz val="12"/>
      <color theme="1"/>
      <name val="Aptos"/>
      <family val="2"/>
    </font>
    <font>
      <sz val="12"/>
      <name val="Aptos"/>
      <family val="2"/>
    </font>
    <font>
      <b/>
      <sz val="12"/>
      <name val="Aptos"/>
      <family val="2"/>
    </font>
    <font>
      <sz val="11"/>
      <color theme="1"/>
      <name val="Aptos"/>
      <family val="2"/>
    </font>
    <font>
      <sz val="10"/>
      <color rgb="FF000000"/>
      <name val="Arial"/>
      <family val="2"/>
    </font>
    <font>
      <b/>
      <sz val="11"/>
      <color rgb="FF008000"/>
      <name val="Calibri"/>
      <family val="2"/>
      <scheme val="minor"/>
    </font>
    <font>
      <b/>
      <sz val="11"/>
      <color rgb="FF000000"/>
      <name val="Calibri"/>
      <family val="2"/>
      <scheme val="minor"/>
    </font>
    <font>
      <b/>
      <sz val="11"/>
      <color rgb="FFFFFFFF"/>
      <name val="Calibri"/>
      <family val="2"/>
      <scheme val="minor"/>
    </font>
    <font>
      <sz val="11"/>
      <color rgb="FF000000"/>
      <name val="Calibri"/>
      <family val="2"/>
      <scheme val="minor"/>
    </font>
    <font>
      <sz val="10"/>
      <color rgb="FF000000"/>
      <name val="Calibri"/>
      <family val="2"/>
      <scheme val="minor"/>
    </font>
    <font>
      <sz val="12"/>
      <color theme="1"/>
      <name val="Aptos"/>
      <family val="2"/>
    </font>
    <font>
      <sz val="12"/>
      <name val="Aptos"/>
      <family val="2"/>
    </font>
    <font>
      <b/>
      <sz val="12"/>
      <name val="Aptos"/>
      <family val="2"/>
    </font>
    <font>
      <sz val="12"/>
      <color rgb="FF006100"/>
      <name val="Aptos"/>
      <family val="2"/>
    </font>
    <font>
      <sz val="12"/>
      <color rgb="FF9C0006"/>
      <name val="Aptos"/>
      <family val="2"/>
    </font>
    <font>
      <b/>
      <sz val="15"/>
      <color rgb="FF000000"/>
      <name val="Aptos"/>
      <family val="2"/>
    </font>
    <font>
      <b/>
      <sz val="12"/>
      <color rgb="FFFFFFFF"/>
      <name val="Aptos"/>
      <family val="2"/>
    </font>
    <font>
      <b/>
      <sz val="12"/>
      <color rgb="FF006100"/>
      <name val="Aptos"/>
      <family val="2"/>
    </font>
    <font>
      <b/>
      <sz val="12"/>
      <color rgb="FF9C0006"/>
      <name val="Aptos"/>
      <family val="2"/>
    </font>
    <font>
      <i/>
      <sz val="10"/>
      <color rgb="FF808080"/>
      <name val="Calibri"/>
      <family val="2"/>
      <scheme val="minor"/>
    </font>
    <font>
      <sz val="11"/>
      <color theme="1"/>
      <name val="Aptos"/>
      <family val="2"/>
    </font>
    <font>
      <sz val="12"/>
      <color theme="1"/>
      <name val="Aptos"/>
      <family val="2"/>
    </font>
    <font>
      <sz val="12"/>
      <name val="Aptos"/>
      <family val="2"/>
    </font>
    <font>
      <b/>
      <sz val="12"/>
      <name val="Aptos"/>
      <family val="2"/>
    </font>
    <font>
      <sz val="12"/>
      <color theme="1"/>
      <name val="Aptos"/>
      <family val="2"/>
    </font>
    <font>
      <sz val="12"/>
      <name val="Aptos"/>
      <family val="2"/>
    </font>
    <font>
      <b/>
      <sz val="12"/>
      <name val="Aptos"/>
      <family val="2"/>
    </font>
    <font>
      <b/>
      <sz val="15"/>
      <color rgb="FF000000"/>
      <name val="Aptos"/>
      <family val="2"/>
    </font>
    <font>
      <sz val="15"/>
      <color theme="1"/>
      <name val="Aptos"/>
      <family val="2"/>
    </font>
    <font>
      <b/>
      <sz val="11"/>
      <color theme="1"/>
      <name val="Aptos"/>
      <family val="2"/>
    </font>
    <font>
      <b/>
      <sz val="12"/>
      <color theme="1"/>
      <name val="Aptos"/>
      <family val="2"/>
    </font>
    <font>
      <sz val="12"/>
      <color rgb="FFFF8C00"/>
      <name val="Aptos"/>
      <family val="2"/>
    </font>
    <font>
      <sz val="12"/>
      <color rgb="FF008000"/>
      <name val="Aptos"/>
      <family val="2"/>
    </font>
    <font>
      <sz val="12"/>
      <color rgb="FFFF0000"/>
      <name val="Aptos"/>
      <family val="2"/>
    </font>
    <font>
      <b/>
      <sz val="14"/>
      <color rgb="FFFF8C00"/>
      <name val="Aptos"/>
      <family val="2"/>
    </font>
    <font>
      <b/>
      <sz val="13"/>
      <color rgb="FF000000"/>
      <name val="Aptos"/>
      <family val="2"/>
    </font>
    <font>
      <sz val="11"/>
      <color rgb="FF808080"/>
      <name val="Aptos"/>
      <family val="2"/>
    </font>
    <font>
      <sz val="12"/>
      <color rgb="FF008000"/>
      <name val="Aptos"/>
      <family val="2"/>
    </font>
    <font>
      <sz val="12"/>
      <color rgb="FFFF8C00"/>
      <name val="Aptos"/>
      <family val="2"/>
    </font>
    <font>
      <sz val="12"/>
      <color rgb="FFFF0000"/>
      <name val="Aptos"/>
      <family val="2"/>
    </font>
    <font>
      <sz val="14"/>
      <color theme="1"/>
      <name val="Aptos"/>
      <family val="2"/>
    </font>
    <font>
      <b/>
      <sz val="14"/>
      <color rgb="FFFF8C00"/>
      <name val="Aptos"/>
      <family val="2"/>
    </font>
    <font>
      <b/>
      <sz val="10"/>
      <color rgb="FF000000"/>
      <name val="Calibri"/>
      <family val="2"/>
      <scheme val="minor"/>
    </font>
    <font>
      <b/>
      <sz val="9"/>
      <color rgb="FF000000"/>
      <name val="Calibri"/>
      <family val="2"/>
      <scheme val="minor"/>
    </font>
    <font>
      <b/>
      <sz val="8"/>
      <color rgb="FF000000"/>
      <name val="Calibri"/>
      <family val="2"/>
      <scheme val="minor"/>
    </font>
    <font>
      <b/>
      <sz val="11"/>
      <name val="Aptos"/>
      <family val="2"/>
    </font>
    <font>
      <sz val="12"/>
      <color rgb="FF0F1115"/>
      <name val="Aptos"/>
      <family val="2"/>
    </font>
    <font>
      <sz val="12"/>
      <color rgb="FF000000"/>
      <name val="Aptos"/>
      <family val="2"/>
    </font>
    <font>
      <sz val="12"/>
      <color rgb="FF0000FF"/>
      <name val="Aptos"/>
      <family val="2"/>
    </font>
    <font>
      <sz val="12"/>
      <color theme="1"/>
      <name val="Aptos"/>
    </font>
    <font>
      <sz val="12"/>
      <name val="Aptos"/>
    </font>
    <font>
      <b/>
      <sz val="12"/>
      <name val="Aptos"/>
    </font>
  </fonts>
  <fills count="52">
    <fill>
      <patternFill patternType="none"/>
    </fill>
    <fill>
      <patternFill patternType="gray125"/>
    </fill>
    <fill>
      <patternFill patternType="solid">
        <fgColor rgb="FFFFFF00"/>
        <bgColor indexed="64"/>
      </patternFill>
    </fill>
    <fill>
      <patternFill patternType="solid">
        <fgColor rgb="FF00B0F0"/>
        <bgColor indexed="64"/>
      </patternFill>
    </fill>
    <fill>
      <patternFill patternType="solid">
        <fgColor rgb="FF7030A0"/>
        <bgColor indexed="64"/>
      </patternFill>
    </fill>
    <fill>
      <patternFill patternType="solid">
        <fgColor rgb="FFFF0000"/>
        <bgColor indexed="64"/>
      </patternFill>
    </fill>
    <fill>
      <patternFill patternType="solid">
        <fgColor rgb="FFFF99FF"/>
        <bgColor indexed="64"/>
      </patternFill>
    </fill>
    <fill>
      <patternFill patternType="solid">
        <fgColor rgb="FF00B050"/>
        <bgColor indexed="64"/>
      </patternFill>
    </fill>
    <fill>
      <patternFill patternType="solid">
        <fgColor theme="5"/>
        <bgColor indexed="64"/>
      </patternFill>
    </fill>
    <fill>
      <patternFill patternType="solid">
        <fgColor rgb="FFFFC000"/>
        <bgColor indexed="64"/>
      </patternFill>
    </fill>
    <fill>
      <patternFill patternType="solid">
        <fgColor theme="3" tint="0.79998168889431442"/>
        <bgColor indexed="64"/>
      </patternFill>
    </fill>
    <fill>
      <patternFill patternType="solid">
        <fgColor theme="0" tint="-0.499984740745262"/>
        <bgColor indexed="64"/>
      </patternFill>
    </fill>
    <fill>
      <patternFill patternType="solid">
        <fgColor theme="1"/>
        <bgColor indexed="64"/>
      </patternFill>
    </fill>
    <fill>
      <patternFill patternType="solid">
        <fgColor rgb="FF92D050"/>
        <bgColor indexed="64"/>
      </patternFill>
    </fill>
    <fill>
      <patternFill patternType="solid">
        <fgColor theme="7" tint="0.79998168889431442"/>
        <bgColor indexed="64"/>
      </patternFill>
    </fill>
    <fill>
      <patternFill patternType="solid">
        <fgColor rgb="FFFFFFFF"/>
        <bgColor rgb="FF000000"/>
      </patternFill>
    </fill>
    <fill>
      <patternFill patternType="solid">
        <fgColor theme="8" tint="0.59999389629810485"/>
        <bgColor indexed="64"/>
      </patternFill>
    </fill>
    <fill>
      <patternFill patternType="solid">
        <fgColor rgb="FFE7E6E6"/>
        <bgColor rgb="FFD3D3D3"/>
      </patternFill>
    </fill>
    <fill>
      <patternFill patternType="solid">
        <fgColor rgb="FFC00000"/>
        <bgColor rgb="FF800000"/>
      </patternFill>
    </fill>
    <fill>
      <patternFill patternType="solid">
        <fgColor rgb="FFFF6600"/>
        <bgColor rgb="FFFF9900"/>
      </patternFill>
    </fill>
    <fill>
      <patternFill patternType="solid">
        <fgColor rgb="FFFFC000"/>
        <bgColor rgb="FFFF9900"/>
      </patternFill>
    </fill>
    <fill>
      <patternFill patternType="solid">
        <fgColor rgb="FFFFFF00"/>
        <bgColor rgb="FFFFFF00"/>
      </patternFill>
    </fill>
    <fill>
      <patternFill patternType="solid">
        <fgColor rgb="FF92D050"/>
        <bgColor rgb="FFC0C0C0"/>
      </patternFill>
    </fill>
    <fill>
      <patternFill patternType="solid">
        <fgColor rgb="FF00B050"/>
        <bgColor rgb="FF008080"/>
      </patternFill>
    </fill>
    <fill>
      <patternFill patternType="solid">
        <fgColor rgb="FFD3D3D3"/>
        <bgColor rgb="FFC0C0C0"/>
      </patternFill>
    </fill>
    <fill>
      <patternFill patternType="solid">
        <fgColor rgb="FF203764"/>
        <bgColor rgb="FF203764"/>
      </patternFill>
    </fill>
    <fill>
      <patternFill patternType="solid">
        <fgColor rgb="FF4472C4"/>
        <bgColor rgb="FF4472C4"/>
      </patternFill>
    </fill>
    <fill>
      <patternFill patternType="solid">
        <fgColor rgb="FFC6EFCE"/>
        <bgColor rgb="FFC6EFCE"/>
      </patternFill>
    </fill>
    <fill>
      <patternFill patternType="solid">
        <fgColor rgb="FFFFEB9C"/>
        <bgColor rgb="FFFFEB9C"/>
      </patternFill>
    </fill>
    <fill>
      <patternFill patternType="solid">
        <fgColor rgb="FFFFC7CE"/>
        <bgColor rgb="FFFFC7CE"/>
      </patternFill>
    </fill>
    <fill>
      <patternFill patternType="solid">
        <fgColor rgb="FFFFF2CC"/>
        <bgColor rgb="FFFFF2CC"/>
      </patternFill>
    </fill>
    <fill>
      <patternFill patternType="solid">
        <fgColor theme="0" tint="-0.499984740745262"/>
        <bgColor rgb="FFD3D3D3"/>
      </patternFill>
    </fill>
    <fill>
      <patternFill patternType="solid">
        <fgColor rgb="FF1F3864"/>
      </patternFill>
    </fill>
    <fill>
      <patternFill patternType="solid">
        <fgColor rgb="FFFFF9E6"/>
      </patternFill>
    </fill>
    <fill>
      <patternFill patternType="solid">
        <fgColor rgb="FFE7E6E6"/>
      </patternFill>
    </fill>
    <fill>
      <patternFill patternType="solid">
        <fgColor rgb="FFDEEAF1"/>
      </patternFill>
    </fill>
    <fill>
      <patternFill patternType="solid">
        <fgColor rgb="FFF7FBFF"/>
      </patternFill>
    </fill>
    <fill>
      <patternFill patternType="solid">
        <fgColor rgb="FFFFFFFF"/>
      </patternFill>
    </fill>
    <fill>
      <patternFill patternType="solid">
        <fgColor rgb="FF2E75B6"/>
      </patternFill>
    </fill>
    <fill>
      <patternFill patternType="solid">
        <fgColor rgb="FFF0F8FF"/>
      </patternFill>
    </fill>
    <fill>
      <patternFill patternType="solid">
        <fgColor rgb="FFE8E8E8"/>
      </patternFill>
    </fill>
    <fill>
      <patternFill patternType="solid">
        <fgColor rgb="FF1F3864"/>
        <bgColor indexed="64"/>
      </patternFill>
    </fill>
    <fill>
      <patternFill patternType="solid">
        <fgColor rgb="FFFFFFFF"/>
        <bgColor indexed="64"/>
      </patternFill>
    </fill>
    <fill>
      <patternFill patternType="solid">
        <fgColor rgb="FFFFF9E6"/>
        <bgColor indexed="64"/>
      </patternFill>
    </fill>
    <fill>
      <patternFill patternType="solid">
        <fgColor theme="0"/>
        <bgColor indexed="64"/>
      </patternFill>
    </fill>
    <fill>
      <patternFill patternType="solid">
        <fgColor rgb="FFED7D31"/>
        <bgColor indexed="64"/>
      </patternFill>
    </fill>
    <fill>
      <patternFill patternType="solid">
        <fgColor rgb="FF000000"/>
        <bgColor indexed="64"/>
      </patternFill>
    </fill>
    <fill>
      <patternFill patternType="solid">
        <fgColor rgb="FFBDD7EE"/>
        <bgColor indexed="64"/>
      </patternFill>
    </fill>
    <fill>
      <patternFill patternType="solid">
        <fgColor rgb="FF4472C4"/>
        <bgColor indexed="64"/>
      </patternFill>
    </fill>
    <fill>
      <patternFill patternType="solid">
        <fgColor rgb="FFFFC7CE"/>
        <bgColor indexed="64"/>
      </patternFill>
    </fill>
    <fill>
      <patternFill patternType="solid">
        <fgColor rgb="FFC6EFCE"/>
        <bgColor indexed="64"/>
      </patternFill>
    </fill>
    <fill>
      <patternFill patternType="solid">
        <fgColor rgb="FFD9E2F3"/>
        <bgColor indexed="64"/>
      </patternFill>
    </fill>
  </fills>
  <borders count="9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diagonal/>
    </border>
    <border>
      <left/>
      <right style="thin">
        <color indexed="64"/>
      </right>
      <top style="thin">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right style="medium">
        <color indexed="64"/>
      </right>
      <top/>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right style="medium">
        <color indexed="64"/>
      </right>
      <top style="thin">
        <color indexed="64"/>
      </top>
      <bottom/>
      <diagonal/>
    </border>
    <border>
      <left/>
      <right style="medium">
        <color indexed="64"/>
      </right>
      <top/>
      <bottom style="medium">
        <color indexed="64"/>
      </bottom>
      <diagonal/>
    </border>
    <border>
      <left/>
      <right/>
      <top style="medium">
        <color indexed="64"/>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
      <left style="medium">
        <color indexed="64"/>
      </left>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medium">
        <color indexed="64"/>
      </top>
      <bottom/>
      <diagonal/>
    </border>
    <border>
      <left style="thin">
        <color indexed="64"/>
      </left>
      <right/>
      <top style="medium">
        <color indexed="64"/>
      </top>
      <bottom style="thin">
        <color indexed="64"/>
      </bottom>
      <diagonal/>
    </border>
    <border>
      <left style="medium">
        <color indexed="64"/>
      </left>
      <right/>
      <top/>
      <bottom/>
      <diagonal/>
    </border>
    <border>
      <left style="thin">
        <color indexed="64"/>
      </left>
      <right/>
      <top style="thin">
        <color indexed="64"/>
      </top>
      <bottom style="thin">
        <color indexed="64"/>
      </bottom>
      <diagonal/>
    </border>
    <border>
      <left style="medium">
        <color indexed="64"/>
      </left>
      <right/>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bottom/>
      <diagonal/>
    </border>
    <border>
      <left/>
      <right style="thin">
        <color indexed="64"/>
      </right>
      <top/>
      <bottom/>
      <diagonal/>
    </border>
    <border>
      <left/>
      <right/>
      <top style="thin">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top style="medium">
        <color indexed="64"/>
      </top>
      <bottom style="thin">
        <color rgb="FF000000"/>
      </bottom>
      <diagonal/>
    </border>
    <border>
      <left/>
      <right style="medium">
        <color indexed="64"/>
      </right>
      <top style="medium">
        <color indexed="64"/>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medium">
        <color indexed="64"/>
      </left>
      <right style="thin">
        <color indexed="64"/>
      </right>
      <top/>
      <bottom/>
      <diagonal/>
    </border>
    <border>
      <left style="thin">
        <color indexed="64"/>
      </left>
      <right style="medium">
        <color indexed="64"/>
      </right>
      <top/>
      <bottom/>
      <diagonal/>
    </border>
    <border>
      <left style="thin">
        <color rgb="FFCCCCCC"/>
      </left>
      <right style="thin">
        <color rgb="FFCCCCCC"/>
      </right>
      <top style="thin">
        <color rgb="FFCCCCCC"/>
      </top>
      <bottom style="thin">
        <color rgb="FFCCCCCC"/>
      </bottom>
      <diagonal/>
    </border>
    <border>
      <left/>
      <right style="thin">
        <color rgb="FF000000"/>
      </right>
      <top/>
      <bottom/>
      <diagonal/>
    </border>
    <border>
      <left style="thin">
        <color indexed="64"/>
      </left>
      <right/>
      <top style="thin">
        <color auto="1"/>
      </top>
      <bottom/>
      <diagonal/>
    </border>
    <border>
      <left style="thin">
        <color indexed="64"/>
      </left>
      <right/>
      <top/>
      <bottom style="thin">
        <color indexed="64"/>
      </bottom>
      <diagonal/>
    </border>
    <border>
      <left/>
      <right/>
      <top style="medium">
        <color indexed="64"/>
      </top>
      <bottom style="thin">
        <color rgb="FF000000"/>
      </bottom>
      <diagonal/>
    </border>
    <border>
      <left style="thin">
        <color rgb="FF000000"/>
      </left>
      <right/>
      <top style="thin">
        <color rgb="FF000000"/>
      </top>
      <bottom style="medium">
        <color indexed="64"/>
      </bottom>
      <diagonal/>
    </border>
    <border>
      <left/>
      <right/>
      <top style="medium">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top/>
      <bottom style="thin">
        <color rgb="FF000000"/>
      </bottom>
      <diagonal/>
    </border>
    <border>
      <left/>
      <right/>
      <top style="thin">
        <color rgb="FF000000"/>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top/>
      <bottom/>
      <diagonal/>
    </border>
    <border>
      <left/>
      <right/>
      <top style="thin">
        <color rgb="FFD9D9D9"/>
      </top>
      <bottom style="thin">
        <color rgb="FFD9D9D9"/>
      </bottom>
      <diagonal/>
    </border>
    <border>
      <left style="thin">
        <color rgb="FFD9D9D9"/>
      </left>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D9D9D9"/>
      </left>
      <right style="thin">
        <color rgb="FFD9D9D9"/>
      </right>
      <top style="thin">
        <color rgb="FF4472C4"/>
      </top>
      <bottom style="thin">
        <color rgb="FF4472C4"/>
      </bottom>
      <diagonal/>
    </border>
    <border>
      <left style="thin">
        <color rgb="FF4472C4"/>
      </left>
      <right style="thin">
        <color rgb="FFD9D9D9"/>
      </right>
      <top style="thin">
        <color rgb="FF4472C4"/>
      </top>
      <bottom style="thin">
        <color rgb="FF4472C4"/>
      </bottom>
      <diagonal/>
    </border>
    <border>
      <left style="thin">
        <color rgb="FFD9D9D9"/>
      </left>
      <right style="thin">
        <color rgb="FF4472C4"/>
      </right>
      <top style="thin">
        <color rgb="FF4472C4"/>
      </top>
      <bottom style="thin">
        <color rgb="FF4472C4"/>
      </bottom>
      <diagonal/>
    </border>
    <border>
      <left style="thin">
        <color indexed="64"/>
      </left>
      <right style="thin">
        <color auto="1"/>
      </right>
      <top style="thin">
        <color rgb="FF000000"/>
      </top>
      <bottom style="thin">
        <color indexed="64"/>
      </bottom>
      <diagonal/>
    </border>
    <border>
      <left/>
      <right/>
      <top style="thin">
        <color rgb="FF000000"/>
      </top>
      <bottom style="thin">
        <color rgb="FF000000"/>
      </bottom>
      <diagonal/>
    </border>
    <border>
      <left/>
      <right style="thin">
        <color rgb="FF000000"/>
      </right>
      <top style="thin">
        <color rgb="FF000000"/>
      </top>
      <bottom/>
      <diagonal/>
    </border>
  </borders>
  <cellStyleXfs count="3">
    <xf numFmtId="0" fontId="0" fillId="0" borderId="0"/>
    <xf numFmtId="9" fontId="6" fillId="0" borderId="0" applyFont="0" applyFill="0" applyBorder="0" applyAlignment="0" applyProtection="0"/>
    <xf numFmtId="0" fontId="50" fillId="0" borderId="0"/>
  </cellStyleXfs>
  <cellXfs count="1091">
    <xf numFmtId="0" fontId="0" fillId="0" borderId="0" xfId="0"/>
    <xf numFmtId="3" fontId="0" fillId="0" borderId="1" xfId="0" applyNumberFormat="1" applyBorder="1" applyAlignment="1">
      <alignment horizontal="center" vertical="center"/>
    </xf>
    <xf numFmtId="3" fontId="0" fillId="0" borderId="1" xfId="0" applyNumberFormat="1" applyBorder="1" applyAlignment="1">
      <alignment horizontal="center" vertical="center" wrapText="1"/>
    </xf>
    <xf numFmtId="3" fontId="0" fillId="0" borderId="6" xfId="0" quotePrefix="1" applyNumberFormat="1" applyBorder="1" applyAlignment="1">
      <alignment horizontal="center" vertical="center"/>
    </xf>
    <xf numFmtId="3" fontId="0" fillId="0" borderId="7" xfId="0" applyNumberFormat="1" applyBorder="1" applyAlignment="1">
      <alignment horizontal="center" vertical="center"/>
    </xf>
    <xf numFmtId="3" fontId="0" fillId="0" borderId="9" xfId="0" applyNumberFormat="1" applyBorder="1" applyAlignment="1">
      <alignment horizontal="center" vertical="center"/>
    </xf>
    <xf numFmtId="3" fontId="0" fillId="0" borderId="11" xfId="0" applyNumberFormat="1" applyBorder="1" applyAlignment="1">
      <alignment horizontal="center" vertical="center" wrapText="1"/>
    </xf>
    <xf numFmtId="3" fontId="0" fillId="0" borderId="11" xfId="0" applyNumberFormat="1" applyBorder="1" applyAlignment="1">
      <alignment horizontal="center" vertical="center"/>
    </xf>
    <xf numFmtId="3" fontId="0" fillId="0" borderId="12" xfId="0" applyNumberFormat="1" applyBorder="1" applyAlignment="1">
      <alignment horizontal="center" vertical="center"/>
    </xf>
    <xf numFmtId="0" fontId="1" fillId="0" borderId="11" xfId="0" applyFont="1" applyBorder="1" applyAlignment="1">
      <alignment horizontal="center" vertical="center"/>
    </xf>
    <xf numFmtId="0" fontId="1" fillId="0" borderId="12" xfId="0" applyFont="1" applyBorder="1" applyAlignment="1">
      <alignment horizontal="center" vertical="center"/>
    </xf>
    <xf numFmtId="0" fontId="0" fillId="0" borderId="12" xfId="0" applyBorder="1" applyAlignment="1">
      <alignment horizontal="center" vertical="center"/>
    </xf>
    <xf numFmtId="0" fontId="0" fillId="0" borderId="7" xfId="0" applyBorder="1" applyAlignment="1">
      <alignment horizontal="center" vertical="center"/>
    </xf>
    <xf numFmtId="0" fontId="0" fillId="0" borderId="9" xfId="0" applyBorder="1" applyAlignment="1">
      <alignment horizontal="center" vertical="center"/>
    </xf>
    <xf numFmtId="0" fontId="0" fillId="0" borderId="3" xfId="0" applyBorder="1" applyAlignment="1">
      <alignment horizontal="center" vertical="center"/>
    </xf>
    <xf numFmtId="0" fontId="0" fillId="0" borderId="18" xfId="0" applyBorder="1" applyAlignment="1">
      <alignment horizontal="center" vertical="center"/>
    </xf>
    <xf numFmtId="3" fontId="0" fillId="0" borderId="1" xfId="0" applyNumberFormat="1" applyBorder="1" applyAlignment="1">
      <alignment horizontal="center"/>
    </xf>
    <xf numFmtId="3" fontId="0" fillId="0" borderId="1" xfId="0" applyNumberFormat="1" applyBorder="1" applyAlignment="1">
      <alignment horizontal="center" wrapText="1"/>
    </xf>
    <xf numFmtId="3" fontId="0" fillId="0" borderId="6" xfId="0" quotePrefix="1" applyNumberFormat="1" applyBorder="1" applyAlignment="1">
      <alignment horizontal="center"/>
    </xf>
    <xf numFmtId="3" fontId="0" fillId="0" borderId="7" xfId="0" applyNumberFormat="1" applyBorder="1" applyAlignment="1">
      <alignment horizontal="center"/>
    </xf>
    <xf numFmtId="3" fontId="0" fillId="0" borderId="9" xfId="0" applyNumberFormat="1" applyBorder="1" applyAlignment="1">
      <alignment horizontal="center"/>
    </xf>
    <xf numFmtId="3" fontId="0" fillId="0" borderId="11" xfId="0" applyNumberFormat="1" applyBorder="1" applyAlignment="1">
      <alignment horizontal="center" wrapText="1"/>
    </xf>
    <xf numFmtId="3" fontId="0" fillId="0" borderId="11" xfId="0" applyNumberFormat="1" applyBorder="1" applyAlignment="1">
      <alignment horizontal="center"/>
    </xf>
    <xf numFmtId="3" fontId="0" fillId="0" borderId="12" xfId="0" applyNumberFormat="1" applyBorder="1" applyAlignment="1">
      <alignment horizontal="center"/>
    </xf>
    <xf numFmtId="3" fontId="0" fillId="0" borderId="11" xfId="0" quotePrefix="1" applyNumberFormat="1" applyBorder="1" applyAlignment="1">
      <alignment horizontal="center" wrapText="1"/>
    </xf>
    <xf numFmtId="3" fontId="0" fillId="0" borderId="3" xfId="0" applyNumberFormat="1" applyBorder="1" applyAlignment="1">
      <alignment horizontal="center" wrapText="1"/>
    </xf>
    <xf numFmtId="3" fontId="0" fillId="0" borderId="3" xfId="0" applyNumberFormat="1" applyBorder="1" applyAlignment="1">
      <alignment horizontal="center"/>
    </xf>
    <xf numFmtId="3" fontId="0" fillId="0" borderId="18" xfId="0" applyNumberFormat="1" applyBorder="1" applyAlignment="1">
      <alignment horizontal="center"/>
    </xf>
    <xf numFmtId="3" fontId="0" fillId="0" borderId="3" xfId="0" quotePrefix="1" applyNumberFormat="1" applyBorder="1" applyAlignment="1">
      <alignment horizontal="center" wrapText="1"/>
    </xf>
    <xf numFmtId="3" fontId="0" fillId="0" borderId="1" xfId="0" quotePrefix="1" applyNumberFormat="1" applyBorder="1" applyAlignment="1">
      <alignment horizontal="center" wrapText="1"/>
    </xf>
    <xf numFmtId="0" fontId="0" fillId="0" borderId="21" xfId="0" applyBorder="1" applyAlignment="1">
      <alignment horizontal="center" vertical="center" wrapText="1"/>
    </xf>
    <xf numFmtId="0" fontId="0" fillId="0" borderId="19" xfId="0" applyBorder="1" applyAlignment="1">
      <alignment horizontal="center" vertical="center" wrapText="1"/>
    </xf>
    <xf numFmtId="0" fontId="0" fillId="0" borderId="8" xfId="0" applyBorder="1" applyAlignment="1">
      <alignment horizontal="center" vertical="center" wrapText="1"/>
    </xf>
    <xf numFmtId="0" fontId="1" fillId="0" borderId="10" xfId="0" applyFont="1" applyBorder="1" applyAlignment="1">
      <alignment horizontal="center" vertical="center" wrapText="1"/>
    </xf>
    <xf numFmtId="0" fontId="0" fillId="0" borderId="20" xfId="0" applyBorder="1" applyAlignment="1">
      <alignment horizontal="center" vertical="center" wrapText="1"/>
    </xf>
    <xf numFmtId="0" fontId="0" fillId="0" borderId="25" xfId="0" applyBorder="1" applyAlignment="1">
      <alignment horizontal="center" vertical="center" wrapText="1"/>
    </xf>
    <xf numFmtId="0" fontId="0" fillId="0" borderId="5" xfId="0" applyBorder="1" applyAlignment="1">
      <alignment horizontal="center" vertical="center" wrapText="1"/>
    </xf>
    <xf numFmtId="0" fontId="0" fillId="0" borderId="10" xfId="0" applyBorder="1" applyAlignment="1">
      <alignment horizontal="center"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wrapText="1"/>
    </xf>
    <xf numFmtId="0" fontId="1" fillId="0" borderId="0" xfId="0" applyFont="1" applyAlignment="1">
      <alignment horizontal="center" vertical="center"/>
    </xf>
    <xf numFmtId="0" fontId="1" fillId="0" borderId="40" xfId="0" applyFont="1" applyBorder="1" applyAlignment="1">
      <alignment horizontal="center" vertical="center" wrapText="1"/>
    </xf>
    <xf numFmtId="0" fontId="1" fillId="0" borderId="41" xfId="0" applyFont="1" applyBorder="1" applyAlignment="1">
      <alignment horizontal="center" vertical="center"/>
    </xf>
    <xf numFmtId="0" fontId="1" fillId="0" borderId="42" xfId="0" applyFont="1" applyBorder="1" applyAlignment="1">
      <alignment horizontal="center" vertical="center"/>
    </xf>
    <xf numFmtId="0" fontId="0" fillId="0" borderId="40" xfId="0" applyBorder="1" applyAlignment="1">
      <alignment horizontal="center" vertical="center"/>
    </xf>
    <xf numFmtId="0" fontId="0" fillId="0" borderId="41" xfId="0" applyBorder="1" applyAlignment="1">
      <alignment horizontal="center" vertical="center"/>
    </xf>
    <xf numFmtId="0" fontId="0" fillId="0" borderId="42" xfId="0" applyBorder="1" applyAlignment="1">
      <alignment horizontal="center" vertical="center"/>
    </xf>
    <xf numFmtId="0" fontId="1" fillId="2" borderId="15" xfId="0" applyFont="1" applyFill="1" applyBorder="1" applyAlignment="1">
      <alignment horizontal="center" vertical="center"/>
    </xf>
    <xf numFmtId="0" fontId="1" fillId="6" borderId="16" xfId="0" applyFont="1" applyFill="1" applyBorder="1" applyAlignment="1">
      <alignment horizontal="center" vertical="center"/>
    </xf>
    <xf numFmtId="0" fontId="1" fillId="7" borderId="16" xfId="0" applyFont="1" applyFill="1" applyBorder="1" applyAlignment="1">
      <alignment horizontal="center" vertical="center"/>
    </xf>
    <xf numFmtId="0" fontId="1" fillId="8" borderId="16" xfId="0" applyFont="1" applyFill="1" applyBorder="1" applyAlignment="1">
      <alignment horizontal="center" vertical="center"/>
    </xf>
    <xf numFmtId="0" fontId="1" fillId="3" borderId="16" xfId="0" applyFont="1" applyFill="1" applyBorder="1" applyAlignment="1">
      <alignment horizontal="center" vertical="center"/>
    </xf>
    <xf numFmtId="0" fontId="7" fillId="4" borderId="16" xfId="0" applyFont="1" applyFill="1" applyBorder="1" applyAlignment="1">
      <alignment horizontal="center" vertical="center"/>
    </xf>
    <xf numFmtId="0" fontId="7" fillId="5" borderId="17" xfId="0" applyFont="1" applyFill="1" applyBorder="1" applyAlignment="1">
      <alignment horizontal="center" vertical="center"/>
    </xf>
    <xf numFmtId="0" fontId="1" fillId="9" borderId="41" xfId="0" applyFont="1" applyFill="1" applyBorder="1" applyAlignment="1">
      <alignment horizontal="center" vertical="center"/>
    </xf>
    <xf numFmtId="0" fontId="1" fillId="10" borderId="48" xfId="0" applyFont="1" applyFill="1" applyBorder="1" applyAlignment="1">
      <alignment horizontal="center" vertical="center"/>
    </xf>
    <xf numFmtId="0" fontId="1" fillId="10" borderId="49" xfId="0" applyFont="1" applyFill="1" applyBorder="1" applyAlignment="1">
      <alignment horizontal="center" vertical="center"/>
    </xf>
    <xf numFmtId="0" fontId="3" fillId="5" borderId="8" xfId="0" applyFont="1" applyFill="1" applyBorder="1" applyAlignment="1">
      <alignment horizontal="center" vertical="center"/>
    </xf>
    <xf numFmtId="0" fontId="3" fillId="5" borderId="9" xfId="0" applyFont="1" applyFill="1" applyBorder="1" applyAlignment="1">
      <alignment horizontal="center" vertical="center"/>
    </xf>
    <xf numFmtId="0" fontId="4" fillId="0" borderId="5" xfId="0" applyFont="1" applyBorder="1" applyAlignment="1">
      <alignment horizontal="center" vertical="center"/>
    </xf>
    <xf numFmtId="0" fontId="4" fillId="0" borderId="8" xfId="0" applyFont="1" applyBorder="1" applyAlignment="1">
      <alignment horizontal="center" vertical="center"/>
    </xf>
    <xf numFmtId="0" fontId="4" fillId="0" borderId="9" xfId="0" applyFont="1" applyBorder="1" applyAlignment="1">
      <alignment horizontal="center" vertical="center"/>
    </xf>
    <xf numFmtId="0" fontId="4" fillId="0" borderId="10" xfId="0" applyFont="1" applyBorder="1" applyAlignment="1">
      <alignment horizontal="center" vertical="center"/>
    </xf>
    <xf numFmtId="0" fontId="4" fillId="11" borderId="7" xfId="0" applyFont="1" applyFill="1" applyBorder="1" applyAlignment="1">
      <alignment horizontal="center" vertical="center"/>
    </xf>
    <xf numFmtId="0" fontId="4" fillId="11" borderId="9" xfId="0" applyFont="1" applyFill="1" applyBorder="1" applyAlignment="1">
      <alignment horizontal="center" vertical="center"/>
    </xf>
    <xf numFmtId="0" fontId="4" fillId="11" borderId="9" xfId="0" quotePrefix="1" applyFont="1" applyFill="1" applyBorder="1" applyAlignment="1">
      <alignment horizontal="center" vertical="center"/>
    </xf>
    <xf numFmtId="0" fontId="3" fillId="11" borderId="9" xfId="0" applyFont="1" applyFill="1" applyBorder="1" applyAlignment="1">
      <alignment horizontal="center" vertical="center"/>
    </xf>
    <xf numFmtId="0" fontId="3" fillId="11" borderId="9" xfId="0" quotePrefix="1" applyFont="1" applyFill="1" applyBorder="1" applyAlignment="1">
      <alignment horizontal="center" vertical="center"/>
    </xf>
    <xf numFmtId="0" fontId="0" fillId="9" borderId="22" xfId="0" applyFill="1" applyBorder="1" applyAlignment="1">
      <alignment horizontal="center" vertical="center"/>
    </xf>
    <xf numFmtId="9" fontId="0" fillId="9" borderId="24" xfId="1" applyFont="1" applyFill="1" applyBorder="1" applyAlignment="1">
      <alignment horizontal="center" vertical="center"/>
    </xf>
    <xf numFmtId="0" fontId="3" fillId="5" borderId="9" xfId="0" quotePrefix="1" applyFont="1" applyFill="1" applyBorder="1" applyAlignment="1">
      <alignment horizontal="center" vertical="center"/>
    </xf>
    <xf numFmtId="0" fontId="3" fillId="5" borderId="5" xfId="0" applyFont="1" applyFill="1" applyBorder="1" applyAlignment="1">
      <alignment horizontal="center" vertical="center"/>
    </xf>
    <xf numFmtId="0" fontId="3" fillId="5" borderId="7" xfId="0" applyFont="1" applyFill="1" applyBorder="1" applyAlignment="1">
      <alignment horizontal="center" vertical="center"/>
    </xf>
    <xf numFmtId="0" fontId="3" fillId="12" borderId="10" xfId="0" applyFont="1" applyFill="1" applyBorder="1" applyAlignment="1">
      <alignment horizontal="center" vertical="center"/>
    </xf>
    <xf numFmtId="0" fontId="3" fillId="12" borderId="9" xfId="0" applyFont="1" applyFill="1" applyBorder="1" applyAlignment="1">
      <alignment horizontal="center" vertical="center"/>
    </xf>
    <xf numFmtId="0" fontId="4" fillId="12" borderId="8" xfId="0" applyFont="1" applyFill="1" applyBorder="1" applyAlignment="1">
      <alignment horizontal="center" vertical="center"/>
    </xf>
    <xf numFmtId="0" fontId="4" fillId="12" borderId="9" xfId="0" applyFont="1" applyFill="1" applyBorder="1" applyAlignment="1">
      <alignment horizontal="center" vertical="center"/>
    </xf>
    <xf numFmtId="0" fontId="4" fillId="9" borderId="22" xfId="0" applyFont="1" applyFill="1" applyBorder="1" applyAlignment="1">
      <alignment horizontal="center" vertical="center"/>
    </xf>
    <xf numFmtId="9" fontId="4" fillId="9" borderId="24" xfId="1" applyFont="1" applyFill="1" applyBorder="1" applyAlignment="1">
      <alignment horizontal="center" vertical="center"/>
    </xf>
    <xf numFmtId="3" fontId="0" fillId="0" borderId="0" xfId="0" applyNumberFormat="1" applyAlignment="1">
      <alignment horizontal="center" vertical="center"/>
    </xf>
    <xf numFmtId="3" fontId="0" fillId="0" borderId="0" xfId="0" applyNumberFormat="1" applyAlignment="1">
      <alignment horizontal="center"/>
    </xf>
    <xf numFmtId="0" fontId="4" fillId="2" borderId="9" xfId="0" applyFont="1" applyFill="1" applyBorder="1" applyAlignment="1">
      <alignment horizontal="center" vertical="center"/>
    </xf>
    <xf numFmtId="0" fontId="9" fillId="0" borderId="43" xfId="0" applyFont="1" applyBorder="1" applyAlignment="1">
      <alignment horizontal="center" vertical="center"/>
    </xf>
    <xf numFmtId="0" fontId="9" fillId="0" borderId="50" xfId="0" applyFont="1" applyBorder="1" applyAlignment="1">
      <alignment horizontal="center" vertical="center"/>
    </xf>
    <xf numFmtId="0" fontId="9" fillId="0" borderId="51" xfId="0" applyFont="1" applyBorder="1" applyAlignment="1">
      <alignment horizontal="center" vertical="center"/>
    </xf>
    <xf numFmtId="0" fontId="9" fillId="0" borderId="52" xfId="0" applyFont="1" applyBorder="1" applyAlignment="1">
      <alignment horizontal="center" vertical="center"/>
    </xf>
    <xf numFmtId="0" fontId="9" fillId="0" borderId="15" xfId="0" applyFont="1" applyBorder="1" applyAlignment="1">
      <alignment horizontal="center" vertical="center"/>
    </xf>
    <xf numFmtId="0" fontId="9" fillId="0" borderId="17" xfId="0" applyFont="1" applyBorder="1" applyAlignment="1">
      <alignment horizontal="center" vertical="center"/>
    </xf>
    <xf numFmtId="0" fontId="11" fillId="0" borderId="20" xfId="0" applyFont="1" applyBorder="1" applyAlignment="1">
      <alignment horizontal="center" vertical="center"/>
    </xf>
    <xf numFmtId="0" fontId="11" fillId="0" borderId="54" xfId="0" applyFont="1" applyBorder="1" applyAlignment="1">
      <alignment horizontal="left" vertical="center" wrapText="1"/>
    </xf>
    <xf numFmtId="0" fontId="11" fillId="0" borderId="5" xfId="0" applyFont="1" applyBorder="1" applyAlignment="1">
      <alignment horizontal="center" vertical="center"/>
    </xf>
    <xf numFmtId="0" fontId="11" fillId="0" borderId="7" xfId="0" applyFont="1" applyBorder="1" applyAlignment="1">
      <alignment horizontal="center" vertical="center"/>
    </xf>
    <xf numFmtId="0" fontId="11" fillId="0" borderId="19" xfId="0" applyFont="1" applyBorder="1" applyAlignment="1">
      <alignment horizontal="center" vertical="center"/>
    </xf>
    <xf numFmtId="0" fontId="11" fillId="0" borderId="56" xfId="0" applyFont="1" applyBorder="1" applyAlignment="1">
      <alignment horizontal="left" vertical="center"/>
    </xf>
    <xf numFmtId="0" fontId="11" fillId="0" borderId="8" xfId="0" applyFont="1" applyBorder="1" applyAlignment="1">
      <alignment horizontal="center" vertical="center"/>
    </xf>
    <xf numFmtId="0" fontId="11" fillId="0" borderId="9" xfId="0" applyFont="1" applyBorder="1" applyAlignment="1">
      <alignment horizontal="center" vertical="center"/>
    </xf>
    <xf numFmtId="0" fontId="11" fillId="0" borderId="21" xfId="0" applyFont="1" applyBorder="1" applyAlignment="1">
      <alignment horizontal="center" vertical="center"/>
    </xf>
    <xf numFmtId="0" fontId="11" fillId="0" borderId="58" xfId="0" applyFont="1" applyBorder="1" applyAlignment="1">
      <alignment horizontal="left" vertical="center"/>
    </xf>
    <xf numFmtId="0" fontId="11" fillId="0" borderId="54" xfId="0" applyFont="1" applyBorder="1" applyAlignment="1">
      <alignment horizontal="left" vertical="center"/>
    </xf>
    <xf numFmtId="0" fontId="11" fillId="0" borderId="10" xfId="0" applyFont="1" applyBorder="1" applyAlignment="1">
      <alignment horizontal="center" vertical="center"/>
    </xf>
    <xf numFmtId="0" fontId="11" fillId="0" borderId="12" xfId="0" applyFont="1" applyBorder="1" applyAlignment="1">
      <alignment horizontal="center" vertical="center"/>
    </xf>
    <xf numFmtId="0" fontId="13" fillId="0" borderId="1" xfId="0" applyFont="1" applyBorder="1" applyAlignment="1">
      <alignment horizontal="center" vertical="center"/>
    </xf>
    <xf numFmtId="0" fontId="0" fillId="0" borderId="26" xfId="0" applyBorder="1" applyAlignment="1">
      <alignment horizontal="center" vertical="center"/>
    </xf>
    <xf numFmtId="0" fontId="4" fillId="0" borderId="12" xfId="0" applyFont="1" applyBorder="1" applyAlignment="1">
      <alignment horizontal="center" vertical="center"/>
    </xf>
    <xf numFmtId="0" fontId="3" fillId="5" borderId="26" xfId="0" applyFont="1" applyFill="1" applyBorder="1" applyAlignment="1">
      <alignment horizontal="center" vertical="center"/>
    </xf>
    <xf numFmtId="1" fontId="0" fillId="9" borderId="1" xfId="0" applyNumberFormat="1" applyFill="1" applyBorder="1" applyAlignment="1">
      <alignment horizontal="center" vertical="center"/>
    </xf>
    <xf numFmtId="0" fontId="0" fillId="12" borderId="1" xfId="0" applyFill="1" applyBorder="1" applyAlignment="1">
      <alignment horizontal="center" vertical="center"/>
    </xf>
    <xf numFmtId="0" fontId="13" fillId="12" borderId="1" xfId="0" applyFont="1" applyFill="1" applyBorder="1" applyAlignment="1">
      <alignment horizontal="center" vertical="center"/>
    </xf>
    <xf numFmtId="0" fontId="3" fillId="12" borderId="8" xfId="0" applyFont="1" applyFill="1" applyBorder="1" applyAlignment="1">
      <alignment horizontal="center" vertical="center"/>
    </xf>
    <xf numFmtId="0" fontId="4" fillId="12" borderId="10" xfId="0" applyFont="1" applyFill="1" applyBorder="1" applyAlignment="1">
      <alignment horizontal="center" vertical="center"/>
    </xf>
    <xf numFmtId="164" fontId="0" fillId="0" borderId="0" xfId="0" applyNumberFormat="1" applyAlignment="1">
      <alignment vertical="center"/>
    </xf>
    <xf numFmtId="16" fontId="0" fillId="0" borderId="0" xfId="0" applyNumberFormat="1" applyAlignment="1">
      <alignment vertical="center"/>
    </xf>
    <xf numFmtId="165" fontId="0" fillId="0" borderId="1" xfId="0" applyNumberFormat="1" applyBorder="1" applyAlignment="1">
      <alignment horizontal="center" vertical="center"/>
    </xf>
    <xf numFmtId="164" fontId="0" fillId="0" borderId="0" xfId="0" applyNumberFormat="1" applyAlignment="1">
      <alignment horizontal="center" vertical="center"/>
    </xf>
    <xf numFmtId="165" fontId="0" fillId="0" borderId="0" xfId="0" applyNumberFormat="1" applyAlignment="1">
      <alignment horizontal="center" vertical="center"/>
    </xf>
    <xf numFmtId="0" fontId="15" fillId="0" borderId="0" xfId="0" applyFont="1" applyAlignment="1">
      <alignment horizontal="center" vertical="center" wrapText="1"/>
    </xf>
    <xf numFmtId="0" fontId="15" fillId="0" borderId="0" xfId="0" applyFont="1" applyAlignment="1">
      <alignment horizontal="center" vertical="center"/>
    </xf>
    <xf numFmtId="164" fontId="4" fillId="0" borderId="0" xfId="0" applyNumberFormat="1" applyFont="1" applyAlignment="1">
      <alignment horizontal="center" vertical="center"/>
    </xf>
    <xf numFmtId="164" fontId="0" fillId="12" borderId="1" xfId="0" applyNumberFormat="1" applyFill="1" applyBorder="1" applyAlignment="1">
      <alignment horizontal="center" vertical="center"/>
    </xf>
    <xf numFmtId="165" fontId="0" fillId="12" borderId="1" xfId="0" applyNumberFormat="1" applyFill="1" applyBorder="1" applyAlignment="1">
      <alignment horizontal="center" vertical="center"/>
    </xf>
    <xf numFmtId="0" fontId="0" fillId="0" borderId="1" xfId="0" applyBorder="1" applyAlignment="1">
      <alignment vertical="center"/>
    </xf>
    <xf numFmtId="0" fontId="0" fillId="0" borderId="0" xfId="0" applyAlignment="1">
      <alignment vertical="center"/>
    </xf>
    <xf numFmtId="0" fontId="4" fillId="2" borderId="5" xfId="0" applyFont="1" applyFill="1" applyBorder="1" applyAlignment="1">
      <alignment horizontal="center" vertical="center"/>
    </xf>
    <xf numFmtId="0" fontId="4" fillId="2" borderId="8" xfId="0" applyFont="1" applyFill="1" applyBorder="1" applyAlignment="1">
      <alignment horizontal="center" vertical="center"/>
    </xf>
    <xf numFmtId="0" fontId="4" fillId="2" borderId="10" xfId="0" applyFont="1" applyFill="1" applyBorder="1" applyAlignment="1">
      <alignment horizontal="center" vertical="center"/>
    </xf>
    <xf numFmtId="1" fontId="0" fillId="7" borderId="1" xfId="0" applyNumberFormat="1" applyFill="1" applyBorder="1" applyAlignment="1">
      <alignment horizontal="center" vertical="center"/>
    </xf>
    <xf numFmtId="0" fontId="0" fillId="14" borderId="1" xfId="0" applyFill="1" applyBorder="1" applyAlignment="1">
      <alignment horizontal="center" vertical="center"/>
    </xf>
    <xf numFmtId="0" fontId="13" fillId="14" borderId="1" xfId="0" applyFont="1" applyFill="1" applyBorder="1" applyAlignment="1">
      <alignment horizontal="center" vertical="center"/>
    </xf>
    <xf numFmtId="1" fontId="0" fillId="14" borderId="1" xfId="0" applyNumberFormat="1" applyFill="1" applyBorder="1" applyAlignment="1">
      <alignment horizontal="center" vertical="center"/>
    </xf>
    <xf numFmtId="2" fontId="0" fillId="0" borderId="1" xfId="0" applyNumberFormat="1" applyBorder="1" applyAlignment="1">
      <alignment horizontal="center" vertical="center"/>
    </xf>
    <xf numFmtId="0" fontId="0" fillId="0" borderId="2" xfId="0" applyBorder="1" applyAlignment="1">
      <alignment horizontal="center" vertical="center" wrapText="1"/>
    </xf>
    <xf numFmtId="0" fontId="0" fillId="0" borderId="6" xfId="0" applyBorder="1" applyAlignment="1">
      <alignment horizontal="center" vertical="center"/>
    </xf>
    <xf numFmtId="0" fontId="0" fillId="0" borderId="11" xfId="0" applyBorder="1" applyAlignment="1">
      <alignment horizontal="center" vertical="center"/>
    </xf>
    <xf numFmtId="0" fontId="18" fillId="0" borderId="0" xfId="0" applyFont="1"/>
    <xf numFmtId="0" fontId="19" fillId="0" borderId="0" xfId="0" applyFont="1" applyAlignment="1">
      <alignment vertical="center"/>
    </xf>
    <xf numFmtId="0" fontId="20" fillId="0" borderId="0" xfId="0" applyFont="1" applyAlignment="1">
      <alignment vertical="center"/>
    </xf>
    <xf numFmtId="0" fontId="21" fillId="0" borderId="0" xfId="0" applyFont="1"/>
    <xf numFmtId="0" fontId="19" fillId="0" borderId="56" xfId="0" applyFont="1" applyBorder="1" applyAlignment="1">
      <alignment vertical="center"/>
    </xf>
    <xf numFmtId="0" fontId="21" fillId="0" borderId="34" xfId="0" applyFont="1" applyBorder="1"/>
    <xf numFmtId="0" fontId="21" fillId="0" borderId="19" xfId="0" applyFont="1" applyBorder="1"/>
    <xf numFmtId="0" fontId="22" fillId="0" borderId="1" xfId="0" applyFont="1" applyBorder="1" applyAlignment="1">
      <alignment horizontal="center" vertical="center"/>
    </xf>
    <xf numFmtId="0" fontId="22" fillId="0" borderId="3" xfId="0" applyFont="1" applyBorder="1" applyAlignment="1">
      <alignment horizontal="center" vertical="center"/>
    </xf>
    <xf numFmtId="0" fontId="23" fillId="0" borderId="4" xfId="0" applyFont="1" applyBorder="1" applyAlignment="1">
      <alignment horizontal="left" vertical="center"/>
    </xf>
    <xf numFmtId="0" fontId="24" fillId="0" borderId="0" xfId="0" applyFont="1"/>
    <xf numFmtId="0" fontId="25" fillId="0" borderId="1" xfId="0" applyFont="1" applyBorder="1" applyAlignment="1">
      <alignment horizontal="right" vertical="center"/>
    </xf>
    <xf numFmtId="0" fontId="25" fillId="0" borderId="1" xfId="0" applyFont="1" applyBorder="1" applyAlignment="1">
      <alignment vertical="center"/>
    </xf>
    <xf numFmtId="0" fontId="25" fillId="0" borderId="1" xfId="0" applyFont="1" applyBorder="1" applyAlignment="1">
      <alignment horizontal="left" vertical="center"/>
    </xf>
    <xf numFmtId="0" fontId="25" fillId="0" borderId="0" xfId="0" applyFont="1"/>
    <xf numFmtId="166" fontId="24" fillId="0" borderId="1" xfId="0" applyNumberFormat="1" applyFont="1" applyBorder="1"/>
    <xf numFmtId="20" fontId="25" fillId="0" borderId="1" xfId="0" applyNumberFormat="1" applyFont="1" applyBorder="1" applyAlignment="1">
      <alignment horizontal="right" vertical="center"/>
    </xf>
    <xf numFmtId="0" fontId="25" fillId="14" borderId="1" xfId="0" applyFont="1" applyFill="1" applyBorder="1" applyAlignment="1">
      <alignment horizontal="right" vertical="center"/>
    </xf>
    <xf numFmtId="1" fontId="25" fillId="9" borderId="1" xfId="0" applyNumberFormat="1" applyFont="1" applyFill="1" applyBorder="1" applyAlignment="1">
      <alignment horizontal="right" vertical="center"/>
    </xf>
    <xf numFmtId="14" fontId="25" fillId="14" borderId="1" xfId="0" applyNumberFormat="1" applyFont="1" applyFill="1" applyBorder="1" applyAlignment="1">
      <alignment horizontal="right" vertical="center"/>
    </xf>
    <xf numFmtId="0" fontId="25" fillId="11" borderId="1" xfId="0" applyFont="1" applyFill="1" applyBorder="1" applyAlignment="1">
      <alignment horizontal="right" vertical="center"/>
    </xf>
    <xf numFmtId="0" fontId="25" fillId="11" borderId="1" xfId="0" applyFont="1" applyFill="1" applyBorder="1"/>
    <xf numFmtId="20" fontId="25" fillId="0" borderId="0" xfId="0" applyNumberFormat="1" applyFont="1" applyAlignment="1">
      <alignment horizontal="right" vertical="center"/>
    </xf>
    <xf numFmtId="0" fontId="24" fillId="0" borderId="56" xfId="0" applyFont="1" applyBorder="1"/>
    <xf numFmtId="0" fontId="25" fillId="0" borderId="19" xfId="0" applyFont="1" applyBorder="1" applyAlignment="1">
      <alignment horizontal="right" vertical="center"/>
    </xf>
    <xf numFmtId="1" fontId="23" fillId="2" borderId="1" xfId="0" applyNumberFormat="1" applyFont="1" applyFill="1" applyBorder="1" applyAlignment="1">
      <alignment horizontal="right" vertical="center"/>
    </xf>
    <xf numFmtId="0" fontId="25" fillId="0" borderId="0" xfId="0" applyFont="1" applyAlignment="1">
      <alignment horizontal="right" vertical="center"/>
    </xf>
    <xf numFmtId="1" fontId="25" fillId="0" borderId="1" xfId="0" applyNumberFormat="1" applyFont="1" applyBorder="1" applyAlignment="1">
      <alignment horizontal="right" vertical="center"/>
    </xf>
    <xf numFmtId="0" fontId="25" fillId="0" borderId="1" xfId="0" applyFont="1" applyBorder="1"/>
    <xf numFmtId="164" fontId="25" fillId="9" borderId="1" xfId="0" applyNumberFormat="1" applyFont="1" applyFill="1" applyBorder="1" applyAlignment="1">
      <alignment horizontal="right" vertical="center"/>
    </xf>
    <xf numFmtId="164" fontId="25" fillId="0" borderId="1" xfId="0" applyNumberFormat="1" applyFont="1" applyBorder="1" applyAlignment="1">
      <alignment horizontal="right" vertical="center"/>
    </xf>
    <xf numFmtId="166" fontId="24" fillId="0" borderId="3" xfId="0" applyNumberFormat="1" applyFont="1" applyBorder="1"/>
    <xf numFmtId="20" fontId="25" fillId="0" borderId="3" xfId="0" applyNumberFormat="1" applyFont="1" applyBorder="1" applyAlignment="1">
      <alignment horizontal="right" vertical="center"/>
    </xf>
    <xf numFmtId="0" fontId="25" fillId="11" borderId="19" xfId="0" applyFont="1" applyFill="1" applyBorder="1" applyAlignment="1">
      <alignment horizontal="right" vertical="center"/>
    </xf>
    <xf numFmtId="166" fontId="24" fillId="0" borderId="4" xfId="0" applyNumberFormat="1" applyFont="1" applyBorder="1"/>
    <xf numFmtId="20" fontId="25" fillId="0" borderId="4" xfId="0" applyNumberFormat="1" applyFont="1" applyBorder="1" applyAlignment="1">
      <alignment horizontal="right" vertical="center"/>
    </xf>
    <xf numFmtId="0" fontId="27" fillId="0" borderId="0" xfId="0" applyFont="1" applyAlignment="1">
      <alignment horizontal="right"/>
    </xf>
    <xf numFmtId="0" fontId="27" fillId="0" borderId="0" xfId="0" applyFont="1"/>
    <xf numFmtId="0" fontId="27" fillId="0" borderId="0" xfId="0" applyFont="1" applyAlignment="1">
      <alignment horizontal="left"/>
    </xf>
    <xf numFmtId="166" fontId="28" fillId="0" borderId="1" xfId="0" applyNumberFormat="1" applyFont="1" applyBorder="1"/>
    <xf numFmtId="20" fontId="29" fillId="0" borderId="1" xfId="0" applyNumberFormat="1" applyFont="1" applyBorder="1" applyAlignment="1">
      <alignment horizontal="right" vertical="center"/>
    </xf>
    <xf numFmtId="0" fontId="29" fillId="0" borderId="1" xfId="0" applyFont="1" applyBorder="1" applyAlignment="1">
      <alignment horizontal="right" vertical="center"/>
    </xf>
    <xf numFmtId="0" fontId="29" fillId="14" borderId="1" xfId="0" applyFont="1" applyFill="1" applyBorder="1" applyAlignment="1">
      <alignment horizontal="right" vertical="center"/>
    </xf>
    <xf numFmtId="1" fontId="29" fillId="9" borderId="1" xfId="0" applyNumberFormat="1" applyFont="1" applyFill="1" applyBorder="1" applyAlignment="1">
      <alignment horizontal="right" vertical="center"/>
    </xf>
    <xf numFmtId="0" fontId="28" fillId="0" borderId="56" xfId="0" applyFont="1" applyBorder="1"/>
    <xf numFmtId="0" fontId="29" fillId="0" borderId="19" xfId="0" applyFont="1" applyBorder="1" applyAlignment="1">
      <alignment horizontal="right" vertical="center"/>
    </xf>
    <xf numFmtId="0" fontId="29" fillId="11" borderId="1" xfId="0" applyFont="1" applyFill="1" applyBorder="1" applyAlignment="1">
      <alignment horizontal="right" vertical="center"/>
    </xf>
    <xf numFmtId="1" fontId="30" fillId="2" borderId="1" xfId="0" applyNumberFormat="1" applyFont="1" applyFill="1" applyBorder="1" applyAlignment="1">
      <alignment horizontal="right" vertical="center"/>
    </xf>
    <xf numFmtId="1" fontId="29" fillId="0" borderId="1" xfId="0" applyNumberFormat="1" applyFont="1" applyBorder="1" applyAlignment="1">
      <alignment horizontal="right" vertical="center"/>
    </xf>
    <xf numFmtId="0" fontId="25" fillId="0" borderId="1" xfId="0" applyFont="1" applyBorder="1" applyAlignment="1">
      <alignment horizontal="right" vertical="center" wrapText="1"/>
    </xf>
    <xf numFmtId="0" fontId="25" fillId="0" borderId="1" xfId="0" applyFont="1" applyBorder="1" applyAlignment="1">
      <alignment horizontal="left" vertical="center" wrapText="1"/>
    </xf>
    <xf numFmtId="0" fontId="25" fillId="0" borderId="3" xfId="0" applyFont="1" applyBorder="1" applyAlignment="1">
      <alignment horizontal="right" vertical="center" wrapText="1"/>
    </xf>
    <xf numFmtId="0" fontId="25" fillId="0" borderId="3" xfId="0" applyFont="1" applyBorder="1" applyAlignment="1">
      <alignment horizontal="left" vertical="center" wrapText="1"/>
    </xf>
    <xf numFmtId="12" fontId="29" fillId="14" borderId="1" xfId="0" applyNumberFormat="1" applyFont="1" applyFill="1" applyBorder="1" applyAlignment="1">
      <alignment horizontal="right" vertical="center"/>
    </xf>
    <xf numFmtId="0" fontId="24" fillId="0" borderId="1" xfId="0" applyFont="1" applyBorder="1" applyAlignment="1">
      <alignment horizontal="right"/>
    </xf>
    <xf numFmtId="0" fontId="24" fillId="0" borderId="1" xfId="0" applyFont="1" applyBorder="1" applyAlignment="1">
      <alignment horizontal="left"/>
    </xf>
    <xf numFmtId="0" fontId="32" fillId="15" borderId="67" xfId="0" applyFont="1" applyFill="1" applyBorder="1" applyAlignment="1">
      <alignment horizontal="right"/>
    </xf>
    <xf numFmtId="0" fontId="32" fillId="15" borderId="67" xfId="0" applyFont="1" applyFill="1" applyBorder="1" applyAlignment="1">
      <alignment horizontal="left"/>
    </xf>
    <xf numFmtId="0" fontId="33" fillId="0" borderId="67" xfId="0" applyFont="1" applyBorder="1" applyAlignment="1">
      <alignment horizontal="right"/>
    </xf>
    <xf numFmtId="0" fontId="33" fillId="0" borderId="67" xfId="0" applyFont="1" applyBorder="1" applyAlignment="1">
      <alignment horizontal="left"/>
    </xf>
    <xf numFmtId="0" fontId="24" fillId="0" borderId="3" xfId="0" applyFont="1" applyBorder="1" applyAlignment="1">
      <alignment horizontal="right"/>
    </xf>
    <xf numFmtId="0" fontId="24" fillId="0" borderId="3" xfId="0" applyFont="1" applyBorder="1" applyAlignment="1">
      <alignment horizontal="left"/>
    </xf>
    <xf numFmtId="0" fontId="24" fillId="0" borderId="67" xfId="0" applyFont="1" applyBorder="1" applyAlignment="1">
      <alignment horizontal="right"/>
    </xf>
    <xf numFmtId="0" fontId="24" fillId="0" borderId="67" xfId="0" applyFont="1" applyBorder="1" applyAlignment="1">
      <alignment horizontal="left"/>
    </xf>
    <xf numFmtId="0" fontId="24" fillId="0" borderId="2" xfId="0" applyFont="1" applyBorder="1" applyAlignment="1">
      <alignment horizontal="right"/>
    </xf>
    <xf numFmtId="0" fontId="32" fillId="15" borderId="68" xfId="0" applyFont="1" applyFill="1" applyBorder="1" applyAlignment="1">
      <alignment horizontal="right"/>
    </xf>
    <xf numFmtId="0" fontId="33" fillId="0" borderId="68" xfId="0" applyFont="1" applyBorder="1" applyAlignment="1">
      <alignment horizontal="right"/>
    </xf>
    <xf numFmtId="0" fontId="25" fillId="0" borderId="67" xfId="0" applyFont="1" applyBorder="1" applyAlignment="1">
      <alignment horizontal="right" vertical="center"/>
    </xf>
    <xf numFmtId="0" fontId="31" fillId="0" borderId="67" xfId="0" applyFont="1" applyBorder="1" applyAlignment="1">
      <alignment horizontal="right"/>
    </xf>
    <xf numFmtId="12" fontId="24" fillId="0" borderId="19" xfId="0" applyNumberFormat="1" applyFont="1" applyBorder="1" applyAlignment="1">
      <alignment horizontal="right"/>
    </xf>
    <xf numFmtId="0" fontId="24" fillId="0" borderId="19" xfId="0" applyFont="1" applyBorder="1" applyAlignment="1">
      <alignment horizontal="right"/>
    </xf>
    <xf numFmtId="0" fontId="33" fillId="0" borderId="69" xfId="0" applyFont="1" applyBorder="1" applyAlignment="1">
      <alignment horizontal="right"/>
    </xf>
    <xf numFmtId="0" fontId="25" fillId="0" borderId="70" xfId="0" applyFont="1" applyBorder="1" applyAlignment="1">
      <alignment horizontal="right" vertical="center"/>
    </xf>
    <xf numFmtId="0" fontId="24" fillId="0" borderId="69" xfId="0" applyFont="1" applyBorder="1" applyAlignment="1">
      <alignment horizontal="right"/>
    </xf>
    <xf numFmtId="0" fontId="33" fillId="0" borderId="70" xfId="0" applyFont="1" applyBorder="1" applyAlignment="1">
      <alignment horizontal="right"/>
    </xf>
    <xf numFmtId="0" fontId="33" fillId="0" borderId="70" xfId="0" applyFont="1" applyBorder="1" applyAlignment="1">
      <alignment horizontal="left"/>
    </xf>
    <xf numFmtId="0" fontId="24" fillId="0" borderId="1" xfId="0" applyFont="1" applyBorder="1"/>
    <xf numFmtId="0" fontId="25" fillId="0" borderId="3" xfId="0" applyFont="1" applyBorder="1" applyAlignment="1">
      <alignment horizontal="right" vertical="center"/>
    </xf>
    <xf numFmtId="0" fontId="25" fillId="0" borderId="3" xfId="0" applyFont="1" applyBorder="1" applyAlignment="1">
      <alignment vertical="center"/>
    </xf>
    <xf numFmtId="0" fontId="25" fillId="0" borderId="19" xfId="0" applyFont="1" applyBorder="1"/>
    <xf numFmtId="0" fontId="25" fillId="0" borderId="1" xfId="0" applyFont="1" applyBorder="1" applyAlignment="1">
      <alignment horizontal="right"/>
    </xf>
    <xf numFmtId="0" fontId="25" fillId="0" borderId="1" xfId="0" applyFont="1" applyBorder="1" applyAlignment="1">
      <alignment horizontal="left"/>
    </xf>
    <xf numFmtId="0" fontId="24" fillId="0" borderId="3" xfId="0" applyFont="1" applyBorder="1"/>
    <xf numFmtId="0" fontId="24" fillId="0" borderId="67" xfId="0" applyFont="1" applyBorder="1"/>
    <xf numFmtId="0" fontId="24" fillId="0" borderId="70" xfId="0" applyFont="1" applyBorder="1" applyAlignment="1">
      <alignment horizontal="right"/>
    </xf>
    <xf numFmtId="0" fontId="24" fillId="0" borderId="70" xfId="0" applyFont="1" applyBorder="1"/>
    <xf numFmtId="0" fontId="24" fillId="0" borderId="70" xfId="0" applyFont="1" applyBorder="1" applyAlignment="1">
      <alignment horizontal="left"/>
    </xf>
    <xf numFmtId="0" fontId="34" fillId="0" borderId="67" xfId="0" applyFont="1" applyBorder="1" applyAlignment="1">
      <alignment horizontal="right"/>
    </xf>
    <xf numFmtId="0" fontId="34" fillId="0" borderId="67" xfId="0" applyFont="1" applyBorder="1" applyAlignment="1">
      <alignment horizontal="left"/>
    </xf>
    <xf numFmtId="0" fontId="29" fillId="0" borderId="1" xfId="0" applyFont="1" applyBorder="1" applyAlignment="1">
      <alignment horizontal="right" vertical="center" wrapText="1"/>
    </xf>
    <xf numFmtId="0" fontId="34" fillId="0" borderId="70" xfId="0" applyFont="1" applyBorder="1" applyAlignment="1">
      <alignment horizontal="right"/>
    </xf>
    <xf numFmtId="0" fontId="34" fillId="0" borderId="70" xfId="0" applyFont="1" applyBorder="1" applyAlignment="1">
      <alignment horizontal="left"/>
    </xf>
    <xf numFmtId="0" fontId="35" fillId="0" borderId="0" xfId="0" applyFont="1" applyAlignment="1">
      <alignment horizontal="right"/>
    </xf>
    <xf numFmtId="15" fontId="4" fillId="8" borderId="28" xfId="0" applyNumberFormat="1" applyFont="1" applyFill="1" applyBorder="1" applyAlignment="1">
      <alignment horizontal="center" vertical="center"/>
    </xf>
    <xf numFmtId="15" fontId="3" fillId="4" borderId="28" xfId="0" applyNumberFormat="1" applyFont="1" applyFill="1" applyBorder="1" applyAlignment="1">
      <alignment horizontal="center" vertical="center"/>
    </xf>
    <xf numFmtId="1" fontId="0" fillId="0" borderId="1" xfId="0" applyNumberFormat="1" applyBorder="1" applyAlignment="1">
      <alignment horizontal="center" vertical="center"/>
    </xf>
    <xf numFmtId="164" fontId="0" fillId="0" borderId="1" xfId="0" applyNumberFormat="1" applyBorder="1" applyAlignment="1">
      <alignment horizontal="center" vertical="center"/>
    </xf>
    <xf numFmtId="0" fontId="0" fillId="0" borderId="1" xfId="0" applyBorder="1" applyAlignment="1">
      <alignment horizontal="center" vertical="center"/>
    </xf>
    <xf numFmtId="0" fontId="1" fillId="0" borderId="1" xfId="0" applyFont="1" applyBorder="1" applyAlignment="1">
      <alignment horizontal="center" vertical="center"/>
    </xf>
    <xf numFmtId="1" fontId="0" fillId="12" borderId="1" xfId="0" applyNumberFormat="1" applyFill="1" applyBorder="1" applyAlignment="1">
      <alignment horizontal="center" vertical="center"/>
    </xf>
    <xf numFmtId="0" fontId="27" fillId="0" borderId="1" xfId="0" applyFont="1" applyBorder="1" applyAlignment="1">
      <alignment horizontal="right"/>
    </xf>
    <xf numFmtId="0" fontId="27" fillId="0" borderId="1" xfId="0" applyFont="1" applyBorder="1"/>
    <xf numFmtId="0" fontId="27" fillId="0" borderId="1" xfId="0" applyFont="1" applyBorder="1" applyAlignment="1">
      <alignment horizontal="left"/>
    </xf>
    <xf numFmtId="0" fontId="36" fillId="0" borderId="0" xfId="0" applyFont="1" applyAlignment="1">
      <alignment horizontal="right"/>
    </xf>
    <xf numFmtId="0" fontId="36" fillId="0" borderId="0" xfId="0" applyFont="1" applyAlignment="1">
      <alignment horizontal="left"/>
    </xf>
    <xf numFmtId="0" fontId="36" fillId="0" borderId="0" xfId="0" applyFont="1"/>
    <xf numFmtId="0" fontId="25" fillId="0" borderId="1" xfId="0" applyFont="1" applyBorder="1" applyAlignment="1">
      <alignment horizontal="center"/>
    </xf>
    <xf numFmtId="0" fontId="24" fillId="0" borderId="0" xfId="0" applyFont="1" applyAlignment="1">
      <alignment horizontal="right"/>
    </xf>
    <xf numFmtId="166" fontId="36" fillId="0" borderId="1" xfId="0" applyNumberFormat="1" applyFont="1" applyBorder="1"/>
    <xf numFmtId="20" fontId="37" fillId="0" borderId="1" xfId="0" applyNumberFormat="1" applyFont="1" applyBorder="1" applyAlignment="1">
      <alignment horizontal="right" vertical="center"/>
    </xf>
    <xf numFmtId="0" fontId="37" fillId="0" borderId="1" xfId="0" applyFont="1" applyBorder="1" applyAlignment="1">
      <alignment horizontal="right" vertical="center"/>
    </xf>
    <xf numFmtId="0" fontId="37" fillId="14" borderId="1" xfId="0" applyFont="1" applyFill="1" applyBorder="1" applyAlignment="1">
      <alignment horizontal="right" vertical="center"/>
    </xf>
    <xf numFmtId="1" fontId="37" fillId="9" borderId="1" xfId="0" applyNumberFormat="1" applyFont="1" applyFill="1" applyBorder="1" applyAlignment="1">
      <alignment horizontal="right" vertical="center"/>
    </xf>
    <xf numFmtId="0" fontId="36" fillId="0" borderId="56" xfId="0" applyFont="1" applyBorder="1"/>
    <xf numFmtId="0" fontId="37" fillId="0" borderId="19" xfId="0" applyFont="1" applyBorder="1" applyAlignment="1">
      <alignment horizontal="right" vertical="center"/>
    </xf>
    <xf numFmtId="0" fontId="37" fillId="11" borderId="1" xfId="0" applyFont="1" applyFill="1" applyBorder="1" applyAlignment="1">
      <alignment horizontal="right" vertical="center"/>
    </xf>
    <xf numFmtId="1" fontId="38" fillId="2" borderId="1" xfId="0" applyNumberFormat="1" applyFont="1" applyFill="1" applyBorder="1" applyAlignment="1">
      <alignment horizontal="right" vertical="center"/>
    </xf>
    <xf numFmtId="1" fontId="37" fillId="0" borderId="1" xfId="0" applyNumberFormat="1" applyFont="1" applyBorder="1" applyAlignment="1">
      <alignment horizontal="right" vertical="center"/>
    </xf>
    <xf numFmtId="0" fontId="24" fillId="0" borderId="0" xfId="0" applyFont="1" applyAlignment="1">
      <alignment horizontal="left"/>
    </xf>
    <xf numFmtId="0" fontId="24" fillId="0" borderId="0" xfId="0" applyFont="1" applyAlignment="1">
      <alignment vertical="center" wrapText="1"/>
    </xf>
    <xf numFmtId="0" fontId="24" fillId="0" borderId="0" xfId="0" applyFont="1" applyAlignment="1">
      <alignment horizontal="right" vertical="center" wrapText="1"/>
    </xf>
    <xf numFmtId="166" fontId="39" fillId="0" borderId="1" xfId="0" applyNumberFormat="1" applyFont="1" applyBorder="1"/>
    <xf numFmtId="20" fontId="40" fillId="0" borderId="1" xfId="0" applyNumberFormat="1" applyFont="1" applyBorder="1" applyAlignment="1">
      <alignment horizontal="right" vertical="center"/>
    </xf>
    <xf numFmtId="0" fontId="40" fillId="0" borderId="1" xfId="0" applyFont="1" applyBorder="1" applyAlignment="1">
      <alignment horizontal="right" vertical="center"/>
    </xf>
    <xf numFmtId="0" fontId="40" fillId="14" borderId="1" xfId="0" applyFont="1" applyFill="1" applyBorder="1" applyAlignment="1">
      <alignment horizontal="right" vertical="center"/>
    </xf>
    <xf numFmtId="1" fontId="40" fillId="9" borderId="1" xfId="0" applyNumberFormat="1" applyFont="1" applyFill="1" applyBorder="1" applyAlignment="1">
      <alignment horizontal="right" vertical="center"/>
    </xf>
    <xf numFmtId="0" fontId="39" fillId="0" borderId="56" xfId="0" applyFont="1" applyBorder="1"/>
    <xf numFmtId="0" fontId="40" fillId="0" borderId="19" xfId="0" applyFont="1" applyBorder="1" applyAlignment="1">
      <alignment horizontal="right" vertical="center"/>
    </xf>
    <xf numFmtId="0" fontId="40" fillId="11" borderId="1" xfId="0" applyFont="1" applyFill="1" applyBorder="1" applyAlignment="1">
      <alignment horizontal="right" vertical="center"/>
    </xf>
    <xf numFmtId="1" fontId="41" fillId="2" borderId="1" xfId="0" applyNumberFormat="1" applyFont="1" applyFill="1" applyBorder="1" applyAlignment="1">
      <alignment horizontal="right" vertical="center"/>
    </xf>
    <xf numFmtId="1" fontId="40" fillId="0" borderId="1" xfId="0" applyNumberFormat="1" applyFont="1" applyBorder="1" applyAlignment="1">
      <alignment horizontal="right" vertical="center"/>
    </xf>
    <xf numFmtId="0" fontId="24" fillId="0" borderId="0" xfId="0" applyFont="1" applyAlignment="1">
      <alignment horizontal="right" vertical="center"/>
    </xf>
    <xf numFmtId="0" fontId="39" fillId="0" borderId="0" xfId="0" applyFont="1" applyAlignment="1">
      <alignment horizontal="left"/>
    </xf>
    <xf numFmtId="0" fontId="39" fillId="0" borderId="0" xfId="0" applyFont="1"/>
    <xf numFmtId="0" fontId="39" fillId="0" borderId="0" xfId="0" applyFont="1" applyAlignment="1">
      <alignment horizontal="right"/>
    </xf>
    <xf numFmtId="0" fontId="39" fillId="0" borderId="0" xfId="0" applyFont="1" applyAlignment="1">
      <alignment horizontal="right" vertical="center"/>
    </xf>
    <xf numFmtId="0" fontId="39" fillId="0" borderId="0" xfId="0" applyFont="1" applyAlignment="1">
      <alignment horizontal="right" vertical="center" wrapText="1"/>
    </xf>
    <xf numFmtId="0" fontId="4" fillId="12" borderId="1" xfId="0" applyFont="1" applyFill="1" applyBorder="1" applyAlignment="1">
      <alignment horizontal="center" vertical="center"/>
    </xf>
    <xf numFmtId="0" fontId="42" fillId="12" borderId="1" xfId="0" applyFont="1" applyFill="1" applyBorder="1" applyAlignment="1">
      <alignment horizontal="center" vertical="center"/>
    </xf>
    <xf numFmtId="1" fontId="4" fillId="12" borderId="1" xfId="0" applyNumberFormat="1" applyFont="1" applyFill="1" applyBorder="1" applyAlignment="1">
      <alignment horizontal="center" vertical="center"/>
    </xf>
    <xf numFmtId="3" fontId="0" fillId="9" borderId="1" xfId="0" applyNumberFormat="1" applyFill="1" applyBorder="1" applyAlignment="1">
      <alignment horizontal="center" vertical="center"/>
    </xf>
    <xf numFmtId="166" fontId="43" fillId="0" borderId="1" xfId="0" applyNumberFormat="1" applyFont="1" applyBorder="1"/>
    <xf numFmtId="20" fontId="44" fillId="0" borderId="1" xfId="0" applyNumberFormat="1" applyFont="1" applyBorder="1" applyAlignment="1">
      <alignment horizontal="right" vertical="center"/>
    </xf>
    <xf numFmtId="0" fontId="44" fillId="0" borderId="1" xfId="0" applyFont="1" applyBorder="1" applyAlignment="1">
      <alignment horizontal="right" vertical="center"/>
    </xf>
    <xf numFmtId="0" fontId="44" fillId="14" borderId="1" xfId="0" applyFont="1" applyFill="1" applyBorder="1" applyAlignment="1">
      <alignment horizontal="right" vertical="center"/>
    </xf>
    <xf numFmtId="1" fontId="44" fillId="9" borderId="1" xfId="0" applyNumberFormat="1" applyFont="1" applyFill="1" applyBorder="1" applyAlignment="1">
      <alignment horizontal="right" vertical="center"/>
    </xf>
    <xf numFmtId="0" fontId="43" fillId="0" borderId="56" xfId="0" applyFont="1" applyBorder="1"/>
    <xf numFmtId="0" fontId="44" fillId="0" borderId="19" xfId="0" applyFont="1" applyBorder="1" applyAlignment="1">
      <alignment horizontal="right" vertical="center"/>
    </xf>
    <xf numFmtId="0" fontId="44" fillId="11" borderId="1" xfId="0" applyFont="1" applyFill="1" applyBorder="1" applyAlignment="1">
      <alignment horizontal="right" vertical="center"/>
    </xf>
    <xf numFmtId="1" fontId="45" fillId="2" borderId="1" xfId="0" applyNumberFormat="1" applyFont="1" applyFill="1" applyBorder="1" applyAlignment="1">
      <alignment horizontal="right" vertical="center"/>
    </xf>
    <xf numFmtId="1" fontId="44" fillId="0" borderId="1" xfId="0" applyNumberFormat="1" applyFont="1" applyBorder="1" applyAlignment="1">
      <alignment horizontal="right" vertical="center"/>
    </xf>
    <xf numFmtId="0" fontId="0" fillId="0" borderId="2" xfId="0" applyBorder="1" applyAlignment="1">
      <alignment vertical="center"/>
    </xf>
    <xf numFmtId="0" fontId="0" fillId="0" borderId="60" xfId="0" applyBorder="1" applyAlignment="1">
      <alignment vertical="center"/>
    </xf>
    <xf numFmtId="0" fontId="25" fillId="0" borderId="34" xfId="0" applyFont="1" applyBorder="1"/>
    <xf numFmtId="166" fontId="43" fillId="0" borderId="56" xfId="0" applyNumberFormat="1" applyFont="1" applyBorder="1"/>
    <xf numFmtId="0" fontId="23" fillId="0" borderId="0" xfId="0" applyFont="1" applyAlignment="1">
      <alignment horizontal="left" vertical="center"/>
    </xf>
    <xf numFmtId="14" fontId="25" fillId="0" borderId="0" xfId="0" applyNumberFormat="1" applyFont="1" applyAlignment="1">
      <alignment horizontal="right" vertical="center"/>
    </xf>
    <xf numFmtId="0" fontId="25" fillId="0" borderId="0" xfId="0" applyFont="1" applyAlignment="1">
      <alignment horizontal="left" vertical="center"/>
    </xf>
    <xf numFmtId="164" fontId="25" fillId="0" borderId="0" xfId="0" applyNumberFormat="1" applyFont="1" applyAlignment="1">
      <alignment horizontal="right" vertical="center"/>
    </xf>
    <xf numFmtId="0" fontId="25" fillId="0" borderId="0" xfId="0" applyFont="1" applyAlignment="1">
      <alignment horizontal="center"/>
    </xf>
    <xf numFmtId="0" fontId="44" fillId="11" borderId="19" xfId="0" applyFont="1" applyFill="1" applyBorder="1" applyAlignment="1">
      <alignment horizontal="right" vertical="center"/>
    </xf>
    <xf numFmtId="0" fontId="1" fillId="16" borderId="48" xfId="0" applyFont="1" applyFill="1" applyBorder="1" applyAlignment="1">
      <alignment horizontal="center" vertical="center"/>
    </xf>
    <xf numFmtId="0" fontId="1" fillId="16" borderId="49" xfId="0" applyFont="1" applyFill="1" applyBorder="1" applyAlignment="1">
      <alignment horizontal="center" vertical="center"/>
    </xf>
    <xf numFmtId="0" fontId="1" fillId="0" borderId="0" xfId="0" applyFont="1" applyAlignment="1">
      <alignment vertical="center"/>
    </xf>
    <xf numFmtId="0" fontId="1" fillId="0" borderId="61" xfId="0" applyFont="1" applyBorder="1" applyAlignment="1">
      <alignment vertical="center"/>
    </xf>
    <xf numFmtId="0" fontId="43" fillId="0" borderId="0" xfId="0" applyFont="1" applyAlignment="1">
      <alignment horizontal="right"/>
    </xf>
    <xf numFmtId="0" fontId="43" fillId="0" borderId="0" xfId="0" applyFont="1" applyAlignment="1">
      <alignment horizontal="left"/>
    </xf>
    <xf numFmtId="0" fontId="43" fillId="0" borderId="0" xfId="0" applyFont="1"/>
    <xf numFmtId="0" fontId="46" fillId="0" borderId="0" xfId="0" applyFont="1"/>
    <xf numFmtId="0" fontId="4" fillId="0" borderId="1" xfId="0" applyFont="1" applyBorder="1" applyAlignment="1">
      <alignment horizontal="center" vertical="center"/>
    </xf>
    <xf numFmtId="0" fontId="42" fillId="0" borderId="1" xfId="0" applyFont="1" applyBorder="1" applyAlignment="1">
      <alignment horizontal="center" vertical="center"/>
    </xf>
    <xf numFmtId="1" fontId="4" fillId="0" borderId="1" xfId="0" applyNumberFormat="1" applyFont="1" applyBorder="1" applyAlignment="1">
      <alignment horizontal="center" vertical="center"/>
    </xf>
    <xf numFmtId="1" fontId="4" fillId="7" borderId="1" xfId="0" applyNumberFormat="1" applyFont="1" applyFill="1" applyBorder="1" applyAlignment="1">
      <alignment horizontal="center" vertical="center"/>
    </xf>
    <xf numFmtId="0" fontId="27" fillId="0" borderId="67" xfId="0" applyFont="1" applyBorder="1" applyAlignment="1">
      <alignment horizontal="right"/>
    </xf>
    <xf numFmtId="0" fontId="33" fillId="0" borderId="0" xfId="0" applyFont="1" applyAlignment="1">
      <alignment horizontal="right"/>
    </xf>
    <xf numFmtId="0" fontId="43" fillId="0" borderId="67" xfId="0" applyFont="1" applyBorder="1" applyAlignment="1">
      <alignment horizontal="right"/>
    </xf>
    <xf numFmtId="0" fontId="34" fillId="0" borderId="0" xfId="0" applyFont="1" applyAlignment="1">
      <alignment horizontal="right"/>
    </xf>
    <xf numFmtId="0" fontId="25" fillId="0" borderId="0" xfId="0" applyFont="1" applyAlignment="1">
      <alignment vertical="center"/>
    </xf>
    <xf numFmtId="0" fontId="27" fillId="0" borderId="70" xfId="0" applyFont="1" applyBorder="1"/>
    <xf numFmtId="0" fontId="33" fillId="0" borderId="0" xfId="0" applyFont="1" applyAlignment="1">
      <alignment horizontal="left"/>
    </xf>
    <xf numFmtId="0" fontId="25" fillId="0" borderId="67" xfId="0" applyFont="1" applyBorder="1" applyAlignment="1">
      <alignment horizontal="left" vertical="center"/>
    </xf>
    <xf numFmtId="0" fontId="25" fillId="0" borderId="70" xfId="0" applyFont="1" applyBorder="1" applyAlignment="1">
      <alignment horizontal="left" vertical="center"/>
    </xf>
    <xf numFmtId="0" fontId="43" fillId="0" borderId="1" xfId="0" applyFont="1" applyBorder="1" applyAlignment="1">
      <alignment horizontal="left"/>
    </xf>
    <xf numFmtId="0" fontId="27" fillId="0" borderId="70" xfId="0" applyFont="1" applyBorder="1" applyAlignment="1">
      <alignment horizontal="left"/>
    </xf>
    <xf numFmtId="0" fontId="34" fillId="0" borderId="0" xfId="0" applyFont="1" applyAlignment="1">
      <alignment horizontal="left"/>
    </xf>
    <xf numFmtId="0" fontId="43" fillId="0" borderId="1" xfId="0" applyFont="1" applyBorder="1" applyAlignment="1">
      <alignment horizontal="right"/>
    </xf>
    <xf numFmtId="0" fontId="27" fillId="0" borderId="70" xfId="0" applyFont="1" applyBorder="1" applyAlignment="1">
      <alignment horizontal="right"/>
    </xf>
    <xf numFmtId="0" fontId="25" fillId="0" borderId="0" xfId="0" applyFont="1" applyAlignment="1">
      <alignment horizontal="right" vertical="center" wrapText="1"/>
    </xf>
    <xf numFmtId="0" fontId="24" fillId="0" borderId="19" xfId="0" applyFont="1" applyBorder="1"/>
    <xf numFmtId="0" fontId="43" fillId="0" borderId="1" xfId="0" applyFont="1" applyBorder="1"/>
    <xf numFmtId="0" fontId="25" fillId="0" borderId="0" xfId="0" applyFont="1" applyAlignment="1">
      <alignment horizontal="left" vertical="center" wrapText="1"/>
    </xf>
    <xf numFmtId="0" fontId="25" fillId="0" borderId="0" xfId="0" applyFont="1" applyAlignment="1">
      <alignment horizontal="right"/>
    </xf>
    <xf numFmtId="0" fontId="25" fillId="0" borderId="68" xfId="0" applyFont="1" applyBorder="1" applyAlignment="1">
      <alignment vertical="center"/>
    </xf>
    <xf numFmtId="0" fontId="25" fillId="0" borderId="0" xfId="0" applyFont="1" applyAlignment="1">
      <alignment horizontal="left"/>
    </xf>
    <xf numFmtId="1" fontId="0" fillId="12" borderId="3" xfId="0" applyNumberFormat="1" applyFill="1" applyBorder="1" applyAlignment="1">
      <alignment horizontal="center" vertical="center"/>
    </xf>
    <xf numFmtId="0" fontId="45" fillId="0" borderId="15" xfId="0" applyFont="1" applyBorder="1" applyAlignment="1">
      <alignment horizontal="center" vertical="center"/>
    </xf>
    <xf numFmtId="0" fontId="45" fillId="0" borderId="16" xfId="0" applyFont="1" applyBorder="1" applyAlignment="1">
      <alignment horizontal="center" vertical="center"/>
    </xf>
    <xf numFmtId="0" fontId="45" fillId="0" borderId="52" xfId="0" applyFont="1" applyBorder="1" applyAlignment="1">
      <alignment horizontal="center" vertical="center"/>
    </xf>
    <xf numFmtId="0" fontId="45" fillId="0" borderId="43" xfId="0" applyFont="1" applyBorder="1" applyAlignment="1">
      <alignment horizontal="center" vertical="center"/>
    </xf>
    <xf numFmtId="0" fontId="45" fillId="0" borderId="17" xfId="0" applyFont="1" applyBorder="1" applyAlignment="1">
      <alignment horizontal="center" vertical="center"/>
    </xf>
    <xf numFmtId="0" fontId="44" fillId="0" borderId="6" xfId="0" applyFont="1" applyBorder="1" applyAlignment="1">
      <alignment horizontal="right" vertical="center"/>
    </xf>
    <xf numFmtId="0" fontId="44" fillId="0" borderId="54" xfId="0" applyFont="1" applyBorder="1" applyAlignment="1">
      <alignment horizontal="right" vertical="center"/>
    </xf>
    <xf numFmtId="0" fontId="43" fillId="0" borderId="5" xfId="0" applyFont="1" applyBorder="1" applyAlignment="1">
      <alignment horizontal="center" vertical="center"/>
    </xf>
    <xf numFmtId="0" fontId="43" fillId="0" borderId="6" xfId="0" applyFont="1" applyBorder="1" applyAlignment="1">
      <alignment horizontal="center" vertical="center"/>
    </xf>
    <xf numFmtId="0" fontId="44" fillId="0" borderId="56" xfId="0" applyFont="1" applyBorder="1" applyAlignment="1">
      <alignment horizontal="right" vertical="center"/>
    </xf>
    <xf numFmtId="0" fontId="43" fillId="0" borderId="8" xfId="0" applyFont="1" applyBorder="1" applyAlignment="1">
      <alignment horizontal="center" vertical="center"/>
    </xf>
    <xf numFmtId="0" fontId="43" fillId="0" borderId="1" xfId="0" applyFont="1" applyBorder="1" applyAlignment="1">
      <alignment horizontal="center" vertical="center"/>
    </xf>
    <xf numFmtId="0" fontId="44" fillId="0" borderId="11" xfId="0" applyFont="1" applyBorder="1" applyAlignment="1">
      <alignment horizontal="right" vertical="center"/>
    </xf>
    <xf numFmtId="0" fontId="44" fillId="0" borderId="58" xfId="0" applyFont="1" applyBorder="1" applyAlignment="1">
      <alignment horizontal="right" vertical="center"/>
    </xf>
    <xf numFmtId="0" fontId="43" fillId="0" borderId="10" xfId="0" applyFont="1" applyBorder="1" applyAlignment="1">
      <alignment horizontal="center" vertical="center"/>
    </xf>
    <xf numFmtId="0" fontId="43" fillId="0" borderId="11" xfId="0" applyFont="1" applyBorder="1" applyAlignment="1">
      <alignment horizontal="center" vertical="center"/>
    </xf>
    <xf numFmtId="0" fontId="44" fillId="0" borderId="15" xfId="0" applyFont="1" applyBorder="1" applyAlignment="1">
      <alignment horizontal="left" vertical="center"/>
    </xf>
    <xf numFmtId="0" fontId="44" fillId="0" borderId="16" xfId="0" applyFont="1" applyBorder="1" applyAlignment="1">
      <alignment horizontal="left" vertical="center"/>
    </xf>
    <xf numFmtId="0" fontId="44" fillId="0" borderId="16" xfId="0" applyFont="1" applyBorder="1" applyAlignment="1">
      <alignment horizontal="right" vertical="center"/>
    </xf>
    <xf numFmtId="0" fontId="44" fillId="0" borderId="43" xfId="0" applyFont="1" applyBorder="1" applyAlignment="1">
      <alignment horizontal="center" vertical="center"/>
    </xf>
    <xf numFmtId="0" fontId="43" fillId="0" borderId="15" xfId="0" applyFont="1" applyBorder="1" applyAlignment="1">
      <alignment horizontal="center" vertical="center"/>
    </xf>
    <xf numFmtId="0" fontId="43" fillId="0" borderId="16" xfId="0" applyFont="1" applyBorder="1" applyAlignment="1">
      <alignment horizontal="center" vertical="center"/>
    </xf>
    <xf numFmtId="0" fontId="49" fillId="2" borderId="17" xfId="0" applyFont="1" applyFill="1" applyBorder="1" applyAlignment="1">
      <alignment horizontal="center" vertical="center"/>
    </xf>
    <xf numFmtId="0" fontId="44" fillId="11" borderId="16" xfId="0" applyFont="1" applyFill="1" applyBorder="1" applyAlignment="1">
      <alignment horizontal="right" vertical="center"/>
    </xf>
    <xf numFmtId="0" fontId="44" fillId="11" borderId="52" xfId="0" applyFont="1" applyFill="1" applyBorder="1" applyAlignment="1">
      <alignment horizontal="right" vertical="center"/>
    </xf>
    <xf numFmtId="0" fontId="43" fillId="0" borderId="3" xfId="0" applyFont="1" applyBorder="1" applyAlignment="1">
      <alignment horizontal="right"/>
    </xf>
    <xf numFmtId="0" fontId="43" fillId="0" borderId="3" xfId="0" applyFont="1" applyBorder="1"/>
    <xf numFmtId="0" fontId="27" fillId="0" borderId="67" xfId="0" applyFont="1" applyBorder="1"/>
    <xf numFmtId="0" fontId="43" fillId="0" borderId="3" xfId="0" applyFont="1" applyBorder="1" applyAlignment="1">
      <alignment horizontal="left"/>
    </xf>
    <xf numFmtId="0" fontId="27" fillId="0" borderId="67" xfId="0" applyFont="1" applyBorder="1" applyAlignment="1">
      <alignment horizontal="left"/>
    </xf>
    <xf numFmtId="0" fontId="44" fillId="11" borderId="11" xfId="0" applyFont="1" applyFill="1" applyBorder="1" applyAlignment="1">
      <alignment horizontal="right" vertical="center"/>
    </xf>
    <xf numFmtId="0" fontId="44" fillId="11" borderId="58" xfId="0" applyFont="1" applyFill="1" applyBorder="1" applyAlignment="1">
      <alignment horizontal="right" vertical="center"/>
    </xf>
    <xf numFmtId="0" fontId="44" fillId="0" borderId="1" xfId="0" applyFont="1" applyBorder="1" applyAlignment="1">
      <alignment horizontal="left" vertical="center"/>
    </xf>
    <xf numFmtId="0" fontId="18" fillId="0" borderId="0" xfId="0" applyFont="1" applyAlignment="1">
      <alignment horizontal="left"/>
    </xf>
    <xf numFmtId="0" fontId="21" fillId="0" borderId="0" xfId="0" applyFont="1" applyAlignment="1">
      <alignment horizontal="left"/>
    </xf>
    <xf numFmtId="0" fontId="44" fillId="11" borderId="1" xfId="0" applyFont="1" applyFill="1" applyBorder="1" applyAlignment="1">
      <alignment horizontal="left" vertical="center"/>
    </xf>
    <xf numFmtId="0" fontId="46" fillId="0" borderId="0" xfId="0" applyFont="1" applyAlignment="1">
      <alignment horizontal="left"/>
    </xf>
    <xf numFmtId="0" fontId="50" fillId="0" borderId="0" xfId="2"/>
    <xf numFmtId="0" fontId="51" fillId="0" borderId="0" xfId="2" applyFont="1" applyAlignment="1">
      <alignment horizontal="left" vertical="center"/>
    </xf>
    <xf numFmtId="0" fontId="52" fillId="17" borderId="1" xfId="2" applyFont="1" applyFill="1" applyBorder="1" applyAlignment="1">
      <alignment horizontal="center" vertical="center"/>
    </xf>
    <xf numFmtId="0" fontId="53" fillId="0" borderId="0" xfId="2" applyFont="1" applyAlignment="1">
      <alignment horizontal="center" vertical="center"/>
    </xf>
    <xf numFmtId="0" fontId="50" fillId="0" borderId="0" xfId="2" applyAlignment="1">
      <alignment horizontal="left" vertical="center" wrapText="1"/>
    </xf>
    <xf numFmtId="0" fontId="54" fillId="0" borderId="0" xfId="2" applyFont="1"/>
    <xf numFmtId="0" fontId="50" fillId="0" borderId="1" xfId="2" applyBorder="1" applyAlignment="1">
      <alignment horizontal="left" vertical="center" wrapText="1"/>
    </xf>
    <xf numFmtId="0" fontId="52" fillId="0" borderId="1" xfId="2" applyFont="1" applyBorder="1" applyAlignment="1">
      <alignment horizontal="center" vertical="center"/>
    </xf>
    <xf numFmtId="0" fontId="52" fillId="12" borderId="1" xfId="2" applyFont="1" applyFill="1" applyBorder="1" applyAlignment="1">
      <alignment horizontal="center" vertical="center"/>
    </xf>
    <xf numFmtId="0" fontId="52" fillId="11" borderId="1" xfId="2" applyFont="1" applyFill="1" applyBorder="1" applyAlignment="1">
      <alignment horizontal="center" vertical="center"/>
    </xf>
    <xf numFmtId="0" fontId="55" fillId="0" borderId="0" xfId="2" applyFont="1" applyAlignment="1">
      <alignment horizontal="center" vertical="center"/>
    </xf>
    <xf numFmtId="0" fontId="54" fillId="0" borderId="0" xfId="2" applyFont="1" applyAlignment="1">
      <alignment horizontal="left" vertical="center"/>
    </xf>
    <xf numFmtId="0" fontId="56" fillId="0" borderId="0" xfId="2" applyFont="1"/>
    <xf numFmtId="0" fontId="57" fillId="0" borderId="0" xfId="2" applyFont="1"/>
    <xf numFmtId="0" fontId="50" fillId="0" borderId="0" xfId="2" applyAlignment="1">
      <alignment horizontal="center"/>
    </xf>
    <xf numFmtId="0" fontId="53" fillId="0" borderId="0" xfId="2" applyFont="1"/>
    <xf numFmtId="167" fontId="50" fillId="0" borderId="1" xfId="2" applyNumberFormat="1" applyBorder="1" applyAlignment="1">
      <alignment horizontal="center" vertical="center"/>
    </xf>
    <xf numFmtId="0" fontId="50" fillId="0" borderId="1" xfId="2" applyBorder="1" applyAlignment="1">
      <alignment horizontal="center" vertical="center"/>
    </xf>
    <xf numFmtId="0" fontId="53" fillId="18" borderId="1" xfId="2" applyFont="1" applyFill="1" applyBorder="1" applyAlignment="1">
      <alignment horizontal="center" vertical="center"/>
    </xf>
    <xf numFmtId="0" fontId="53" fillId="19" borderId="1" xfId="2" applyFont="1" applyFill="1" applyBorder="1" applyAlignment="1">
      <alignment horizontal="center" vertical="center"/>
    </xf>
    <xf numFmtId="0" fontId="53" fillId="20" borderId="1" xfId="2" applyFont="1" applyFill="1" applyBorder="1" applyAlignment="1">
      <alignment horizontal="center" vertical="center"/>
    </xf>
    <xf numFmtId="0" fontId="53" fillId="21" borderId="1" xfId="2" applyFont="1" applyFill="1" applyBorder="1" applyAlignment="1">
      <alignment horizontal="center" vertical="center"/>
    </xf>
    <xf numFmtId="0" fontId="53" fillId="22" borderId="1" xfId="2" applyFont="1" applyFill="1" applyBorder="1" applyAlignment="1">
      <alignment horizontal="center" vertical="center"/>
    </xf>
    <xf numFmtId="0" fontId="53" fillId="23" borderId="1" xfId="2" applyFont="1" applyFill="1" applyBorder="1" applyAlignment="1">
      <alignment horizontal="center" vertical="center"/>
    </xf>
    <xf numFmtId="0" fontId="53" fillId="24" borderId="1" xfId="2" applyFont="1" applyFill="1" applyBorder="1" applyAlignment="1">
      <alignment horizontal="center" vertical="center"/>
    </xf>
    <xf numFmtId="0" fontId="58" fillId="0" borderId="0" xfId="2" applyFont="1"/>
    <xf numFmtId="0" fontId="50" fillId="0" borderId="0" xfId="2" applyAlignment="1">
      <alignment horizontal="left" vertical="center"/>
    </xf>
    <xf numFmtId="0" fontId="53" fillId="24" borderId="0" xfId="2" applyFont="1" applyFill="1" applyAlignment="1">
      <alignment horizontal="center" vertical="center"/>
    </xf>
    <xf numFmtId="0" fontId="50" fillId="0" borderId="1" xfId="2" applyBorder="1"/>
    <xf numFmtId="0" fontId="0" fillId="0" borderId="1" xfId="0" applyBorder="1"/>
    <xf numFmtId="0" fontId="63" fillId="0" borderId="1" xfId="0" applyFont="1" applyBorder="1" applyAlignment="1">
      <alignment horizontal="center" vertical="center"/>
    </xf>
    <xf numFmtId="0" fontId="0" fillId="27" borderId="1" xfId="0" applyFill="1" applyBorder="1" applyAlignment="1">
      <alignment horizontal="center" vertical="center"/>
    </xf>
    <xf numFmtId="0" fontId="0" fillId="28" borderId="1" xfId="0" applyFill="1" applyBorder="1" applyAlignment="1">
      <alignment horizontal="center" vertical="center"/>
    </xf>
    <xf numFmtId="0" fontId="0" fillId="29" borderId="1" xfId="0" applyFill="1" applyBorder="1" applyAlignment="1">
      <alignment horizontal="center" vertical="center"/>
    </xf>
    <xf numFmtId="0" fontId="63" fillId="0" borderId="0" xfId="0" applyFont="1"/>
    <xf numFmtId="0" fontId="52" fillId="31" borderId="1" xfId="2" applyFont="1" applyFill="1" applyBorder="1" applyAlignment="1">
      <alignment horizontal="center" vertical="center"/>
    </xf>
    <xf numFmtId="14" fontId="50" fillId="0" borderId="1" xfId="2" applyNumberFormat="1" applyBorder="1" applyAlignment="1">
      <alignment horizontal="left" vertical="center"/>
    </xf>
    <xf numFmtId="0" fontId="67" fillId="32" borderId="73" xfId="0" applyFont="1" applyFill="1" applyBorder="1" applyAlignment="1">
      <alignment horizontal="center" vertical="center" wrapText="1"/>
    </xf>
    <xf numFmtId="16" fontId="68" fillId="0" borderId="73" xfId="0" applyNumberFormat="1" applyFont="1" applyBorder="1" applyAlignment="1">
      <alignment horizontal="center" vertical="center"/>
    </xf>
    <xf numFmtId="0" fontId="68" fillId="0" borderId="73" xfId="0" applyFont="1" applyBorder="1" applyAlignment="1">
      <alignment horizontal="center" vertical="center"/>
    </xf>
    <xf numFmtId="164" fontId="69" fillId="0" borderId="73" xfId="0" applyNumberFormat="1" applyFont="1" applyBorder="1" applyAlignment="1">
      <alignment horizontal="center" vertical="center"/>
    </xf>
    <xf numFmtId="0" fontId="68" fillId="0" borderId="73" xfId="0" applyFont="1" applyBorder="1" applyAlignment="1">
      <alignment horizontal="left" vertical="center"/>
    </xf>
    <xf numFmtId="0" fontId="70" fillId="0" borderId="73" xfId="0" applyFont="1" applyBorder="1" applyAlignment="1">
      <alignment horizontal="center" vertical="center"/>
    </xf>
    <xf numFmtId="0" fontId="71" fillId="34" borderId="73" xfId="0" applyFont="1" applyFill="1" applyBorder="1" applyAlignment="1">
      <alignment horizontal="center" vertical="center"/>
    </xf>
    <xf numFmtId="0" fontId="71" fillId="35" borderId="73" xfId="0" applyFont="1" applyFill="1" applyBorder="1" applyAlignment="1">
      <alignment horizontal="center" vertical="center"/>
    </xf>
    <xf numFmtId="0" fontId="71" fillId="36" borderId="73" xfId="0" applyFont="1" applyFill="1" applyBorder="1" applyAlignment="1">
      <alignment horizontal="left" vertical="center"/>
    </xf>
    <xf numFmtId="164" fontId="72" fillId="36" borderId="73" xfId="0" applyNumberFormat="1" applyFont="1" applyFill="1" applyBorder="1" applyAlignment="1">
      <alignment horizontal="center" vertical="center"/>
    </xf>
    <xf numFmtId="0" fontId="68" fillId="36" borderId="73" xfId="0" applyFont="1" applyFill="1" applyBorder="1" applyAlignment="1">
      <alignment horizontal="center" vertical="center"/>
    </xf>
    <xf numFmtId="0" fontId="72" fillId="36" borderId="73" xfId="0" applyFont="1" applyFill="1" applyBorder="1" applyAlignment="1">
      <alignment horizontal="center" vertical="center"/>
    </xf>
    <xf numFmtId="0" fontId="71" fillId="0" borderId="73" xfId="0" applyFont="1" applyBorder="1" applyAlignment="1">
      <alignment horizontal="left" vertical="center"/>
    </xf>
    <xf numFmtId="164" fontId="72" fillId="37" borderId="73" xfId="0" applyNumberFormat="1" applyFont="1" applyFill="1" applyBorder="1" applyAlignment="1">
      <alignment horizontal="center" vertical="center"/>
    </xf>
    <xf numFmtId="0" fontId="72" fillId="37" borderId="73" xfId="0" applyFont="1" applyFill="1" applyBorder="1" applyAlignment="1">
      <alignment horizontal="center" vertical="center"/>
    </xf>
    <xf numFmtId="1" fontId="72" fillId="37" borderId="73" xfId="0" applyNumberFormat="1" applyFont="1" applyFill="1" applyBorder="1" applyAlignment="1">
      <alignment horizontal="center" vertical="center"/>
    </xf>
    <xf numFmtId="1" fontId="72" fillId="36" borderId="73" xfId="0" applyNumberFormat="1" applyFont="1" applyFill="1" applyBorder="1" applyAlignment="1">
      <alignment horizontal="center" vertical="center"/>
    </xf>
    <xf numFmtId="15" fontId="68" fillId="0" borderId="73" xfId="0" applyNumberFormat="1" applyFont="1" applyBorder="1" applyAlignment="1">
      <alignment horizontal="center" vertical="center"/>
    </xf>
    <xf numFmtId="164" fontId="0" fillId="36" borderId="73" xfId="0" applyNumberFormat="1" applyFill="1" applyBorder="1" applyAlignment="1">
      <alignment horizontal="center" vertical="center"/>
    </xf>
    <xf numFmtId="0" fontId="0" fillId="36" borderId="73" xfId="0" applyFill="1" applyBorder="1" applyAlignment="1">
      <alignment horizontal="center" vertical="center"/>
    </xf>
    <xf numFmtId="164" fontId="0" fillId="37" borderId="73" xfId="0" applyNumberFormat="1" applyFill="1" applyBorder="1" applyAlignment="1">
      <alignment horizontal="center" vertical="center"/>
    </xf>
    <xf numFmtId="0" fontId="0" fillId="37" borderId="73" xfId="0" applyFill="1" applyBorder="1" applyAlignment="1">
      <alignment horizontal="center" vertical="center"/>
    </xf>
    <xf numFmtId="1" fontId="0" fillId="37" borderId="73" xfId="0" applyNumberFormat="1" applyFill="1" applyBorder="1" applyAlignment="1">
      <alignment horizontal="center" vertical="center"/>
    </xf>
    <xf numFmtId="1" fontId="0" fillId="36" borderId="73" xfId="0" applyNumberFormat="1" applyFill="1" applyBorder="1" applyAlignment="1">
      <alignment horizontal="center" vertical="center"/>
    </xf>
    <xf numFmtId="0" fontId="73" fillId="39" borderId="73" xfId="0" applyFont="1" applyFill="1" applyBorder="1" applyAlignment="1">
      <alignment horizontal="left" vertical="center" wrapText="1"/>
    </xf>
    <xf numFmtId="0" fontId="74" fillId="37" borderId="73" xfId="0" applyFont="1" applyFill="1" applyBorder="1" applyAlignment="1">
      <alignment horizontal="left" vertical="center" wrapText="1"/>
    </xf>
    <xf numFmtId="0" fontId="75" fillId="32" borderId="73" xfId="0" applyFont="1" applyFill="1" applyBorder="1" applyAlignment="1">
      <alignment horizontal="center" vertical="center"/>
    </xf>
    <xf numFmtId="0" fontId="68" fillId="40" borderId="73" xfId="0" applyFont="1" applyFill="1" applyBorder="1" applyAlignment="1">
      <alignment horizontal="left" vertical="center"/>
    </xf>
    <xf numFmtId="0" fontId="74" fillId="0" borderId="73" xfId="0" applyFont="1" applyBorder="1" applyAlignment="1">
      <alignment horizontal="center" vertical="center"/>
    </xf>
    <xf numFmtId="166" fontId="76" fillId="0" borderId="56" xfId="0" applyNumberFormat="1" applyFont="1" applyBorder="1"/>
    <xf numFmtId="20" fontId="77" fillId="0" borderId="1" xfId="0" applyNumberFormat="1" applyFont="1" applyBorder="1" applyAlignment="1">
      <alignment horizontal="right" vertical="center"/>
    </xf>
    <xf numFmtId="0" fontId="77" fillId="0" borderId="1" xfId="0" applyFont="1" applyBorder="1" applyAlignment="1">
      <alignment horizontal="right" vertical="center"/>
    </xf>
    <xf numFmtId="0" fontId="77" fillId="14" borderId="1" xfId="0" applyFont="1" applyFill="1" applyBorder="1" applyAlignment="1">
      <alignment horizontal="right" vertical="center"/>
    </xf>
    <xf numFmtId="0" fontId="77" fillId="0" borderId="1" xfId="0" applyFont="1" applyBorder="1" applyAlignment="1">
      <alignment horizontal="left" vertical="center"/>
    </xf>
    <xf numFmtId="1" fontId="77" fillId="9" borderId="1" xfId="0" applyNumberFormat="1" applyFont="1" applyFill="1" applyBorder="1" applyAlignment="1">
      <alignment horizontal="right" vertical="center"/>
    </xf>
    <xf numFmtId="0" fontId="76" fillId="0" borderId="56" xfId="0" applyFont="1" applyBorder="1"/>
    <xf numFmtId="0" fontId="77" fillId="0" borderId="19" xfId="0" applyFont="1" applyBorder="1" applyAlignment="1">
      <alignment horizontal="right" vertical="center"/>
    </xf>
    <xf numFmtId="0" fontId="77" fillId="11" borderId="19" xfId="0" applyFont="1" applyFill="1" applyBorder="1" applyAlignment="1">
      <alignment horizontal="right" vertical="center"/>
    </xf>
    <xf numFmtId="0" fontId="77" fillId="11" borderId="1" xfId="0" applyFont="1" applyFill="1" applyBorder="1" applyAlignment="1">
      <alignment horizontal="right" vertical="center"/>
    </xf>
    <xf numFmtId="0" fontId="77" fillId="11" borderId="1" xfId="0" applyFont="1" applyFill="1" applyBorder="1" applyAlignment="1">
      <alignment horizontal="left" vertical="center"/>
    </xf>
    <xf numFmtId="1" fontId="78" fillId="2" borderId="1" xfId="0" applyNumberFormat="1" applyFont="1" applyFill="1" applyBorder="1" applyAlignment="1">
      <alignment horizontal="right" vertical="center"/>
    </xf>
    <xf numFmtId="1" fontId="77" fillId="0" borderId="1" xfId="0" applyNumberFormat="1" applyFont="1" applyBorder="1" applyAlignment="1">
      <alignment horizontal="right" vertical="center"/>
    </xf>
    <xf numFmtId="0" fontId="76" fillId="0" borderId="0" xfId="0" applyFont="1" applyAlignment="1">
      <alignment horizontal="right"/>
    </xf>
    <xf numFmtId="0" fontId="68" fillId="11" borderId="73" xfId="0" applyFont="1" applyFill="1" applyBorder="1" applyAlignment="1">
      <alignment horizontal="left" vertical="center"/>
    </xf>
    <xf numFmtId="20" fontId="68" fillId="11" borderId="73" xfId="0" applyNumberFormat="1" applyFont="1" applyFill="1" applyBorder="1" applyAlignment="1">
      <alignment horizontal="left" vertical="center"/>
    </xf>
    <xf numFmtId="164" fontId="69" fillId="11" borderId="73" xfId="0" applyNumberFormat="1" applyFont="1" applyFill="1" applyBorder="1" applyAlignment="1">
      <alignment horizontal="center" vertical="center"/>
    </xf>
    <xf numFmtId="0" fontId="70" fillId="11" borderId="73" xfId="0" applyFont="1" applyFill="1" applyBorder="1" applyAlignment="1">
      <alignment horizontal="center" vertical="center"/>
    </xf>
    <xf numFmtId="0" fontId="79" fillId="0" borderId="0" xfId="0" applyFont="1"/>
    <xf numFmtId="0" fontId="67" fillId="41" borderId="0" xfId="0" applyFont="1" applyFill="1" applyAlignment="1">
      <alignment horizontal="center" wrapText="1"/>
    </xf>
    <xf numFmtId="0" fontId="0" fillId="41" borderId="0" xfId="0" applyFill="1"/>
    <xf numFmtId="0" fontId="0" fillId="43" borderId="0" xfId="0" applyFill="1"/>
    <xf numFmtId="20" fontId="68" fillId="0" borderId="73" xfId="0" applyNumberFormat="1" applyFont="1" applyBorder="1" applyAlignment="1">
      <alignment horizontal="center" vertical="center"/>
    </xf>
    <xf numFmtId="164" fontId="68" fillId="0" borderId="73" xfId="0" applyNumberFormat="1" applyFont="1" applyBorder="1" applyAlignment="1">
      <alignment horizontal="center" vertical="center"/>
    </xf>
    <xf numFmtId="0" fontId="62" fillId="26" borderId="1" xfId="0" applyFont="1" applyFill="1" applyBorder="1" applyAlignment="1">
      <alignment horizontal="center" vertical="center"/>
    </xf>
    <xf numFmtId="164" fontId="68" fillId="42" borderId="0" xfId="0" applyNumberFormat="1" applyFont="1" applyFill="1" applyAlignment="1">
      <alignment horizontal="center" vertical="center"/>
    </xf>
    <xf numFmtId="0" fontId="80" fillId="0" borderId="73" xfId="0" applyFont="1" applyBorder="1" applyAlignment="1">
      <alignment horizontal="center" vertical="center"/>
    </xf>
    <xf numFmtId="0" fontId="1" fillId="0" borderId="56" xfId="0" applyFont="1" applyBorder="1" applyAlignment="1">
      <alignment horizontal="center" vertical="center"/>
    </xf>
    <xf numFmtId="0" fontId="0" fillId="44" borderId="1" xfId="0" applyFill="1" applyBorder="1" applyAlignment="1">
      <alignment horizontal="center" vertical="center"/>
    </xf>
    <xf numFmtId="0" fontId="13" fillId="44" borderId="1" xfId="0" applyFont="1" applyFill="1" applyBorder="1" applyAlignment="1">
      <alignment horizontal="center" vertical="center"/>
    </xf>
    <xf numFmtId="1" fontId="0" fillId="44" borderId="1" xfId="0" applyNumberFormat="1" applyFill="1" applyBorder="1" applyAlignment="1">
      <alignment horizontal="center" vertical="center"/>
    </xf>
    <xf numFmtId="1" fontId="0" fillId="44" borderId="3" xfId="0" applyNumberFormat="1" applyFill="1" applyBorder="1" applyAlignment="1">
      <alignment horizontal="center" vertical="center"/>
    </xf>
    <xf numFmtId="168" fontId="1" fillId="0" borderId="2" xfId="0" applyNumberFormat="1" applyFont="1" applyBorder="1" applyAlignment="1">
      <alignment horizontal="center" vertical="center"/>
    </xf>
    <xf numFmtId="0" fontId="1" fillId="0" borderId="61" xfId="0" applyFont="1" applyBorder="1" applyAlignment="1">
      <alignment horizontal="right" vertical="center"/>
    </xf>
    <xf numFmtId="0" fontId="1" fillId="0" borderId="0" xfId="0" applyFont="1" applyAlignment="1">
      <alignment horizontal="right" vertical="center"/>
    </xf>
    <xf numFmtId="3" fontId="0" fillId="9" borderId="19" xfId="0" applyNumberFormat="1" applyFill="1" applyBorder="1" applyAlignment="1">
      <alignment horizontal="center" vertical="center"/>
    </xf>
    <xf numFmtId="0" fontId="1" fillId="0" borderId="74" xfId="0" applyFont="1" applyBorder="1" applyAlignment="1">
      <alignment horizontal="center" vertical="center"/>
    </xf>
    <xf numFmtId="168" fontId="0" fillId="0" borderId="74" xfId="0" applyNumberFormat="1" applyBorder="1" applyAlignment="1">
      <alignment horizontal="center" vertical="center"/>
    </xf>
    <xf numFmtId="1" fontId="0" fillId="0" borderId="56" xfId="0" applyNumberFormat="1" applyBorder="1" applyAlignment="1">
      <alignment horizontal="center" vertical="center"/>
    </xf>
    <xf numFmtId="0" fontId="13" fillId="12" borderId="56" xfId="0" applyFont="1" applyFill="1" applyBorder="1" applyAlignment="1">
      <alignment horizontal="center" vertical="center"/>
    </xf>
    <xf numFmtId="1" fontId="0" fillId="12" borderId="56" xfId="0" applyNumberFormat="1" applyFill="1" applyBorder="1" applyAlignment="1">
      <alignment horizontal="center" vertical="center"/>
    </xf>
    <xf numFmtId="0" fontId="13" fillId="44" borderId="56" xfId="0" applyFont="1" applyFill="1" applyBorder="1" applyAlignment="1">
      <alignment horizontal="center" vertical="center"/>
    </xf>
    <xf numFmtId="1" fontId="0" fillId="44" borderId="75" xfId="0" applyNumberFormat="1" applyFill="1" applyBorder="1" applyAlignment="1">
      <alignment horizontal="center" vertical="center"/>
    </xf>
    <xf numFmtId="1" fontId="0" fillId="44" borderId="56" xfId="0" applyNumberFormat="1" applyFill="1" applyBorder="1" applyAlignment="1">
      <alignment horizontal="center" vertical="center"/>
    </xf>
    <xf numFmtId="0" fontId="13" fillId="0" borderId="56" xfId="0" applyFont="1" applyBorder="1" applyAlignment="1">
      <alignment horizontal="center" vertical="center"/>
    </xf>
    <xf numFmtId="1" fontId="0" fillId="12" borderId="75" xfId="0" applyNumberFormat="1" applyFill="1" applyBorder="1" applyAlignment="1">
      <alignment horizontal="center" vertical="center"/>
    </xf>
    <xf numFmtId="1" fontId="0" fillId="9" borderId="4" xfId="0" applyNumberFormat="1" applyFill="1" applyBorder="1" applyAlignment="1">
      <alignment horizontal="center" vertical="center"/>
    </xf>
    <xf numFmtId="0" fontId="1" fillId="0" borderId="1" xfId="0" applyFont="1" applyBorder="1" applyAlignment="1">
      <alignment horizontal="right" vertical="center"/>
    </xf>
    <xf numFmtId="168" fontId="1" fillId="0" borderId="1" xfId="0" applyNumberFormat="1" applyFont="1" applyBorder="1" applyAlignment="1">
      <alignment horizontal="center" vertical="center"/>
    </xf>
    <xf numFmtId="168" fontId="0" fillId="0" borderId="1" xfId="0" applyNumberFormat="1" applyBorder="1" applyAlignment="1">
      <alignment horizontal="center" vertical="center"/>
    </xf>
    <xf numFmtId="3" fontId="0" fillId="0" borderId="56" xfId="0" applyNumberFormat="1" applyBorder="1" applyAlignment="1">
      <alignment horizontal="center" vertical="center"/>
    </xf>
    <xf numFmtId="170" fontId="81" fillId="0" borderId="1" xfId="0" applyNumberFormat="1" applyFont="1" applyBorder="1" applyAlignment="1">
      <alignment horizontal="center" vertical="center"/>
    </xf>
    <xf numFmtId="0" fontId="1" fillId="12" borderId="56" xfId="0" applyFont="1" applyFill="1" applyBorder="1" applyAlignment="1">
      <alignment horizontal="center" vertical="center"/>
    </xf>
    <xf numFmtId="0" fontId="0" fillId="0" borderId="56" xfId="0" applyBorder="1" applyAlignment="1">
      <alignment horizontal="center" vertical="center"/>
    </xf>
    <xf numFmtId="0" fontId="4" fillId="0" borderId="0" xfId="0" applyFont="1" applyAlignment="1">
      <alignment vertical="center"/>
    </xf>
    <xf numFmtId="0" fontId="4" fillId="0" borderId="0" xfId="0" applyFont="1"/>
    <xf numFmtId="3" fontId="0" fillId="12" borderId="56" xfId="0" applyNumberFormat="1" applyFill="1" applyBorder="1" applyAlignment="1">
      <alignment horizontal="center" vertical="center"/>
    </xf>
    <xf numFmtId="0" fontId="82" fillId="46" borderId="56" xfId="0" applyFont="1" applyFill="1" applyBorder="1" applyAlignment="1">
      <alignment horizontal="center" vertical="center"/>
    </xf>
    <xf numFmtId="3" fontId="84" fillId="46" borderId="1" xfId="0" applyNumberFormat="1" applyFont="1" applyFill="1" applyBorder="1" applyAlignment="1">
      <alignment horizontal="center" vertical="center"/>
    </xf>
    <xf numFmtId="0" fontId="84" fillId="46" borderId="1" xfId="0" applyFont="1" applyFill="1" applyBorder="1" applyAlignment="1">
      <alignment horizontal="center" vertical="center"/>
    </xf>
    <xf numFmtId="0" fontId="85" fillId="46" borderId="1" xfId="0" applyFont="1" applyFill="1" applyBorder="1" applyAlignment="1">
      <alignment horizontal="center" vertical="center"/>
    </xf>
    <xf numFmtId="0" fontId="85" fillId="46" borderId="56" xfId="0" applyFont="1" applyFill="1" applyBorder="1" applyAlignment="1">
      <alignment horizontal="center" vertical="center"/>
    </xf>
    <xf numFmtId="1" fontId="84" fillId="46" borderId="1" xfId="0" applyNumberFormat="1" applyFont="1" applyFill="1" applyBorder="1" applyAlignment="1">
      <alignment horizontal="center" vertical="center"/>
    </xf>
    <xf numFmtId="1" fontId="84" fillId="46" borderId="75" xfId="0" applyNumberFormat="1" applyFont="1" applyFill="1" applyBorder="1" applyAlignment="1">
      <alignment horizontal="center" vertical="center"/>
    </xf>
    <xf numFmtId="3" fontId="84" fillId="46" borderId="56" xfId="0" applyNumberFormat="1" applyFont="1" applyFill="1" applyBorder="1" applyAlignment="1">
      <alignment horizontal="center" vertical="center"/>
    </xf>
    <xf numFmtId="1" fontId="84" fillId="46" borderId="56" xfId="0" applyNumberFormat="1" applyFont="1" applyFill="1" applyBorder="1" applyAlignment="1">
      <alignment horizontal="center" vertical="center"/>
    </xf>
    <xf numFmtId="0" fontId="1" fillId="16" borderId="78" xfId="0" applyFont="1" applyFill="1" applyBorder="1" applyAlignment="1">
      <alignment horizontal="center" vertical="center"/>
    </xf>
    <xf numFmtId="0" fontId="1" fillId="47" borderId="10" xfId="0" applyFont="1" applyFill="1" applyBorder="1" applyAlignment="1">
      <alignment horizontal="center" vertical="center"/>
    </xf>
    <xf numFmtId="0" fontId="1" fillId="47" borderId="12" xfId="0" applyFont="1" applyFill="1" applyBorder="1" applyAlignment="1">
      <alignment horizontal="center" vertical="center"/>
    </xf>
    <xf numFmtId="0" fontId="4" fillId="0" borderId="56" xfId="0" applyFont="1" applyBorder="1" applyAlignment="1">
      <alignment horizontal="center" vertical="center"/>
    </xf>
    <xf numFmtId="0" fontId="0" fillId="0" borderId="25" xfId="0" applyBorder="1" applyAlignment="1">
      <alignment horizontal="center" vertical="center"/>
    </xf>
    <xf numFmtId="0" fontId="0" fillId="0" borderId="8" xfId="0" applyBorder="1" applyAlignment="1">
      <alignment horizontal="center" vertical="center"/>
    </xf>
    <xf numFmtId="0" fontId="0" fillId="0" borderId="79" xfId="0" applyBorder="1" applyAlignment="1">
      <alignment vertical="center"/>
    </xf>
    <xf numFmtId="0" fontId="1" fillId="47" borderId="58" xfId="0" applyFont="1" applyFill="1" applyBorder="1" applyAlignment="1">
      <alignment horizontal="center" vertical="center"/>
    </xf>
    <xf numFmtId="0" fontId="0" fillId="0" borderId="75" xfId="0" applyBorder="1" applyAlignment="1">
      <alignment horizontal="center" vertical="center"/>
    </xf>
    <xf numFmtId="0" fontId="0" fillId="0" borderId="80" xfId="0" applyBorder="1" applyAlignment="1">
      <alignment horizontal="center" vertical="center"/>
    </xf>
    <xf numFmtId="0" fontId="0" fillId="0" borderId="81" xfId="0" applyBorder="1" applyAlignment="1">
      <alignment horizontal="center" vertical="center"/>
    </xf>
    <xf numFmtId="0" fontId="0" fillId="0" borderId="76" xfId="0" applyBorder="1" applyAlignment="1">
      <alignment horizontal="center" vertical="center"/>
    </xf>
    <xf numFmtId="0" fontId="84" fillId="46" borderId="25" xfId="0" applyFont="1" applyFill="1" applyBorder="1" applyAlignment="1">
      <alignment vertical="center"/>
    </xf>
    <xf numFmtId="0" fontId="84" fillId="46" borderId="75" xfId="0" applyFont="1" applyFill="1" applyBorder="1" applyAlignment="1">
      <alignment horizontal="center" vertical="center"/>
    </xf>
    <xf numFmtId="0" fontId="84" fillId="46" borderId="75" xfId="0" applyFont="1" applyFill="1" applyBorder="1" applyAlignment="1">
      <alignment vertical="center"/>
    </xf>
    <xf numFmtId="0" fontId="24" fillId="0" borderId="68" xfId="0" applyFont="1" applyBorder="1"/>
    <xf numFmtId="0" fontId="25" fillId="0" borderId="3" xfId="0" applyFont="1" applyBorder="1" applyAlignment="1">
      <alignment horizontal="left" vertical="center"/>
    </xf>
    <xf numFmtId="0" fontId="33" fillId="0" borderId="1" xfId="0" applyFont="1" applyBorder="1" applyAlignment="1">
      <alignment horizontal="right"/>
    </xf>
    <xf numFmtId="0" fontId="43" fillId="0" borderId="70" xfId="0" applyFont="1" applyBorder="1" applyAlignment="1">
      <alignment horizontal="right"/>
    </xf>
    <xf numFmtId="0" fontId="31" fillId="0" borderId="0" xfId="0" applyFont="1" applyAlignment="1">
      <alignment horizontal="right"/>
    </xf>
    <xf numFmtId="0" fontId="25" fillId="0" borderId="69" xfId="0" applyFont="1" applyBorder="1" applyAlignment="1">
      <alignment horizontal="right" vertical="center"/>
    </xf>
    <xf numFmtId="0" fontId="24" fillId="0" borderId="70" xfId="0" applyFont="1" applyBorder="1" applyAlignment="1">
      <alignment horizontal="right" vertical="center"/>
    </xf>
    <xf numFmtId="0" fontId="32" fillId="15" borderId="1" xfId="0" applyFont="1" applyFill="1" applyBorder="1" applyAlignment="1">
      <alignment horizontal="right"/>
    </xf>
    <xf numFmtId="0" fontId="39" fillId="0" borderId="70" xfId="0" applyFont="1" applyBorder="1" applyAlignment="1">
      <alignment horizontal="right" vertical="center" wrapText="1"/>
    </xf>
    <xf numFmtId="0" fontId="24" fillId="0" borderId="67" xfId="0" applyFont="1" applyBorder="1" applyAlignment="1">
      <alignment horizontal="right" vertical="center" wrapText="1"/>
    </xf>
    <xf numFmtId="0" fontId="43" fillId="0" borderId="67" xfId="0" applyFont="1" applyBorder="1"/>
    <xf numFmtId="0" fontId="25" fillId="0" borderId="67" xfId="0" applyFont="1" applyBorder="1" applyAlignment="1">
      <alignment vertical="center"/>
    </xf>
    <xf numFmtId="0" fontId="43" fillId="0" borderId="19" xfId="0" applyFont="1" applyBorder="1"/>
    <xf numFmtId="0" fontId="34" fillId="0" borderId="2" xfId="0" applyFont="1" applyBorder="1" applyAlignment="1">
      <alignment horizontal="right"/>
    </xf>
    <xf numFmtId="12" fontId="24" fillId="0" borderId="0" xfId="0" applyNumberFormat="1" applyFont="1" applyAlignment="1">
      <alignment horizontal="right"/>
    </xf>
    <xf numFmtId="0" fontId="39" fillId="0" borderId="70" xfId="0" applyFont="1" applyBorder="1"/>
    <xf numFmtId="0" fontId="24" fillId="0" borderId="67" xfId="0" applyFont="1" applyBorder="1" applyAlignment="1">
      <alignment vertical="center" wrapText="1"/>
    </xf>
    <xf numFmtId="0" fontId="25" fillId="0" borderId="19" xfId="0" applyFont="1" applyBorder="1" applyAlignment="1">
      <alignment vertical="center"/>
    </xf>
    <xf numFmtId="0" fontId="43" fillId="0" borderId="67" xfId="0" applyFont="1" applyBorder="1" applyAlignment="1">
      <alignment horizontal="left"/>
    </xf>
    <xf numFmtId="0" fontId="33" fillId="0" borderId="1" xfId="0" applyFont="1" applyBorder="1" applyAlignment="1">
      <alignment horizontal="left"/>
    </xf>
    <xf numFmtId="0" fontId="34" fillId="0" borderId="3" xfId="0" applyFont="1" applyBorder="1" applyAlignment="1">
      <alignment horizontal="left"/>
    </xf>
    <xf numFmtId="0" fontId="32" fillId="15" borderId="1" xfId="0" applyFont="1" applyFill="1" applyBorder="1" applyAlignment="1">
      <alignment horizontal="left"/>
    </xf>
    <xf numFmtId="0" fontId="39" fillId="0" borderId="70" xfId="0" applyFont="1" applyBorder="1" applyAlignment="1">
      <alignment horizontal="left"/>
    </xf>
    <xf numFmtId="0" fontId="34" fillId="0" borderId="3" xfId="0" applyFont="1" applyBorder="1" applyAlignment="1">
      <alignment horizontal="right"/>
    </xf>
    <xf numFmtId="0" fontId="39" fillId="0" borderId="70" xfId="0" applyFont="1" applyBorder="1" applyAlignment="1">
      <alignment horizontal="right"/>
    </xf>
    <xf numFmtId="0" fontId="83" fillId="48" borderId="0" xfId="0" applyFont="1" applyFill="1"/>
    <xf numFmtId="14" fontId="0" fillId="0" borderId="0" xfId="0" applyNumberFormat="1"/>
    <xf numFmtId="0" fontId="80" fillId="0" borderId="73" xfId="0" applyFont="1" applyBorder="1" applyAlignment="1">
      <alignment horizontal="left" vertical="center"/>
    </xf>
    <xf numFmtId="166" fontId="86" fillId="0" borderId="56" xfId="0" applyNumberFormat="1" applyFont="1" applyBorder="1"/>
    <xf numFmtId="20" fontId="87" fillId="0" borderId="1" xfId="0" applyNumberFormat="1" applyFont="1" applyBorder="1" applyAlignment="1">
      <alignment horizontal="right" vertical="center"/>
    </xf>
    <xf numFmtId="0" fontId="87" fillId="0" borderId="1" xfId="0" applyFont="1" applyBorder="1" applyAlignment="1">
      <alignment horizontal="right" vertical="center"/>
    </xf>
    <xf numFmtId="0" fontId="87" fillId="14" borderId="1" xfId="0" applyFont="1" applyFill="1" applyBorder="1" applyAlignment="1">
      <alignment horizontal="right" vertical="center"/>
    </xf>
    <xf numFmtId="0" fontId="87" fillId="0" borderId="1" xfId="0" applyFont="1" applyBorder="1" applyAlignment="1">
      <alignment horizontal="left" vertical="center"/>
    </xf>
    <xf numFmtId="1" fontId="87" fillId="9" borderId="1" xfId="0" applyNumberFormat="1" applyFont="1" applyFill="1" applyBorder="1" applyAlignment="1">
      <alignment horizontal="right" vertical="center"/>
    </xf>
    <xf numFmtId="0" fontId="86" fillId="0" borderId="56" xfId="0" applyFont="1" applyBorder="1"/>
    <xf numFmtId="0" fontId="87" fillId="0" borderId="19" xfId="0" applyFont="1" applyBorder="1" applyAlignment="1">
      <alignment horizontal="right" vertical="center"/>
    </xf>
    <xf numFmtId="0" fontId="87" fillId="11" borderId="19" xfId="0" applyFont="1" applyFill="1" applyBorder="1" applyAlignment="1">
      <alignment horizontal="right" vertical="center"/>
    </xf>
    <xf numFmtId="0" fontId="87" fillId="11" borderId="1" xfId="0" applyFont="1" applyFill="1" applyBorder="1" applyAlignment="1">
      <alignment horizontal="right" vertical="center"/>
    </xf>
    <xf numFmtId="0" fontId="87" fillId="11" borderId="1" xfId="0" applyFont="1" applyFill="1" applyBorder="1" applyAlignment="1">
      <alignment horizontal="left" vertical="center"/>
    </xf>
    <xf numFmtId="1" fontId="88" fillId="2" borderId="1" xfId="0" applyNumberFormat="1" applyFont="1" applyFill="1" applyBorder="1" applyAlignment="1">
      <alignment horizontal="right" vertical="center"/>
    </xf>
    <xf numFmtId="1" fontId="87" fillId="0" borderId="1" xfId="0" applyNumberFormat="1" applyFont="1" applyBorder="1" applyAlignment="1">
      <alignment horizontal="right" vertical="center"/>
    </xf>
    <xf numFmtId="0" fontId="92" fillId="48" borderId="11" xfId="0" applyFont="1" applyFill="1" applyBorder="1" applyAlignment="1">
      <alignment horizontal="center"/>
    </xf>
    <xf numFmtId="1" fontId="24" fillId="0" borderId="16" xfId="0" applyNumberFormat="1" applyFont="1" applyBorder="1" applyAlignment="1">
      <alignment horizontal="center"/>
    </xf>
    <xf numFmtId="1" fontId="49" fillId="51" borderId="41" xfId="0" applyNumberFormat="1" applyFont="1" applyFill="1" applyBorder="1" applyAlignment="1">
      <alignment horizontal="center"/>
    </xf>
    <xf numFmtId="171" fontId="24" fillId="0" borderId="64" xfId="0" applyNumberFormat="1" applyFont="1" applyBorder="1" applyAlignment="1">
      <alignment horizontal="center"/>
    </xf>
    <xf numFmtId="1" fontId="90" fillId="49" borderId="16" xfId="0" applyNumberFormat="1" applyFont="1" applyFill="1" applyBorder="1" applyAlignment="1">
      <alignment horizontal="center"/>
    </xf>
    <xf numFmtId="0" fontId="93" fillId="50" borderId="6" xfId="0" applyFont="1" applyFill="1" applyBorder="1" applyAlignment="1">
      <alignment horizontal="center"/>
    </xf>
    <xf numFmtId="1" fontId="89" fillId="50" borderId="16" xfId="0" applyNumberFormat="1" applyFont="1" applyFill="1" applyBorder="1" applyAlignment="1">
      <alignment horizontal="center"/>
    </xf>
    <xf numFmtId="0" fontId="94" fillId="49" borderId="6" xfId="0" applyFont="1" applyFill="1" applyBorder="1" applyAlignment="1">
      <alignment horizontal="center"/>
    </xf>
    <xf numFmtId="0" fontId="96" fillId="0" borderId="0" xfId="0" applyFont="1"/>
    <xf numFmtId="166" fontId="97" fillId="0" borderId="56" xfId="0" applyNumberFormat="1" applyFont="1" applyBorder="1"/>
    <xf numFmtId="20" fontId="98" fillId="0" borderId="1" xfId="0" applyNumberFormat="1" applyFont="1" applyBorder="1" applyAlignment="1">
      <alignment horizontal="right" vertical="center"/>
    </xf>
    <xf numFmtId="0" fontId="98" fillId="0" borderId="1" xfId="0" applyFont="1" applyBorder="1" applyAlignment="1">
      <alignment horizontal="right" vertical="center"/>
    </xf>
    <xf numFmtId="0" fontId="98" fillId="14" borderId="1" xfId="0" applyFont="1" applyFill="1" applyBorder="1" applyAlignment="1">
      <alignment horizontal="right" vertical="center"/>
    </xf>
    <xf numFmtId="0" fontId="98" fillId="0" borderId="1" xfId="0" applyFont="1" applyBorder="1" applyAlignment="1">
      <alignment horizontal="left" vertical="center"/>
    </xf>
    <xf numFmtId="1" fontId="98" fillId="9" borderId="1" xfId="0" applyNumberFormat="1" applyFont="1" applyFill="1" applyBorder="1" applyAlignment="1">
      <alignment horizontal="right" vertical="center"/>
    </xf>
    <xf numFmtId="0" fontId="97" fillId="0" borderId="56" xfId="0" applyFont="1" applyBorder="1"/>
    <xf numFmtId="0" fontId="98" fillId="0" borderId="19" xfId="0" applyFont="1" applyBorder="1" applyAlignment="1">
      <alignment horizontal="right" vertical="center"/>
    </xf>
    <xf numFmtId="0" fontId="98" fillId="11" borderId="19" xfId="0" applyFont="1" applyFill="1" applyBorder="1" applyAlignment="1">
      <alignment horizontal="right" vertical="center"/>
    </xf>
    <xf numFmtId="0" fontId="98" fillId="11" borderId="1" xfId="0" applyFont="1" applyFill="1" applyBorder="1" applyAlignment="1">
      <alignment horizontal="right" vertical="center"/>
    </xf>
    <xf numFmtId="0" fontId="98" fillId="11" borderId="1" xfId="0" applyFont="1" applyFill="1" applyBorder="1" applyAlignment="1">
      <alignment horizontal="left" vertical="center"/>
    </xf>
    <xf numFmtId="1" fontId="99" fillId="2" borderId="1" xfId="0" applyNumberFormat="1" applyFont="1" applyFill="1" applyBorder="1" applyAlignment="1">
      <alignment horizontal="right" vertical="center"/>
    </xf>
    <xf numFmtId="1" fontId="98" fillId="0" borderId="1" xfId="0" applyNumberFormat="1" applyFont="1" applyBorder="1" applyAlignment="1">
      <alignment horizontal="right" vertical="center"/>
    </xf>
    <xf numFmtId="0" fontId="82" fillId="0" borderId="56" xfId="0" applyFont="1" applyBorder="1" applyAlignment="1">
      <alignment horizontal="center" vertical="center"/>
    </xf>
    <xf numFmtId="3" fontId="84" fillId="0" borderId="56" xfId="0" applyNumberFormat="1" applyFont="1" applyBorder="1" applyAlignment="1">
      <alignment horizontal="center" vertical="center"/>
    </xf>
    <xf numFmtId="1" fontId="18" fillId="0" borderId="0" xfId="0" applyNumberFormat="1" applyFont="1"/>
    <xf numFmtId="166" fontId="100" fillId="0" borderId="56" xfId="0" applyNumberFormat="1" applyFont="1" applyBorder="1"/>
    <xf numFmtId="20" fontId="101" fillId="0" borderId="1" xfId="0" applyNumberFormat="1" applyFont="1" applyBorder="1" applyAlignment="1">
      <alignment horizontal="right" vertical="center"/>
    </xf>
    <xf numFmtId="0" fontId="101" fillId="0" borderId="1" xfId="0" applyFont="1" applyBorder="1" applyAlignment="1">
      <alignment horizontal="right" vertical="center"/>
    </xf>
    <xf numFmtId="0" fontId="101" fillId="14" borderId="1" xfId="0" applyFont="1" applyFill="1" applyBorder="1" applyAlignment="1">
      <alignment horizontal="right" vertical="center"/>
    </xf>
    <xf numFmtId="0" fontId="101" fillId="0" borderId="1" xfId="0" applyFont="1" applyBorder="1" applyAlignment="1">
      <alignment horizontal="left" vertical="center"/>
    </xf>
    <xf numFmtId="1" fontId="101" fillId="9" borderId="1" xfId="0" applyNumberFormat="1" applyFont="1" applyFill="1" applyBorder="1" applyAlignment="1">
      <alignment horizontal="right" vertical="center"/>
    </xf>
    <xf numFmtId="0" fontId="100" fillId="0" borderId="56" xfId="0" applyFont="1" applyBorder="1"/>
    <xf numFmtId="0" fontId="101" fillId="0" borderId="19" xfId="0" applyFont="1" applyBorder="1" applyAlignment="1">
      <alignment horizontal="right" vertical="center"/>
    </xf>
    <xf numFmtId="0" fontId="101" fillId="11" borderId="19" xfId="0" applyFont="1" applyFill="1" applyBorder="1" applyAlignment="1">
      <alignment horizontal="right" vertical="center"/>
    </xf>
    <xf numFmtId="0" fontId="101" fillId="11" borderId="1" xfId="0" applyFont="1" applyFill="1" applyBorder="1" applyAlignment="1">
      <alignment horizontal="right" vertical="center"/>
    </xf>
    <xf numFmtId="0" fontId="101" fillId="11" borderId="1" xfId="0" applyFont="1" applyFill="1" applyBorder="1" applyAlignment="1">
      <alignment horizontal="left" vertical="center"/>
    </xf>
    <xf numFmtId="1" fontId="102" fillId="2" borderId="1" xfId="0" applyNumberFormat="1" applyFont="1" applyFill="1" applyBorder="1" applyAlignment="1">
      <alignment horizontal="right" vertical="center"/>
    </xf>
    <xf numFmtId="1" fontId="101" fillId="0" borderId="1" xfId="0" applyNumberFormat="1" applyFont="1" applyBorder="1" applyAlignment="1">
      <alignment horizontal="right" vertical="center"/>
    </xf>
    <xf numFmtId="0" fontId="18" fillId="0" borderId="82" xfId="0" applyFont="1" applyBorder="1"/>
    <xf numFmtId="0" fontId="103" fillId="0" borderId="0" xfId="0" applyFont="1"/>
    <xf numFmtId="0" fontId="105" fillId="0" borderId="84" xfId="0" applyFont="1" applyBorder="1" applyAlignment="1">
      <alignment horizontal="center"/>
    </xf>
    <xf numFmtId="0" fontId="105" fillId="0" borderId="67" xfId="0" applyFont="1" applyBorder="1" applyAlignment="1">
      <alignment horizontal="center"/>
    </xf>
    <xf numFmtId="0" fontId="104" fillId="0" borderId="0" xfId="0" applyFont="1"/>
    <xf numFmtId="0" fontId="106" fillId="0" borderId="0" xfId="0" applyFont="1"/>
    <xf numFmtId="0" fontId="100" fillId="0" borderId="0" xfId="0" applyFont="1" applyAlignment="1">
      <alignment horizontal="right"/>
    </xf>
    <xf numFmtId="14" fontId="106" fillId="0" borderId="0" xfId="0" applyNumberFormat="1" applyFont="1"/>
    <xf numFmtId="0" fontId="100" fillId="0" borderId="84" xfId="0" applyFont="1" applyBorder="1" applyAlignment="1">
      <alignment horizontal="right"/>
    </xf>
    <xf numFmtId="0" fontId="100" fillId="0" borderId="85" xfId="0" applyFont="1" applyBorder="1" applyAlignment="1">
      <alignment horizontal="center"/>
    </xf>
    <xf numFmtId="0" fontId="100" fillId="0" borderId="84" xfId="0" applyFont="1" applyBorder="1" applyAlignment="1">
      <alignment horizontal="center"/>
    </xf>
    <xf numFmtId="0" fontId="107" fillId="0" borderId="85" xfId="0" applyFont="1" applyBorder="1" applyAlignment="1">
      <alignment horizontal="center"/>
    </xf>
    <xf numFmtId="0" fontId="107" fillId="0" borderId="84" xfId="0" applyFont="1" applyBorder="1" applyAlignment="1">
      <alignment horizontal="center"/>
    </xf>
    <xf numFmtId="0" fontId="100" fillId="0" borderId="85" xfId="0" applyFont="1" applyBorder="1"/>
    <xf numFmtId="0" fontId="100" fillId="0" borderId="84" xfId="0" applyFont="1" applyBorder="1"/>
    <xf numFmtId="0" fontId="100" fillId="0" borderId="67" xfId="0" applyFont="1" applyBorder="1"/>
    <xf numFmtId="0" fontId="100" fillId="0" borderId="85" xfId="0" applyFont="1" applyBorder="1" applyAlignment="1">
      <alignment horizontal="right"/>
    </xf>
    <xf numFmtId="0" fontId="108" fillId="0" borderId="85" xfId="0" applyFont="1" applyBorder="1" applyAlignment="1">
      <alignment horizontal="center"/>
    </xf>
    <xf numFmtId="0" fontId="108" fillId="0" borderId="84" xfId="0" applyFont="1" applyBorder="1" applyAlignment="1">
      <alignment horizontal="center"/>
    </xf>
    <xf numFmtId="0" fontId="100" fillId="0" borderId="70" xfId="0" applyFont="1" applyBorder="1"/>
    <xf numFmtId="0" fontId="109" fillId="0" borderId="85" xfId="0" applyFont="1" applyBorder="1" applyAlignment="1">
      <alignment horizontal="center"/>
    </xf>
    <xf numFmtId="0" fontId="106" fillId="0" borderId="0" xfId="0" applyFont="1" applyAlignment="1">
      <alignment horizontal="right"/>
    </xf>
    <xf numFmtId="0" fontId="110" fillId="0" borderId="0" xfId="0" applyFont="1"/>
    <xf numFmtId="0" fontId="111" fillId="51" borderId="89" xfId="0" applyFont="1" applyFill="1" applyBorder="1"/>
    <xf numFmtId="0" fontId="18" fillId="51" borderId="89" xfId="0" applyFont="1" applyFill="1" applyBorder="1"/>
    <xf numFmtId="0" fontId="49" fillId="51" borderId="89" xfId="0" applyFont="1" applyFill="1" applyBorder="1" applyAlignment="1">
      <alignment horizontal="center"/>
    </xf>
    <xf numFmtId="0" fontId="49" fillId="51" borderId="89" xfId="0" applyFont="1" applyFill="1" applyBorder="1"/>
    <xf numFmtId="0" fontId="24" fillId="0" borderId="89" xfId="0" applyFont="1" applyBorder="1"/>
    <xf numFmtId="0" fontId="112" fillId="0" borderId="89" xfId="0" applyFont="1" applyBorder="1"/>
    <xf numFmtId="0" fontId="24" fillId="0" borderId="89" xfId="0" applyFont="1" applyBorder="1" applyAlignment="1">
      <alignment horizontal="center"/>
    </xf>
    <xf numFmtId="0" fontId="113" fillId="0" borderId="89" xfId="0" applyFont="1" applyBorder="1" applyAlignment="1">
      <alignment horizontal="center"/>
    </xf>
    <xf numFmtId="0" fontId="18" fillId="0" borderId="89" xfId="0" applyFont="1" applyBorder="1"/>
    <xf numFmtId="0" fontId="114" fillId="0" borderId="89" xfId="0" applyFont="1" applyBorder="1" applyAlignment="1">
      <alignment horizontal="center"/>
    </xf>
    <xf numFmtId="0" fontId="115" fillId="0" borderId="89" xfId="0" applyFont="1" applyBorder="1" applyAlignment="1">
      <alignment horizontal="center"/>
    </xf>
    <xf numFmtId="0" fontId="49" fillId="0" borderId="89" xfId="0" applyFont="1" applyBorder="1" applyAlignment="1">
      <alignment horizontal="center"/>
    </xf>
    <xf numFmtId="0" fontId="116" fillId="0" borderId="89" xfId="0" applyFont="1" applyBorder="1" applyAlignment="1">
      <alignment horizontal="center"/>
    </xf>
    <xf numFmtId="0" fontId="49" fillId="0" borderId="89" xfId="0" applyFont="1" applyBorder="1"/>
    <xf numFmtId="0" fontId="49" fillId="0" borderId="89" xfId="0" applyFont="1" applyBorder="1" applyAlignment="1">
      <alignment horizontal="right"/>
    </xf>
    <xf numFmtId="0" fontId="117" fillId="0" borderId="89" xfId="0" applyFont="1" applyBorder="1"/>
    <xf numFmtId="0" fontId="92" fillId="48" borderId="91" xfId="0" applyFont="1" applyFill="1" applyBorder="1"/>
    <xf numFmtId="0" fontId="18" fillId="48" borderId="91" xfId="0" applyFont="1" applyFill="1" applyBorder="1"/>
    <xf numFmtId="0" fontId="92" fillId="48" borderId="91" xfId="0" applyFont="1" applyFill="1" applyBorder="1" applyAlignment="1">
      <alignment horizontal="right"/>
    </xf>
    <xf numFmtId="0" fontId="91" fillId="48" borderId="92" xfId="0" applyFont="1" applyFill="1" applyBorder="1"/>
    <xf numFmtId="14" fontId="92" fillId="48" borderId="93" xfId="0" applyNumberFormat="1" applyFont="1" applyFill="1" applyBorder="1"/>
    <xf numFmtId="0" fontId="32" fillId="15" borderId="0" xfId="0" applyFont="1" applyFill="1" applyAlignment="1">
      <alignment horizontal="right"/>
    </xf>
    <xf numFmtId="0" fontId="25" fillId="0" borderId="34" xfId="0" applyFont="1" applyBorder="1" applyAlignment="1">
      <alignment horizontal="right" vertical="center"/>
    </xf>
    <xf numFmtId="0" fontId="22" fillId="0" borderId="56" xfId="0" applyFont="1" applyBorder="1" applyAlignment="1">
      <alignment horizontal="center" vertical="center"/>
    </xf>
    <xf numFmtId="0" fontId="121" fillId="0" borderId="84" xfId="0" applyFont="1" applyBorder="1" applyAlignment="1">
      <alignment horizontal="center" vertical="center"/>
    </xf>
    <xf numFmtId="0" fontId="121" fillId="0" borderId="67" xfId="0" applyFont="1" applyBorder="1" applyAlignment="1">
      <alignment horizontal="center" vertical="center"/>
    </xf>
    <xf numFmtId="0" fontId="121" fillId="0" borderId="85" xfId="0" applyFont="1" applyBorder="1" applyAlignment="1">
      <alignment horizontal="center" vertical="center"/>
    </xf>
    <xf numFmtId="1" fontId="101" fillId="0" borderId="56" xfId="0" applyNumberFormat="1" applyFont="1" applyBorder="1" applyAlignment="1">
      <alignment horizontal="right" vertical="center"/>
    </xf>
    <xf numFmtId="0" fontId="43" fillId="0" borderId="56" xfId="0" applyFont="1" applyBorder="1" applyAlignment="1">
      <alignment horizontal="right"/>
    </xf>
    <xf numFmtId="0" fontId="24" fillId="0" borderId="56" xfId="0" applyFont="1" applyBorder="1" applyAlignment="1">
      <alignment horizontal="right"/>
    </xf>
    <xf numFmtId="0" fontId="27" fillId="0" borderId="56" xfId="0" applyFont="1" applyBorder="1" applyAlignment="1">
      <alignment horizontal="right"/>
    </xf>
    <xf numFmtId="0" fontId="32" fillId="15" borderId="56" xfId="0" applyFont="1" applyFill="1" applyBorder="1" applyAlignment="1">
      <alignment horizontal="right"/>
    </xf>
    <xf numFmtId="0" fontId="25" fillId="0" borderId="56" xfId="0" applyFont="1" applyBorder="1" applyAlignment="1">
      <alignment horizontal="right" vertical="center" wrapText="1"/>
    </xf>
    <xf numFmtId="0" fontId="25" fillId="0" borderId="56" xfId="0" applyFont="1" applyBorder="1" applyAlignment="1">
      <alignment horizontal="right" vertical="center"/>
    </xf>
    <xf numFmtId="0" fontId="33" fillId="0" borderId="56" xfId="0" applyFont="1" applyBorder="1" applyAlignment="1">
      <alignment horizontal="right"/>
    </xf>
    <xf numFmtId="0" fontId="24" fillId="0" borderId="75" xfId="0" applyFont="1" applyBorder="1" applyAlignment="1">
      <alignment horizontal="right"/>
    </xf>
    <xf numFmtId="0" fontId="43" fillId="0" borderId="75" xfId="0" applyFont="1" applyBorder="1" applyAlignment="1">
      <alignment horizontal="right"/>
    </xf>
    <xf numFmtId="0" fontId="25" fillId="0" borderId="75" xfId="0" applyFont="1" applyBorder="1" applyAlignment="1">
      <alignment horizontal="right" vertical="center"/>
    </xf>
    <xf numFmtId="0" fontId="34" fillId="0" borderId="75" xfId="0" applyFont="1" applyBorder="1" applyAlignment="1">
      <alignment horizontal="right"/>
    </xf>
    <xf numFmtId="0" fontId="24" fillId="0" borderId="84" xfId="0" applyFont="1" applyBorder="1" applyAlignment="1">
      <alignment horizontal="right"/>
    </xf>
    <xf numFmtId="0" fontId="25" fillId="0" borderId="84" xfId="0" applyFont="1" applyBorder="1" applyAlignment="1">
      <alignment vertical="center"/>
    </xf>
    <xf numFmtId="0" fontId="25" fillId="0" borderId="84" xfId="0" applyFont="1" applyBorder="1" applyAlignment="1">
      <alignment horizontal="right" vertical="center"/>
    </xf>
    <xf numFmtId="0" fontId="25" fillId="0" borderId="85" xfId="0" applyFont="1" applyBorder="1" applyAlignment="1">
      <alignment horizontal="right" vertical="center"/>
    </xf>
    <xf numFmtId="0" fontId="43" fillId="0" borderId="84" xfId="0" applyFont="1" applyBorder="1" applyAlignment="1">
      <alignment horizontal="right"/>
    </xf>
    <xf numFmtId="0" fontId="24" fillId="0" borderId="85" xfId="0" applyFont="1" applyBorder="1" applyAlignment="1">
      <alignment horizontal="right"/>
    </xf>
    <xf numFmtId="0" fontId="39" fillId="0" borderId="85" xfId="0" applyFont="1" applyBorder="1" applyAlignment="1">
      <alignment horizontal="right"/>
    </xf>
    <xf numFmtId="0" fontId="27" fillId="0" borderId="84" xfId="0" applyFont="1" applyBorder="1" applyAlignment="1">
      <alignment horizontal="right"/>
    </xf>
    <xf numFmtId="0" fontId="27" fillId="0" borderId="85" xfId="0" applyFont="1" applyBorder="1" applyAlignment="1">
      <alignment horizontal="right"/>
    </xf>
    <xf numFmtId="0" fontId="24" fillId="0" borderId="84" xfId="0" applyFont="1" applyBorder="1" applyAlignment="1">
      <alignment vertical="center" wrapText="1"/>
    </xf>
    <xf numFmtId="1" fontId="100" fillId="0" borderId="94" xfId="0" applyNumberFormat="1" applyFont="1" applyBorder="1" applyAlignment="1">
      <alignment horizontal="right"/>
    </xf>
    <xf numFmtId="1" fontId="100" fillId="0" borderId="1" xfId="0" applyNumberFormat="1" applyFont="1" applyBorder="1" applyAlignment="1">
      <alignment horizontal="right"/>
    </xf>
    <xf numFmtId="1" fontId="122" fillId="15" borderId="1" xfId="0" applyNumberFormat="1" applyFont="1" applyFill="1" applyBorder="1" applyAlignment="1">
      <alignment horizontal="right"/>
    </xf>
    <xf numFmtId="1" fontId="101" fillId="0" borderId="1" xfId="0" applyNumberFormat="1" applyFont="1" applyBorder="1" applyAlignment="1">
      <alignment horizontal="right" vertical="center" wrapText="1"/>
    </xf>
    <xf numFmtId="1" fontId="123" fillId="0" borderId="1" xfId="0" applyNumberFormat="1" applyFont="1" applyBorder="1" applyAlignment="1">
      <alignment horizontal="right"/>
    </xf>
    <xf numFmtId="1" fontId="100" fillId="0" borderId="1" xfId="0" applyNumberFormat="1" applyFont="1" applyBorder="1" applyAlignment="1">
      <alignment horizontal="right" vertical="center" wrapText="1"/>
    </xf>
    <xf numFmtId="1" fontId="101" fillId="0" borderId="1" xfId="0" applyNumberFormat="1" applyFont="1" applyBorder="1" applyAlignment="1">
      <alignment horizontal="right"/>
    </xf>
    <xf numFmtId="0" fontId="121" fillId="0" borderId="1" xfId="0" applyFont="1" applyBorder="1" applyAlignment="1">
      <alignment horizontal="center" vertical="center"/>
    </xf>
    <xf numFmtId="0" fontId="22" fillId="0" borderId="75" xfId="0" applyFont="1" applyBorder="1" applyAlignment="1">
      <alignment horizontal="center" vertical="center"/>
    </xf>
    <xf numFmtId="0" fontId="22" fillId="0" borderId="2" xfId="0" applyFont="1" applyBorder="1" applyAlignment="1">
      <alignment horizontal="center" vertical="center"/>
    </xf>
    <xf numFmtId="1" fontId="101" fillId="9" borderId="4" xfId="0" applyNumberFormat="1" applyFont="1" applyFill="1" applyBorder="1" applyAlignment="1">
      <alignment horizontal="right" vertical="center"/>
    </xf>
    <xf numFmtId="0" fontId="106" fillId="0" borderId="83" xfId="0" applyFont="1" applyBorder="1" applyAlignment="1">
      <alignment horizontal="left"/>
    </xf>
    <xf numFmtId="164" fontId="25" fillId="0" borderId="3" xfId="0" applyNumberFormat="1" applyFont="1" applyBorder="1" applyAlignment="1">
      <alignment horizontal="right" vertical="center"/>
    </xf>
    <xf numFmtId="0" fontId="25" fillId="0" borderId="3" xfId="0" applyFont="1" applyBorder="1"/>
    <xf numFmtId="0" fontId="106" fillId="0" borderId="85" xfId="0" applyFont="1" applyBorder="1" applyAlignment="1">
      <alignment horizontal="left"/>
    </xf>
    <xf numFmtId="0" fontId="102" fillId="0" borderId="84" xfId="0" applyFont="1" applyBorder="1" applyAlignment="1">
      <alignment horizontal="right" vertical="center"/>
    </xf>
    <xf numFmtId="1" fontId="124" fillId="9" borderId="95" xfId="0" applyNumberFormat="1" applyFont="1" applyFill="1" applyBorder="1" applyAlignment="1">
      <alignment horizontal="right"/>
    </xf>
    <xf numFmtId="0" fontId="106" fillId="0" borderId="96" xfId="0" applyFont="1" applyBorder="1" applyAlignment="1">
      <alignment horizontal="left"/>
    </xf>
    <xf numFmtId="0" fontId="101" fillId="0" borderId="68" xfId="0" applyFont="1" applyBorder="1"/>
    <xf numFmtId="1" fontId="45" fillId="2" borderId="56" xfId="0" applyNumberFormat="1" applyFont="1" applyFill="1" applyBorder="1" applyAlignment="1">
      <alignment horizontal="right" vertical="center"/>
    </xf>
    <xf numFmtId="1" fontId="101" fillId="9" borderId="3" xfId="0" applyNumberFormat="1" applyFont="1" applyFill="1" applyBorder="1" applyAlignment="1">
      <alignment horizontal="right" vertical="center"/>
    </xf>
    <xf numFmtId="1" fontId="78" fillId="2" borderId="56" xfId="0" applyNumberFormat="1" applyFont="1" applyFill="1" applyBorder="1" applyAlignment="1">
      <alignment horizontal="right" vertical="center"/>
    </xf>
    <xf numFmtId="1" fontId="88" fillId="2" borderId="56" xfId="0" applyNumberFormat="1" applyFont="1" applyFill="1" applyBorder="1" applyAlignment="1">
      <alignment horizontal="right" vertical="center"/>
    </xf>
    <xf numFmtId="1" fontId="99" fillId="2" borderId="56" xfId="0" applyNumberFormat="1" applyFont="1" applyFill="1" applyBorder="1" applyAlignment="1">
      <alignment horizontal="right" vertical="center"/>
    </xf>
    <xf numFmtId="1" fontId="102" fillId="2" borderId="56" xfId="0" applyNumberFormat="1" applyFont="1" applyFill="1" applyBorder="1" applyAlignment="1">
      <alignment horizontal="right" vertical="center"/>
    </xf>
    <xf numFmtId="1" fontId="101" fillId="42" borderId="1" xfId="0" applyNumberFormat="1" applyFont="1" applyFill="1" applyBorder="1" applyAlignment="1">
      <alignment horizontal="right" vertical="center"/>
    </xf>
    <xf numFmtId="1" fontId="44" fillId="0" borderId="56" xfId="0" applyNumberFormat="1" applyFont="1" applyBorder="1" applyAlignment="1">
      <alignment horizontal="right" vertical="center"/>
    </xf>
    <xf numFmtId="1" fontId="102" fillId="2" borderId="3" xfId="0" applyNumberFormat="1" applyFont="1" applyFill="1" applyBorder="1" applyAlignment="1">
      <alignment horizontal="right" vertical="center"/>
    </xf>
    <xf numFmtId="1" fontId="77" fillId="0" borderId="56" xfId="0" applyNumberFormat="1" applyFont="1" applyBorder="1" applyAlignment="1">
      <alignment horizontal="right" vertical="center"/>
    </xf>
    <xf numFmtId="1" fontId="87" fillId="0" borderId="56" xfId="0" applyNumberFormat="1" applyFont="1" applyBorder="1" applyAlignment="1">
      <alignment horizontal="right" vertical="center"/>
    </xf>
    <xf numFmtId="1" fontId="98" fillId="0" borderId="56" xfId="0" applyNumberFormat="1" applyFont="1" applyBorder="1" applyAlignment="1">
      <alignment horizontal="right" vertical="center"/>
    </xf>
    <xf numFmtId="1" fontId="101" fillId="42" borderId="3" xfId="0" applyNumberFormat="1" applyFont="1" applyFill="1" applyBorder="1" applyAlignment="1">
      <alignment horizontal="right" vertical="center"/>
    </xf>
    <xf numFmtId="0" fontId="101" fillId="0" borderId="1" xfId="0" applyFont="1" applyBorder="1" applyAlignment="1">
      <alignment vertical="center"/>
    </xf>
    <xf numFmtId="0" fontId="100" fillId="0" borderId="1" xfId="0" applyFont="1" applyBorder="1" applyAlignment="1">
      <alignment horizontal="right"/>
    </xf>
    <xf numFmtId="0" fontId="100" fillId="0" borderId="56" xfId="0" applyFont="1" applyBorder="1" applyAlignment="1">
      <alignment horizontal="right"/>
    </xf>
    <xf numFmtId="0" fontId="100" fillId="0" borderId="0" xfId="0" applyFont="1"/>
    <xf numFmtId="0" fontId="100" fillId="0" borderId="0" xfId="0" applyFont="1" applyAlignment="1">
      <alignment horizontal="left"/>
    </xf>
    <xf numFmtId="166" fontId="125" fillId="0" borderId="56" xfId="0" applyNumberFormat="1" applyFont="1" applyBorder="1"/>
    <xf numFmtId="20" fontId="126" fillId="0" borderId="1" xfId="0" applyNumberFormat="1" applyFont="1" applyBorder="1" applyAlignment="1">
      <alignment horizontal="right" vertical="center"/>
    </xf>
    <xf numFmtId="0" fontId="126" fillId="0" borderId="1" xfId="0" applyFont="1" applyBorder="1" applyAlignment="1">
      <alignment horizontal="right" vertical="center"/>
    </xf>
    <xf numFmtId="0" fontId="126" fillId="14" borderId="1" xfId="0" applyFont="1" applyFill="1" applyBorder="1" applyAlignment="1">
      <alignment horizontal="right" vertical="center"/>
    </xf>
    <xf numFmtId="0" fontId="126" fillId="0" borderId="1" xfId="0" applyFont="1" applyBorder="1" applyAlignment="1">
      <alignment horizontal="left" vertical="center"/>
    </xf>
    <xf numFmtId="1" fontId="126" fillId="9" borderId="1" xfId="0" applyNumberFormat="1" applyFont="1" applyFill="1" applyBorder="1" applyAlignment="1">
      <alignment horizontal="right" vertical="center"/>
    </xf>
    <xf numFmtId="1" fontId="126" fillId="9" borderId="4" xfId="0" applyNumberFormat="1" applyFont="1" applyFill="1" applyBorder="1" applyAlignment="1">
      <alignment horizontal="right" vertical="center"/>
    </xf>
    <xf numFmtId="1" fontId="126" fillId="9" borderId="3" xfId="0" applyNumberFormat="1" applyFont="1" applyFill="1" applyBorder="1" applyAlignment="1">
      <alignment horizontal="right" vertical="center"/>
    </xf>
    <xf numFmtId="0" fontId="125" fillId="0" borderId="56" xfId="0" applyFont="1" applyBorder="1"/>
    <xf numFmtId="0" fontId="126" fillId="0" borderId="19" xfId="0" applyFont="1" applyBorder="1" applyAlignment="1">
      <alignment horizontal="right" vertical="center"/>
    </xf>
    <xf numFmtId="0" fontId="126" fillId="11" borderId="19" xfId="0" applyFont="1" applyFill="1" applyBorder="1" applyAlignment="1">
      <alignment horizontal="right" vertical="center"/>
    </xf>
    <xf numFmtId="0" fontId="126" fillId="11" borderId="1" xfId="0" applyFont="1" applyFill="1" applyBorder="1" applyAlignment="1">
      <alignment horizontal="right" vertical="center"/>
    </xf>
    <xf numFmtId="0" fontId="126" fillId="11" borderId="1" xfId="0" applyFont="1" applyFill="1" applyBorder="1" applyAlignment="1">
      <alignment horizontal="left" vertical="center"/>
    </xf>
    <xf numFmtId="1" fontId="127" fillId="2" borderId="1" xfId="0" applyNumberFormat="1" applyFont="1" applyFill="1" applyBorder="1" applyAlignment="1">
      <alignment horizontal="right" vertical="center"/>
    </xf>
    <xf numFmtId="1" fontId="127" fillId="2" borderId="56" xfId="0" applyNumberFormat="1" applyFont="1" applyFill="1" applyBorder="1" applyAlignment="1">
      <alignment horizontal="right" vertical="center"/>
    </xf>
    <xf numFmtId="1" fontId="127" fillId="2" borderId="3" xfId="0" applyNumberFormat="1" applyFont="1" applyFill="1" applyBorder="1" applyAlignment="1">
      <alignment horizontal="right" vertical="center"/>
    </xf>
    <xf numFmtId="1" fontId="126" fillId="0" borderId="1" xfId="0" applyNumberFormat="1" applyFont="1" applyBorder="1" applyAlignment="1">
      <alignment horizontal="right" vertical="center"/>
    </xf>
    <xf numFmtId="1" fontId="126" fillId="0" borderId="56" xfId="0" applyNumberFormat="1" applyFont="1" applyBorder="1" applyAlignment="1">
      <alignment horizontal="right" vertical="center"/>
    </xf>
    <xf numFmtId="1" fontId="126" fillId="42" borderId="3" xfId="0" applyNumberFormat="1" applyFont="1" applyFill="1" applyBorder="1" applyAlignment="1">
      <alignment horizontal="right" vertical="center"/>
    </xf>
    <xf numFmtId="1" fontId="126" fillId="42" borderId="1" xfId="0" applyNumberFormat="1" applyFont="1" applyFill="1" applyBorder="1" applyAlignment="1">
      <alignment horizontal="right" vertical="center"/>
    </xf>
    <xf numFmtId="0" fontId="100" fillId="0" borderId="86" xfId="0" applyFont="1" applyBorder="1" applyAlignment="1">
      <alignment wrapText="1"/>
    </xf>
    <xf numFmtId="0" fontId="100" fillId="0" borderId="0" xfId="0" applyFont="1" applyAlignment="1">
      <alignment wrapText="1"/>
    </xf>
    <xf numFmtId="0" fontId="100" fillId="0" borderId="83" xfId="0" applyFont="1" applyBorder="1"/>
    <xf numFmtId="0" fontId="91" fillId="0" borderId="0" xfId="0" applyFont="1"/>
    <xf numFmtId="0" fontId="0" fillId="0" borderId="58" xfId="0" applyBorder="1"/>
    <xf numFmtId="0" fontId="0" fillId="0" borderId="35" xfId="0" applyBorder="1"/>
    <xf numFmtId="0" fontId="0" fillId="0" borderId="21" xfId="0" applyBorder="1"/>
    <xf numFmtId="0" fontId="95" fillId="0" borderId="0" xfId="0" applyFont="1"/>
    <xf numFmtId="0" fontId="0" fillId="0" borderId="0" xfId="0"/>
    <xf numFmtId="0" fontId="49" fillId="51" borderId="52" xfId="0" applyFont="1" applyFill="1" applyBorder="1"/>
    <xf numFmtId="0" fontId="49" fillId="51" borderId="44" xfId="0" applyFont="1" applyFill="1" applyBorder="1"/>
    <xf numFmtId="0" fontId="49" fillId="51" borderId="51" xfId="0" applyFont="1" applyFill="1" applyBorder="1"/>
    <xf numFmtId="0" fontId="24" fillId="0" borderId="52" xfId="0" applyFont="1" applyBorder="1"/>
    <xf numFmtId="0" fontId="24" fillId="0" borderId="44" xfId="0" applyFont="1" applyBorder="1"/>
    <xf numFmtId="0" fontId="24" fillId="0" borderId="51" xfId="0" applyFont="1" applyBorder="1"/>
    <xf numFmtId="0" fontId="49" fillId="0" borderId="54" xfId="0" applyFont="1" applyBorder="1"/>
    <xf numFmtId="0" fontId="49" fillId="0" borderId="33" xfId="0" applyFont="1" applyBorder="1"/>
    <xf numFmtId="0" fontId="49" fillId="0" borderId="20" xfId="0" applyFont="1" applyBorder="1"/>
    <xf numFmtId="0" fontId="24" fillId="0" borderId="88" xfId="0" applyFont="1" applyBorder="1" applyAlignment="1">
      <alignment wrapText="1"/>
    </xf>
    <xf numFmtId="0" fontId="24" fillId="0" borderId="87" xfId="0" applyFont="1" applyBorder="1" applyAlignment="1">
      <alignment wrapText="1"/>
    </xf>
    <xf numFmtId="0" fontId="24" fillId="0" borderId="90" xfId="0" applyFont="1" applyBorder="1" applyAlignment="1">
      <alignment wrapText="1"/>
    </xf>
    <xf numFmtId="0" fontId="49" fillId="0" borderId="88" xfId="0" applyFont="1" applyBorder="1" applyAlignment="1">
      <alignment wrapText="1"/>
    </xf>
    <xf numFmtId="0" fontId="49" fillId="0" borderId="87" xfId="0" applyFont="1" applyBorder="1" applyAlignment="1">
      <alignment wrapText="1"/>
    </xf>
    <xf numFmtId="0" fontId="49" fillId="0" borderId="90" xfId="0" applyFont="1" applyBorder="1" applyAlignment="1">
      <alignment wrapText="1"/>
    </xf>
    <xf numFmtId="15" fontId="3" fillId="5" borderId="28" xfId="0" applyNumberFormat="1" applyFont="1" applyFill="1" applyBorder="1" applyAlignment="1">
      <alignment horizontal="center" vertical="center"/>
    </xf>
    <xf numFmtId="15" fontId="3" fillId="5" borderId="29" xfId="0" applyNumberFormat="1" applyFont="1" applyFill="1" applyBorder="1" applyAlignment="1">
      <alignment horizontal="center" vertical="center"/>
    </xf>
    <xf numFmtId="15" fontId="3" fillId="5" borderId="30" xfId="0" applyNumberFormat="1" applyFont="1" applyFill="1" applyBorder="1" applyAlignment="1">
      <alignment horizontal="center" vertical="center"/>
    </xf>
    <xf numFmtId="0" fontId="1" fillId="0" borderId="37" xfId="0" applyFont="1" applyBorder="1" applyAlignment="1">
      <alignment horizontal="center" vertical="center"/>
    </xf>
    <xf numFmtId="0" fontId="1" fillId="0" borderId="38" xfId="0" applyFont="1" applyBorder="1" applyAlignment="1">
      <alignment horizontal="center" vertical="center"/>
    </xf>
    <xf numFmtId="0" fontId="1" fillId="0" borderId="39" xfId="0" applyFont="1" applyBorder="1" applyAlignment="1">
      <alignment horizontal="center" vertical="center"/>
    </xf>
    <xf numFmtId="0" fontId="0" fillId="0" borderId="38" xfId="0" applyBorder="1" applyAlignment="1">
      <alignment horizontal="center" vertical="center"/>
    </xf>
    <xf numFmtId="0" fontId="0" fillId="0" borderId="39" xfId="0" applyBorder="1" applyAlignment="1">
      <alignment horizontal="center" vertical="center"/>
    </xf>
    <xf numFmtId="0" fontId="0" fillId="0" borderId="37" xfId="0" applyBorder="1" applyAlignment="1">
      <alignment horizontal="center" vertical="center"/>
    </xf>
    <xf numFmtId="0" fontId="0" fillId="0" borderId="37" xfId="0" applyBorder="1" applyAlignment="1">
      <alignment horizontal="center" vertical="center" wrapText="1"/>
    </xf>
    <xf numFmtId="0" fontId="0" fillId="0" borderId="38" xfId="0" applyBorder="1" applyAlignment="1">
      <alignment horizontal="center" vertical="center" wrapText="1"/>
    </xf>
    <xf numFmtId="15" fontId="4" fillId="7" borderId="27" xfId="0" applyNumberFormat="1" applyFont="1" applyFill="1" applyBorder="1" applyAlignment="1">
      <alignment horizontal="center" vertical="center"/>
    </xf>
    <xf numFmtId="15" fontId="4" fillId="7" borderId="26" xfId="0" applyNumberFormat="1" applyFont="1" applyFill="1" applyBorder="1" applyAlignment="1">
      <alignment horizontal="center" vertical="center"/>
    </xf>
    <xf numFmtId="15" fontId="4" fillId="7" borderId="32" xfId="0" applyNumberFormat="1" applyFont="1" applyFill="1" applyBorder="1" applyAlignment="1">
      <alignment horizontal="center" vertical="center"/>
    </xf>
    <xf numFmtId="15" fontId="4" fillId="2" borderId="28" xfId="0" applyNumberFormat="1" applyFont="1" applyFill="1" applyBorder="1" applyAlignment="1">
      <alignment horizontal="center" vertical="center"/>
    </xf>
    <xf numFmtId="15" fontId="4" fillId="2" borderId="29" xfId="0" applyNumberFormat="1" applyFont="1" applyFill="1" applyBorder="1" applyAlignment="1">
      <alignment horizontal="center" vertical="center"/>
    </xf>
    <xf numFmtId="15" fontId="4" fillId="2" borderId="31" xfId="0" applyNumberFormat="1" applyFont="1" applyFill="1" applyBorder="1" applyAlignment="1">
      <alignment horizontal="center" vertical="center"/>
    </xf>
    <xf numFmtId="15" fontId="4" fillId="6" borderId="28" xfId="0" applyNumberFormat="1" applyFont="1" applyFill="1" applyBorder="1" applyAlignment="1">
      <alignment horizontal="center" vertical="center"/>
    </xf>
    <xf numFmtId="15" fontId="4" fillId="6" borderId="29" xfId="0" applyNumberFormat="1" applyFont="1" applyFill="1" applyBorder="1" applyAlignment="1">
      <alignment horizontal="center" vertical="center"/>
    </xf>
    <xf numFmtId="15" fontId="4" fillId="6" borderId="31" xfId="0" applyNumberFormat="1" applyFont="1" applyFill="1" applyBorder="1" applyAlignment="1">
      <alignment horizontal="center" vertical="center"/>
    </xf>
    <xf numFmtId="15" fontId="4" fillId="3" borderId="28" xfId="0" applyNumberFormat="1" applyFont="1" applyFill="1" applyBorder="1" applyAlignment="1">
      <alignment horizontal="center" vertical="center"/>
    </xf>
    <xf numFmtId="15" fontId="4" fillId="3" borderId="29" xfId="0" applyNumberFormat="1" applyFont="1" applyFill="1" applyBorder="1" applyAlignment="1">
      <alignment horizontal="center" vertical="center"/>
    </xf>
    <xf numFmtId="15" fontId="4" fillId="3" borderId="30" xfId="0" applyNumberFormat="1" applyFont="1" applyFill="1" applyBorder="1" applyAlignment="1">
      <alignment horizontal="center" vertical="center"/>
    </xf>
    <xf numFmtId="15" fontId="4" fillId="2" borderId="30" xfId="0" applyNumberFormat="1" applyFont="1" applyFill="1" applyBorder="1" applyAlignment="1">
      <alignment horizontal="center" vertical="center"/>
    </xf>
    <xf numFmtId="15" fontId="4" fillId="6" borderId="30" xfId="0" applyNumberFormat="1" applyFont="1" applyFill="1" applyBorder="1" applyAlignment="1">
      <alignment horizontal="center" vertical="center"/>
    </xf>
    <xf numFmtId="15" fontId="4" fillId="8" borderId="28" xfId="0" applyNumberFormat="1" applyFont="1" applyFill="1" applyBorder="1" applyAlignment="1">
      <alignment horizontal="center" vertical="center"/>
    </xf>
    <xf numFmtId="15" fontId="4" fillId="8" borderId="29" xfId="0" applyNumberFormat="1" applyFont="1" applyFill="1" applyBorder="1" applyAlignment="1">
      <alignment horizontal="center" vertical="center"/>
    </xf>
    <xf numFmtId="15" fontId="4" fillId="8" borderId="30" xfId="0" applyNumberFormat="1" applyFont="1" applyFill="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0" borderId="13" xfId="0" applyFont="1" applyBorder="1" applyAlignment="1">
      <alignment horizontal="center" vertical="center"/>
    </xf>
    <xf numFmtId="0" fontId="1" fillId="0" borderId="14" xfId="0" applyFont="1" applyBorder="1" applyAlignment="1">
      <alignment horizontal="center" vertical="center"/>
    </xf>
    <xf numFmtId="15" fontId="0" fillId="2" borderId="28" xfId="0" applyNumberFormat="1" applyFill="1" applyBorder="1" applyAlignment="1">
      <alignment horizontal="center" vertical="center"/>
    </xf>
    <xf numFmtId="15" fontId="0" fillId="2" borderId="29" xfId="0" applyNumberFormat="1" applyFill="1" applyBorder="1" applyAlignment="1">
      <alignment horizontal="center" vertical="center"/>
    </xf>
    <xf numFmtId="15" fontId="0" fillId="2" borderId="30" xfId="0" applyNumberFormat="1" applyFill="1" applyBorder="1" applyAlignment="1">
      <alignment horizontal="center" vertical="center"/>
    </xf>
    <xf numFmtId="15" fontId="4" fillId="7" borderId="28" xfId="0" applyNumberFormat="1" applyFont="1" applyFill="1" applyBorder="1" applyAlignment="1">
      <alignment horizontal="center" vertical="center"/>
    </xf>
    <xf numFmtId="15" fontId="4" fillId="7" borderId="29" xfId="0" applyNumberFormat="1" applyFont="1" applyFill="1" applyBorder="1" applyAlignment="1">
      <alignment horizontal="center" vertical="center"/>
    </xf>
    <xf numFmtId="15" fontId="4" fillId="7" borderId="30" xfId="0" applyNumberFormat="1" applyFont="1" applyFill="1" applyBorder="1" applyAlignment="1">
      <alignment horizontal="center" vertical="center"/>
    </xf>
    <xf numFmtId="15" fontId="4" fillId="8" borderId="27" xfId="0" applyNumberFormat="1" applyFont="1" applyFill="1" applyBorder="1" applyAlignment="1">
      <alignment horizontal="center" vertical="center"/>
    </xf>
    <xf numFmtId="15" fontId="4" fillId="8" borderId="26" xfId="0" applyNumberFormat="1" applyFont="1" applyFill="1" applyBorder="1" applyAlignment="1">
      <alignment horizontal="center" vertical="center"/>
    </xf>
    <xf numFmtId="15" fontId="4" fillId="8" borderId="32" xfId="0" applyNumberFormat="1" applyFont="1" applyFill="1" applyBorder="1" applyAlignment="1">
      <alignment horizontal="center" vertical="center"/>
    </xf>
    <xf numFmtId="15" fontId="4" fillId="8" borderId="33" xfId="0" applyNumberFormat="1" applyFont="1" applyFill="1" applyBorder="1" applyAlignment="1">
      <alignment horizontal="center" vertical="center"/>
    </xf>
    <xf numFmtId="15" fontId="4" fillId="8" borderId="34" xfId="0" applyNumberFormat="1" applyFont="1" applyFill="1" applyBorder="1" applyAlignment="1">
      <alignment horizontal="center" vertical="center"/>
    </xf>
    <xf numFmtId="15" fontId="4" fillId="8" borderId="35" xfId="0" applyNumberFormat="1" applyFont="1" applyFill="1" applyBorder="1" applyAlignment="1">
      <alignment horizontal="center" vertical="center"/>
    </xf>
    <xf numFmtId="15" fontId="5" fillId="5" borderId="28" xfId="0" applyNumberFormat="1" applyFont="1" applyFill="1" applyBorder="1" applyAlignment="1">
      <alignment horizontal="center" vertical="center"/>
    </xf>
    <xf numFmtId="15" fontId="5" fillId="5" borderId="29" xfId="0" applyNumberFormat="1" applyFont="1" applyFill="1" applyBorder="1" applyAlignment="1">
      <alignment horizontal="center" vertical="center"/>
    </xf>
    <xf numFmtId="15" fontId="5" fillId="5" borderId="31" xfId="0" applyNumberFormat="1" applyFont="1" applyFill="1" applyBorder="1" applyAlignment="1">
      <alignment horizontal="center" vertical="center"/>
    </xf>
    <xf numFmtId="15" fontId="5" fillId="5" borderId="30" xfId="0" applyNumberFormat="1" applyFont="1" applyFill="1" applyBorder="1" applyAlignment="1">
      <alignment horizontal="center" vertical="center"/>
    </xf>
    <xf numFmtId="15" fontId="4" fillId="7" borderId="31" xfId="0" applyNumberFormat="1" applyFont="1" applyFill="1" applyBorder="1" applyAlignment="1">
      <alignment horizontal="center" vertical="center"/>
    </xf>
    <xf numFmtId="0" fontId="1" fillId="0" borderId="36" xfId="0" applyFont="1" applyBorder="1" applyAlignment="1">
      <alignment horizontal="center" vertical="center"/>
    </xf>
    <xf numFmtId="0" fontId="1" fillId="0" borderId="22" xfId="0" applyFont="1" applyBorder="1" applyAlignment="1">
      <alignment horizontal="center" vertical="center"/>
    </xf>
    <xf numFmtId="0" fontId="1" fillId="0" borderId="23" xfId="0" applyFont="1" applyBorder="1" applyAlignment="1">
      <alignment horizontal="center" vertical="center"/>
    </xf>
    <xf numFmtId="0" fontId="1" fillId="0" borderId="24" xfId="0" applyFont="1" applyBorder="1" applyAlignment="1">
      <alignment horizontal="center" vertical="center"/>
    </xf>
    <xf numFmtId="15" fontId="3" fillId="5" borderId="31" xfId="0" applyNumberFormat="1" applyFont="1" applyFill="1" applyBorder="1" applyAlignment="1">
      <alignment horizontal="center" vertical="center"/>
    </xf>
    <xf numFmtId="15" fontId="3" fillId="7" borderId="28" xfId="0" applyNumberFormat="1" applyFont="1" applyFill="1" applyBorder="1" applyAlignment="1">
      <alignment horizontal="center" vertical="center"/>
    </xf>
    <xf numFmtId="15" fontId="3" fillId="7" borderId="29" xfId="0" applyNumberFormat="1" applyFont="1" applyFill="1" applyBorder="1" applyAlignment="1">
      <alignment horizontal="center" vertical="center"/>
    </xf>
    <xf numFmtId="15" fontId="3" fillId="7" borderId="30" xfId="0" applyNumberFormat="1" applyFont="1" applyFill="1" applyBorder="1" applyAlignment="1">
      <alignment horizontal="center" vertical="center"/>
    </xf>
    <xf numFmtId="15" fontId="3" fillId="4" borderId="28" xfId="0" applyNumberFormat="1" applyFont="1" applyFill="1" applyBorder="1" applyAlignment="1">
      <alignment horizontal="center" vertical="center"/>
    </xf>
    <xf numFmtId="15" fontId="3" fillId="4" borderId="29" xfId="0" applyNumberFormat="1" applyFont="1" applyFill="1" applyBorder="1" applyAlignment="1">
      <alignment horizontal="center" vertical="center"/>
    </xf>
    <xf numFmtId="15" fontId="3" fillId="4" borderId="30" xfId="0" applyNumberFormat="1" applyFont="1" applyFill="1" applyBorder="1" applyAlignment="1">
      <alignment horizontal="center" vertical="center"/>
    </xf>
    <xf numFmtId="15" fontId="3" fillId="4" borderId="27" xfId="0" applyNumberFormat="1" applyFont="1" applyFill="1" applyBorder="1" applyAlignment="1">
      <alignment horizontal="center" vertical="center"/>
    </xf>
    <xf numFmtId="15" fontId="3" fillId="4" borderId="26" xfId="0" applyNumberFormat="1" applyFont="1" applyFill="1" applyBorder="1" applyAlignment="1">
      <alignment horizontal="center" vertical="center"/>
    </xf>
    <xf numFmtId="15" fontId="0" fillId="3" borderId="28" xfId="0" applyNumberFormat="1" applyFill="1" applyBorder="1" applyAlignment="1">
      <alignment horizontal="center" vertical="center"/>
    </xf>
    <xf numFmtId="15" fontId="0" fillId="3" borderId="29" xfId="0" applyNumberFormat="1" applyFill="1" applyBorder="1" applyAlignment="1">
      <alignment horizontal="center" vertical="center"/>
    </xf>
    <xf numFmtId="15" fontId="0" fillId="3" borderId="30" xfId="0" applyNumberFormat="1" applyFill="1" applyBorder="1" applyAlignment="1">
      <alignment horizontal="center" vertical="center"/>
    </xf>
    <xf numFmtId="0" fontId="1" fillId="10" borderId="46" xfId="0" applyFont="1" applyFill="1" applyBorder="1" applyAlignment="1">
      <alignment horizontal="center" vertical="center"/>
    </xf>
    <xf numFmtId="0" fontId="1" fillId="10" borderId="47" xfId="0" applyFont="1" applyFill="1" applyBorder="1" applyAlignment="1">
      <alignment horizontal="center" vertical="center"/>
    </xf>
    <xf numFmtId="0" fontId="8" fillId="0" borderId="27" xfId="0" applyFont="1" applyBorder="1" applyAlignment="1">
      <alignment horizontal="center" vertical="center"/>
    </xf>
    <xf numFmtId="0" fontId="8" fillId="0" borderId="26" xfId="0" applyFont="1" applyBorder="1" applyAlignment="1">
      <alignment horizontal="center" vertical="center"/>
    </xf>
    <xf numFmtId="0" fontId="1" fillId="0" borderId="15" xfId="0" applyFont="1" applyBorder="1" applyAlignment="1">
      <alignment horizontal="center" vertical="center"/>
    </xf>
    <xf numFmtId="0" fontId="1" fillId="0" borderId="16" xfId="0" applyFont="1" applyBorder="1" applyAlignment="1">
      <alignment horizontal="center" vertical="center"/>
    </xf>
    <xf numFmtId="0" fontId="1" fillId="0" borderId="17" xfId="0" applyFont="1" applyBorder="1" applyAlignment="1">
      <alignment horizontal="center" vertical="center"/>
    </xf>
    <xf numFmtId="0" fontId="1" fillId="0" borderId="27" xfId="0" applyFont="1" applyBorder="1" applyAlignment="1">
      <alignment horizontal="center" vertical="center"/>
    </xf>
    <xf numFmtId="0" fontId="1" fillId="0" borderId="26" xfId="0" applyFont="1" applyBorder="1" applyAlignment="1">
      <alignment horizontal="center" vertical="center"/>
    </xf>
    <xf numFmtId="0" fontId="0" fillId="0" borderId="43" xfId="0" applyBorder="1" applyAlignment="1">
      <alignment horizontal="center"/>
    </xf>
    <xf numFmtId="0" fontId="0" fillId="0" borderId="44" xfId="0" applyBorder="1" applyAlignment="1">
      <alignment horizontal="center"/>
    </xf>
    <xf numFmtId="0" fontId="0" fillId="0" borderId="45" xfId="0" applyBorder="1" applyAlignment="1">
      <alignment horizontal="center"/>
    </xf>
    <xf numFmtId="1" fontId="0" fillId="0" borderId="1" xfId="0" applyNumberFormat="1" applyBorder="1" applyAlignment="1">
      <alignment horizontal="center" vertical="center"/>
    </xf>
    <xf numFmtId="164" fontId="4" fillId="0" borderId="3" xfId="0" applyNumberFormat="1" applyFont="1" applyBorder="1" applyAlignment="1">
      <alignment horizontal="center" vertical="center"/>
    </xf>
    <xf numFmtId="164" fontId="4" fillId="0" borderId="59" xfId="0" applyNumberFormat="1" applyFont="1" applyBorder="1" applyAlignment="1">
      <alignment horizontal="center" vertical="center"/>
    </xf>
    <xf numFmtId="164" fontId="4" fillId="0" borderId="4" xfId="0" applyNumberFormat="1" applyFont="1" applyBorder="1" applyAlignment="1">
      <alignment horizontal="center" vertical="center"/>
    </xf>
    <xf numFmtId="0" fontId="1" fillId="0" borderId="61" xfId="0" applyFont="1" applyBorder="1" applyAlignment="1">
      <alignment horizontal="left" vertical="center"/>
    </xf>
    <xf numFmtId="0" fontId="1" fillId="0" borderId="2" xfId="0" applyFont="1" applyBorder="1" applyAlignment="1">
      <alignment horizontal="left" vertical="center"/>
    </xf>
    <xf numFmtId="164" fontId="0" fillId="0" borderId="1" xfId="0" applyNumberFormat="1" applyBorder="1" applyAlignment="1">
      <alignment horizontal="center" vertical="center"/>
    </xf>
    <xf numFmtId="0" fontId="0" fillId="0" borderId="1" xfId="0" applyBorder="1" applyAlignment="1">
      <alignment horizontal="center" vertical="center"/>
    </xf>
    <xf numFmtId="0" fontId="1" fillId="0" borderId="0" xfId="0" applyFont="1" applyAlignment="1">
      <alignment horizontal="left" vertical="center"/>
    </xf>
    <xf numFmtId="0" fontId="1" fillId="0" borderId="60" xfId="0" applyFont="1" applyBorder="1" applyAlignment="1">
      <alignment horizontal="left" vertical="center"/>
    </xf>
    <xf numFmtId="0" fontId="9" fillId="0" borderId="1" xfId="0" applyFont="1" applyBorder="1" applyAlignment="1">
      <alignment horizontal="center" vertical="center"/>
    </xf>
    <xf numFmtId="0" fontId="1" fillId="12" borderId="56" xfId="0" applyFont="1" applyFill="1" applyBorder="1" applyAlignment="1">
      <alignment horizontal="center" vertical="center"/>
    </xf>
    <xf numFmtId="0" fontId="1" fillId="12" borderId="34" xfId="0" applyFont="1" applyFill="1" applyBorder="1" applyAlignment="1">
      <alignment horizontal="center" vertical="center"/>
    </xf>
    <xf numFmtId="0" fontId="1" fillId="12" borderId="19" xfId="0" applyFont="1" applyFill="1" applyBorder="1" applyAlignment="1">
      <alignment horizontal="center" vertical="center"/>
    </xf>
    <xf numFmtId="0" fontId="8" fillId="12" borderId="56" xfId="0" applyFont="1" applyFill="1" applyBorder="1" applyAlignment="1">
      <alignment horizontal="center" vertical="center"/>
    </xf>
    <xf numFmtId="0" fontId="8" fillId="12" borderId="34" xfId="0" applyFont="1" applyFill="1" applyBorder="1" applyAlignment="1">
      <alignment horizontal="center" vertical="center"/>
    </xf>
    <xf numFmtId="0" fontId="8" fillId="12" borderId="19" xfId="0" applyFont="1" applyFill="1" applyBorder="1" applyAlignment="1">
      <alignment horizontal="center" vertical="center"/>
    </xf>
    <xf numFmtId="16" fontId="7" fillId="4" borderId="3" xfId="0" applyNumberFormat="1" applyFont="1" applyFill="1" applyBorder="1" applyAlignment="1">
      <alignment horizontal="center" vertical="center"/>
    </xf>
    <xf numFmtId="16" fontId="7" fillId="4" borderId="59" xfId="0" applyNumberFormat="1" applyFont="1" applyFill="1" applyBorder="1" applyAlignment="1">
      <alignment horizontal="center" vertical="center"/>
    </xf>
    <xf numFmtId="16" fontId="7" fillId="4" borderId="4" xfId="0" applyNumberFormat="1" applyFont="1" applyFill="1" applyBorder="1" applyAlignment="1">
      <alignment horizontal="center" vertical="center"/>
    </xf>
    <xf numFmtId="0" fontId="16" fillId="12" borderId="1" xfId="0" applyFont="1" applyFill="1" applyBorder="1" applyAlignment="1">
      <alignment horizontal="center" vertical="center"/>
    </xf>
    <xf numFmtId="0" fontId="1" fillId="12" borderId="1" xfId="0" applyFont="1" applyFill="1" applyBorder="1" applyAlignment="1">
      <alignment horizontal="center" vertical="center"/>
    </xf>
    <xf numFmtId="16" fontId="1" fillId="13" borderId="3" xfId="0" applyNumberFormat="1" applyFont="1" applyFill="1" applyBorder="1" applyAlignment="1">
      <alignment horizontal="center" vertical="center"/>
    </xf>
    <xf numFmtId="16" fontId="1" fillId="13" borderId="59" xfId="0" applyNumberFormat="1" applyFont="1" applyFill="1" applyBorder="1" applyAlignment="1">
      <alignment horizontal="center" vertical="center"/>
    </xf>
    <xf numFmtId="16" fontId="1" fillId="13" borderId="4" xfId="0" applyNumberFormat="1" applyFont="1" applyFill="1" applyBorder="1" applyAlignment="1">
      <alignment horizontal="center" vertical="center"/>
    </xf>
    <xf numFmtId="0" fontId="1" fillId="0" borderId="1" xfId="0" applyFont="1" applyBorder="1" applyAlignment="1">
      <alignment horizontal="center" vertical="center"/>
    </xf>
    <xf numFmtId="0" fontId="14" fillId="0" borderId="1" xfId="0" applyFont="1" applyBorder="1" applyAlignment="1">
      <alignment horizontal="center" vertical="center"/>
    </xf>
    <xf numFmtId="0" fontId="9" fillId="0" borderId="56" xfId="0" applyFont="1" applyBorder="1" applyAlignment="1">
      <alignment horizontal="center" vertical="center"/>
    </xf>
    <xf numFmtId="0" fontId="9" fillId="0" borderId="34" xfId="0" applyFont="1" applyBorder="1" applyAlignment="1">
      <alignment horizontal="center" vertical="center"/>
    </xf>
    <xf numFmtId="0" fontId="9" fillId="0" borderId="19" xfId="0" applyFont="1" applyBorder="1" applyAlignment="1">
      <alignment horizontal="center" vertical="center"/>
    </xf>
    <xf numFmtId="0" fontId="15" fillId="0" borderId="1" xfId="0" applyFont="1" applyBorder="1" applyAlignment="1">
      <alignment horizontal="center" vertical="center" wrapText="1"/>
    </xf>
    <xf numFmtId="0" fontId="15" fillId="0" borderId="1" xfId="0" applyFont="1" applyBorder="1" applyAlignment="1">
      <alignment horizontal="center" vertical="center"/>
    </xf>
    <xf numFmtId="164" fontId="4" fillId="0" borderId="1" xfId="0" applyNumberFormat="1" applyFont="1" applyBorder="1" applyAlignment="1">
      <alignment horizontal="center" vertical="center"/>
    </xf>
    <xf numFmtId="16" fontId="1" fillId="6" borderId="3" xfId="0" applyNumberFormat="1" applyFont="1" applyFill="1" applyBorder="1" applyAlignment="1">
      <alignment horizontal="center" vertical="center"/>
    </xf>
    <xf numFmtId="16" fontId="1" fillId="6" borderId="59" xfId="0" applyNumberFormat="1" applyFont="1" applyFill="1" applyBorder="1" applyAlignment="1">
      <alignment horizontal="center" vertical="center"/>
    </xf>
    <xf numFmtId="16" fontId="1" fillId="6" borderId="4" xfId="0" applyNumberFormat="1" applyFont="1" applyFill="1" applyBorder="1" applyAlignment="1">
      <alignment horizontal="center" vertical="center"/>
    </xf>
    <xf numFmtId="0" fontId="14" fillId="12" borderId="1" xfId="0" applyFont="1" applyFill="1" applyBorder="1" applyAlignment="1">
      <alignment horizontal="center" vertical="center"/>
    </xf>
    <xf numFmtId="0" fontId="17" fillId="12" borderId="1" xfId="0" applyFont="1" applyFill="1" applyBorder="1" applyAlignment="1">
      <alignment horizontal="center" vertical="center"/>
    </xf>
    <xf numFmtId="0" fontId="14" fillId="12" borderId="56" xfId="0" applyFont="1" applyFill="1" applyBorder="1" applyAlignment="1">
      <alignment horizontal="center" vertical="center"/>
    </xf>
    <xf numFmtId="0" fontId="14" fillId="12" borderId="34" xfId="0" applyFont="1" applyFill="1" applyBorder="1" applyAlignment="1">
      <alignment horizontal="center" vertical="center"/>
    </xf>
    <xf numFmtId="0" fontId="14" fillId="12" borderId="19" xfId="0" applyFont="1" applyFill="1" applyBorder="1" applyAlignment="1">
      <alignment horizontal="center" vertical="center"/>
    </xf>
    <xf numFmtId="16" fontId="7" fillId="5" borderId="3" xfId="0" applyNumberFormat="1" applyFont="1" applyFill="1" applyBorder="1" applyAlignment="1">
      <alignment horizontal="center" vertical="center"/>
    </xf>
    <xf numFmtId="16" fontId="7" fillId="5" borderId="59" xfId="0" applyNumberFormat="1" applyFont="1" applyFill="1" applyBorder="1" applyAlignment="1">
      <alignment horizontal="center" vertical="center"/>
    </xf>
    <xf numFmtId="16" fontId="7" fillId="5" borderId="4" xfId="0" applyNumberFormat="1" applyFont="1" applyFill="1" applyBorder="1" applyAlignment="1">
      <alignment horizontal="center" vertical="center"/>
    </xf>
    <xf numFmtId="0" fontId="17" fillId="12" borderId="56" xfId="0" applyFont="1" applyFill="1" applyBorder="1" applyAlignment="1">
      <alignment horizontal="center" vertical="center"/>
    </xf>
    <xf numFmtId="0" fontId="17" fillId="12" borderId="34" xfId="0" applyFont="1" applyFill="1" applyBorder="1" applyAlignment="1">
      <alignment horizontal="center" vertical="center"/>
    </xf>
    <xf numFmtId="0" fontId="17" fillId="12" borderId="19" xfId="0" applyFont="1" applyFill="1" applyBorder="1" applyAlignment="1">
      <alignment horizontal="center" vertical="center"/>
    </xf>
    <xf numFmtId="16" fontId="8" fillId="2" borderId="3" xfId="0" applyNumberFormat="1" applyFont="1" applyFill="1" applyBorder="1" applyAlignment="1">
      <alignment horizontal="center" vertical="center"/>
    </xf>
    <xf numFmtId="16" fontId="8" fillId="2" borderId="59" xfId="0" applyNumberFormat="1" applyFont="1" applyFill="1" applyBorder="1" applyAlignment="1">
      <alignment horizontal="center" vertical="center"/>
    </xf>
    <xf numFmtId="16" fontId="8" fillId="2" borderId="4" xfId="0" applyNumberFormat="1" applyFont="1" applyFill="1" applyBorder="1" applyAlignment="1">
      <alignment horizontal="center" vertical="center"/>
    </xf>
    <xf numFmtId="16" fontId="1" fillId="8" borderId="3" xfId="0" applyNumberFormat="1" applyFont="1" applyFill="1" applyBorder="1" applyAlignment="1">
      <alignment horizontal="center" vertical="center"/>
    </xf>
    <xf numFmtId="16" fontId="1" fillId="8" borderId="59" xfId="0" applyNumberFormat="1" applyFont="1" applyFill="1" applyBorder="1" applyAlignment="1">
      <alignment horizontal="center" vertical="center"/>
    </xf>
    <xf numFmtId="16" fontId="1" fillId="8" borderId="4" xfId="0" applyNumberFormat="1" applyFont="1" applyFill="1" applyBorder="1" applyAlignment="1">
      <alignment horizontal="center" vertical="center"/>
    </xf>
    <xf numFmtId="16" fontId="1" fillId="3" borderId="3" xfId="0" applyNumberFormat="1" applyFont="1" applyFill="1" applyBorder="1" applyAlignment="1">
      <alignment horizontal="center" vertical="center"/>
    </xf>
    <xf numFmtId="16" fontId="1" fillId="3" borderId="59" xfId="0" applyNumberFormat="1" applyFont="1" applyFill="1" applyBorder="1" applyAlignment="1">
      <alignment horizontal="center" vertical="center"/>
    </xf>
    <xf numFmtId="16" fontId="1" fillId="3" borderId="4" xfId="0" applyNumberFormat="1" applyFont="1" applyFill="1" applyBorder="1" applyAlignment="1">
      <alignment horizontal="center" vertical="center"/>
    </xf>
    <xf numFmtId="0" fontId="17" fillId="0" borderId="56" xfId="0" applyFont="1" applyBorder="1" applyAlignment="1">
      <alignment horizontal="center" vertical="center"/>
    </xf>
    <xf numFmtId="0" fontId="17" fillId="0" borderId="34" xfId="0" applyFont="1" applyBorder="1" applyAlignment="1">
      <alignment horizontal="center" vertical="center"/>
    </xf>
    <xf numFmtId="0" fontId="17" fillId="0" borderId="19" xfId="0" applyFont="1" applyBorder="1" applyAlignment="1">
      <alignment horizontal="center" vertical="center"/>
    </xf>
    <xf numFmtId="0" fontId="1" fillId="0" borderId="56" xfId="0" applyFont="1" applyBorder="1" applyAlignment="1">
      <alignment horizontal="center" vertical="center"/>
    </xf>
    <xf numFmtId="0" fontId="1" fillId="0" borderId="34" xfId="0" applyFont="1" applyBorder="1" applyAlignment="1">
      <alignment horizontal="center" vertical="center"/>
    </xf>
    <xf numFmtId="0" fontId="1" fillId="0" borderId="19" xfId="0" applyFont="1" applyBorder="1" applyAlignment="1">
      <alignment horizontal="center" vertical="center"/>
    </xf>
    <xf numFmtId="0" fontId="8" fillId="12" borderId="1" xfId="0" applyFont="1" applyFill="1" applyBorder="1" applyAlignment="1">
      <alignment horizontal="center" vertical="center"/>
    </xf>
    <xf numFmtId="0" fontId="17" fillId="0" borderId="1" xfId="0" applyFont="1" applyBorder="1" applyAlignment="1">
      <alignment horizontal="center" vertical="center"/>
    </xf>
    <xf numFmtId="0" fontId="14" fillId="0" borderId="56" xfId="0" applyFont="1" applyBorder="1" applyAlignment="1">
      <alignment horizontal="center" vertical="center"/>
    </xf>
    <xf numFmtId="0" fontId="14" fillId="0" borderId="34" xfId="0" applyFont="1" applyBorder="1" applyAlignment="1">
      <alignment horizontal="center" vertical="center"/>
    </xf>
    <xf numFmtId="0" fontId="14" fillId="0" borderId="19" xfId="0" applyFont="1" applyBorder="1" applyAlignment="1">
      <alignment horizontal="center" vertical="center"/>
    </xf>
    <xf numFmtId="0" fontId="16" fillId="0" borderId="1" xfId="0" applyFont="1" applyBorder="1" applyAlignment="1">
      <alignment horizontal="center" vertical="center"/>
    </xf>
    <xf numFmtId="0" fontId="15" fillId="0" borderId="56" xfId="0" applyFont="1" applyBorder="1" applyAlignment="1">
      <alignment horizontal="center" vertical="center"/>
    </xf>
    <xf numFmtId="0" fontId="15" fillId="0" borderId="34" xfId="0" applyFont="1" applyBorder="1" applyAlignment="1">
      <alignment horizontal="center" vertical="center"/>
    </xf>
    <xf numFmtId="0" fontId="15" fillId="0" borderId="19" xfId="0" applyFont="1" applyBorder="1" applyAlignment="1">
      <alignment horizontal="center" vertical="center"/>
    </xf>
    <xf numFmtId="16" fontId="8" fillId="12" borderId="3" xfId="0" applyNumberFormat="1" applyFont="1" applyFill="1" applyBorder="1" applyAlignment="1">
      <alignment horizontal="center" vertical="center"/>
    </xf>
    <xf numFmtId="16" fontId="8" fillId="12" borderId="59" xfId="0" applyNumberFormat="1" applyFont="1" applyFill="1" applyBorder="1" applyAlignment="1">
      <alignment horizontal="center" vertical="center"/>
    </xf>
    <xf numFmtId="16" fontId="8" fillId="12" borderId="4" xfId="0" applyNumberFormat="1" applyFont="1" applyFill="1" applyBorder="1" applyAlignment="1">
      <alignment horizontal="center" vertical="center"/>
    </xf>
    <xf numFmtId="0" fontId="16" fillId="0" borderId="56" xfId="0" applyFont="1" applyBorder="1" applyAlignment="1">
      <alignment horizontal="center" vertical="center"/>
    </xf>
    <xf numFmtId="0" fontId="16" fillId="0" borderId="34" xfId="0" applyFont="1" applyBorder="1" applyAlignment="1">
      <alignment horizontal="center" vertical="center"/>
    </xf>
    <xf numFmtId="0" fontId="16" fillId="0" borderId="19"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16" fontId="1" fillId="12" borderId="3" xfId="0" applyNumberFormat="1" applyFont="1" applyFill="1" applyBorder="1" applyAlignment="1">
      <alignment horizontal="center" vertical="center"/>
    </xf>
    <xf numFmtId="16" fontId="1" fillId="12" borderId="59" xfId="0" applyNumberFormat="1" applyFont="1" applyFill="1" applyBorder="1" applyAlignment="1">
      <alignment horizontal="center" vertical="center"/>
    </xf>
    <xf numFmtId="16" fontId="1" fillId="12" borderId="4" xfId="0" applyNumberFormat="1" applyFont="1" applyFill="1" applyBorder="1" applyAlignment="1">
      <alignment horizontal="center" vertical="center"/>
    </xf>
    <xf numFmtId="0" fontId="14" fillId="14" borderId="1" xfId="0" applyFont="1" applyFill="1" applyBorder="1" applyAlignment="1">
      <alignment horizontal="center" vertical="center"/>
    </xf>
    <xf numFmtId="1" fontId="0" fillId="12" borderId="1" xfId="0" applyNumberFormat="1" applyFill="1" applyBorder="1" applyAlignment="1">
      <alignment horizontal="center" vertical="center"/>
    </xf>
    <xf numFmtId="164" fontId="4" fillId="12" borderId="3" xfId="0" applyNumberFormat="1" applyFont="1" applyFill="1" applyBorder="1" applyAlignment="1">
      <alignment horizontal="center" vertical="center"/>
    </xf>
    <xf numFmtId="164" fontId="4" fillId="12" borderId="59" xfId="0" applyNumberFormat="1" applyFont="1" applyFill="1" applyBorder="1" applyAlignment="1">
      <alignment horizontal="center" vertical="center"/>
    </xf>
    <xf numFmtId="164" fontId="4" fillId="12" borderId="4" xfId="0" applyNumberFormat="1" applyFont="1" applyFill="1" applyBorder="1" applyAlignment="1">
      <alignment horizontal="center" vertical="center"/>
    </xf>
    <xf numFmtId="0" fontId="1" fillId="10" borderId="65" xfId="0" applyFont="1" applyFill="1" applyBorder="1" applyAlignment="1">
      <alignment horizontal="center" vertical="center"/>
    </xf>
    <xf numFmtId="0" fontId="1" fillId="10" borderId="66" xfId="0" applyFont="1" applyFill="1" applyBorder="1" applyAlignment="1">
      <alignment horizontal="center" vertical="center"/>
    </xf>
    <xf numFmtId="0" fontId="8" fillId="0" borderId="37" xfId="0" applyFont="1" applyBorder="1" applyAlignment="1">
      <alignment horizontal="center" vertical="center"/>
    </xf>
    <xf numFmtId="0" fontId="8" fillId="0" borderId="38" xfId="0" applyFont="1" applyBorder="1" applyAlignment="1">
      <alignment horizontal="center" vertical="center"/>
    </xf>
    <xf numFmtId="0" fontId="11" fillId="0" borderId="14" xfId="0" applyFont="1" applyBorder="1" applyAlignment="1">
      <alignment horizontal="center" vertical="center"/>
    </xf>
    <xf numFmtId="0" fontId="11" fillId="0" borderId="30" xfId="0" applyFont="1" applyBorder="1" applyAlignment="1">
      <alignment horizontal="center" vertical="center"/>
    </xf>
    <xf numFmtId="0" fontId="12" fillId="8" borderId="53" xfId="0" applyFont="1" applyFill="1" applyBorder="1" applyAlignment="1">
      <alignment horizontal="left" vertical="center"/>
    </xf>
    <xf numFmtId="0" fontId="12" fillId="8" borderId="55" xfId="0" applyFont="1" applyFill="1" applyBorder="1" applyAlignment="1">
      <alignment horizontal="left" vertical="center"/>
    </xf>
    <xf numFmtId="0" fontId="12" fillId="8" borderId="57" xfId="0" applyFont="1" applyFill="1" applyBorder="1" applyAlignment="1">
      <alignment horizontal="left" vertical="center"/>
    </xf>
    <xf numFmtId="0" fontId="11" fillId="0" borderId="37" xfId="0" applyFont="1" applyBorder="1" applyAlignment="1">
      <alignment horizontal="left" vertical="center"/>
    </xf>
    <xf numFmtId="0" fontId="11" fillId="0" borderId="38" xfId="0" applyFont="1" applyBorder="1" applyAlignment="1">
      <alignment horizontal="left" vertical="center"/>
    </xf>
    <xf numFmtId="0" fontId="11" fillId="0" borderId="39" xfId="0" applyFont="1" applyBorder="1" applyAlignment="1">
      <alignment horizontal="left" vertical="center"/>
    </xf>
    <xf numFmtId="0" fontId="11" fillId="3" borderId="53" xfId="0" applyFont="1" applyFill="1" applyBorder="1" applyAlignment="1">
      <alignment horizontal="left" vertical="center"/>
    </xf>
    <xf numFmtId="0" fontId="11" fillId="3" borderId="55" xfId="0" applyFont="1" applyFill="1" applyBorder="1" applyAlignment="1">
      <alignment horizontal="left" vertical="center"/>
    </xf>
    <xf numFmtId="0" fontId="11" fillId="3" borderId="57" xfId="0" applyFont="1" applyFill="1" applyBorder="1" applyAlignment="1">
      <alignment horizontal="left" vertical="center"/>
    </xf>
    <xf numFmtId="0" fontId="10" fillId="5" borderId="53" xfId="0" applyFont="1" applyFill="1" applyBorder="1" applyAlignment="1">
      <alignment horizontal="left" vertical="center"/>
    </xf>
    <xf numFmtId="0" fontId="10" fillId="5" borderId="55" xfId="0" applyFont="1" applyFill="1" applyBorder="1" applyAlignment="1">
      <alignment horizontal="left" vertical="center"/>
    </xf>
    <xf numFmtId="0" fontId="10" fillId="5" borderId="57" xfId="0" applyFont="1" applyFill="1" applyBorder="1" applyAlignment="1">
      <alignment horizontal="left" vertical="center"/>
    </xf>
    <xf numFmtId="0" fontId="11" fillId="2" borderId="53" xfId="0" applyFont="1" applyFill="1" applyBorder="1" applyAlignment="1">
      <alignment horizontal="left" vertical="center"/>
    </xf>
    <xf numFmtId="0" fontId="11" fillId="2" borderId="55" xfId="0" applyFont="1" applyFill="1" applyBorder="1" applyAlignment="1">
      <alignment horizontal="left" vertical="center"/>
    </xf>
    <xf numFmtId="0" fontId="11" fillId="2" borderId="57" xfId="0" applyFont="1" applyFill="1" applyBorder="1" applyAlignment="1">
      <alignment horizontal="left" vertical="center"/>
    </xf>
    <xf numFmtId="0" fontId="11" fillId="6" borderId="53" xfId="0" applyFont="1" applyFill="1" applyBorder="1" applyAlignment="1">
      <alignment horizontal="left" vertical="center"/>
    </xf>
    <xf numFmtId="0" fontId="11" fillId="6" borderId="55" xfId="0" applyFont="1" applyFill="1" applyBorder="1" applyAlignment="1">
      <alignment horizontal="left" vertical="center"/>
    </xf>
    <xf numFmtId="0" fontId="11" fillId="6" borderId="57" xfId="0" applyFont="1" applyFill="1" applyBorder="1" applyAlignment="1">
      <alignment horizontal="left" vertical="center"/>
    </xf>
    <xf numFmtId="16" fontId="1" fillId="6" borderId="1" xfId="0" applyNumberFormat="1" applyFont="1" applyFill="1" applyBorder="1" applyAlignment="1">
      <alignment horizontal="center" vertical="center"/>
    </xf>
    <xf numFmtId="16" fontId="1" fillId="13" borderId="1" xfId="0" applyNumberFormat="1" applyFont="1" applyFill="1" applyBorder="1" applyAlignment="1">
      <alignment horizontal="center" vertical="center"/>
    </xf>
    <xf numFmtId="16" fontId="8" fillId="2" borderId="1" xfId="0" applyNumberFormat="1" applyFont="1" applyFill="1" applyBorder="1" applyAlignment="1">
      <alignment horizontal="center" vertical="center"/>
    </xf>
    <xf numFmtId="16" fontId="7" fillId="5" borderId="1" xfId="0" applyNumberFormat="1" applyFont="1" applyFill="1" applyBorder="1" applyAlignment="1">
      <alignment horizontal="center" vertical="center"/>
    </xf>
    <xf numFmtId="16" fontId="7" fillId="4" borderId="1" xfId="0" applyNumberFormat="1" applyFont="1" applyFill="1" applyBorder="1" applyAlignment="1">
      <alignment horizontal="center" vertical="center"/>
    </xf>
    <xf numFmtId="164" fontId="0" fillId="0" borderId="3" xfId="0" applyNumberFormat="1" applyBorder="1" applyAlignment="1">
      <alignment horizontal="center" vertical="center"/>
    </xf>
    <xf numFmtId="164" fontId="0" fillId="0" borderId="59" xfId="0" applyNumberFormat="1" applyBorder="1" applyAlignment="1">
      <alignment horizontal="center" vertical="center"/>
    </xf>
    <xf numFmtId="164" fontId="0" fillId="0" borderId="4" xfId="0" applyNumberFormat="1" applyBorder="1" applyAlignment="1">
      <alignment horizontal="center" vertical="center"/>
    </xf>
    <xf numFmtId="164" fontId="3" fillId="0" borderId="1" xfId="0" applyNumberFormat="1" applyFont="1" applyBorder="1" applyAlignment="1">
      <alignment horizontal="center" vertical="center"/>
    </xf>
    <xf numFmtId="0" fontId="16" fillId="12" borderId="56" xfId="0" applyFont="1" applyFill="1" applyBorder="1" applyAlignment="1">
      <alignment horizontal="center" vertical="center"/>
    </xf>
    <xf numFmtId="0" fontId="16" fillId="12" borderId="34" xfId="0" applyFont="1" applyFill="1" applyBorder="1" applyAlignment="1">
      <alignment horizontal="center" vertical="center"/>
    </xf>
    <xf numFmtId="0" fontId="16" fillId="12" borderId="19" xfId="0" applyFont="1" applyFill="1" applyBorder="1" applyAlignment="1">
      <alignment horizontal="center" vertical="center"/>
    </xf>
    <xf numFmtId="1" fontId="0" fillId="0" borderId="3" xfId="0" applyNumberFormat="1" applyBorder="1" applyAlignment="1">
      <alignment horizontal="center" vertical="center"/>
    </xf>
    <xf numFmtId="1" fontId="0" fillId="0" borderId="4" xfId="0" applyNumberFormat="1"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15" fillId="12" borderId="56" xfId="0" applyFont="1" applyFill="1" applyBorder="1" applyAlignment="1">
      <alignment horizontal="center" vertical="center"/>
    </xf>
    <xf numFmtId="0" fontId="15" fillId="12" borderId="34" xfId="0" applyFont="1" applyFill="1" applyBorder="1" applyAlignment="1">
      <alignment horizontal="center" vertical="center"/>
    </xf>
    <xf numFmtId="0" fontId="15" fillId="12" borderId="19" xfId="0" applyFont="1" applyFill="1" applyBorder="1" applyAlignment="1">
      <alignment horizontal="center" vertical="center"/>
    </xf>
    <xf numFmtId="0" fontId="60" fillId="32" borderId="0" xfId="0" applyFont="1" applyFill="1" applyAlignment="1">
      <alignment horizontal="center" vertical="center"/>
    </xf>
    <xf numFmtId="0" fontId="66" fillId="33" borderId="73" xfId="0" applyFont="1" applyFill="1" applyBorder="1" applyAlignment="1">
      <alignment horizontal="left" vertical="center" wrapText="1"/>
    </xf>
    <xf numFmtId="0" fontId="62" fillId="32" borderId="0" xfId="0" applyFont="1" applyFill="1" applyAlignment="1">
      <alignment horizontal="center" vertical="center"/>
    </xf>
    <xf numFmtId="169" fontId="0" fillId="0" borderId="1" xfId="0" applyNumberFormat="1" applyBorder="1" applyAlignment="1">
      <alignment horizontal="center" vertical="center"/>
    </xf>
    <xf numFmtId="168" fontId="0" fillId="0" borderId="3" xfId="0" applyNumberFormat="1" applyBorder="1" applyAlignment="1">
      <alignment horizontal="center" vertical="center"/>
    </xf>
    <xf numFmtId="0" fontId="1" fillId="16" borderId="65" xfId="0" applyFont="1" applyFill="1" applyBorder="1" applyAlignment="1">
      <alignment horizontal="center" vertical="center"/>
    </xf>
    <xf numFmtId="0" fontId="1" fillId="16" borderId="66" xfId="0" applyFont="1" applyFill="1" applyBorder="1" applyAlignment="1">
      <alignment horizontal="center" vertical="center"/>
    </xf>
    <xf numFmtId="0" fontId="1" fillId="44" borderId="1" xfId="0" applyFont="1" applyFill="1" applyBorder="1" applyAlignment="1">
      <alignment horizontal="center" vertical="center"/>
    </xf>
    <xf numFmtId="0" fontId="1" fillId="44" borderId="56" xfId="0" applyFont="1" applyFill="1" applyBorder="1" applyAlignment="1">
      <alignment horizontal="center" vertical="center"/>
    </xf>
    <xf numFmtId="0" fontId="1" fillId="44" borderId="34" xfId="0" applyFont="1" applyFill="1" applyBorder="1" applyAlignment="1">
      <alignment horizontal="center" vertical="center"/>
    </xf>
    <xf numFmtId="0" fontId="1" fillId="44" borderId="19" xfId="0" applyFont="1" applyFill="1" applyBorder="1" applyAlignment="1">
      <alignment horizontal="center" vertical="center"/>
    </xf>
    <xf numFmtId="0" fontId="0" fillId="0" borderId="59" xfId="0" applyBorder="1" applyAlignment="1">
      <alignment horizontal="center" vertical="center"/>
    </xf>
    <xf numFmtId="0" fontId="16" fillId="9" borderId="1" xfId="0" applyFont="1" applyFill="1" applyBorder="1" applyAlignment="1">
      <alignment horizontal="center" vertical="center"/>
    </xf>
    <xf numFmtId="0" fontId="0" fillId="27" borderId="0" xfId="0" applyFill="1"/>
    <xf numFmtId="0" fontId="60" fillId="25" borderId="0" xfId="0" applyFont="1" applyFill="1"/>
    <xf numFmtId="0" fontId="61" fillId="0" borderId="0" xfId="0" applyFont="1"/>
    <xf numFmtId="0" fontId="62" fillId="26" borderId="0" xfId="0" applyFont="1" applyFill="1"/>
    <xf numFmtId="0" fontId="63" fillId="30" borderId="0" xfId="0" applyFont="1" applyFill="1"/>
    <xf numFmtId="0" fontId="0" fillId="30" borderId="0" xfId="0" applyFill="1"/>
    <xf numFmtId="0" fontId="8" fillId="9" borderId="1" xfId="0" applyFont="1" applyFill="1" applyBorder="1" applyAlignment="1">
      <alignment horizontal="center" vertical="center"/>
    </xf>
    <xf numFmtId="0" fontId="47" fillId="0" borderId="1" xfId="0" applyFont="1" applyBorder="1" applyAlignment="1">
      <alignment horizontal="center" vertical="center"/>
    </xf>
    <xf numFmtId="16" fontId="7" fillId="12" borderId="3" xfId="0" applyNumberFormat="1" applyFont="1" applyFill="1" applyBorder="1" applyAlignment="1">
      <alignment horizontal="center" vertical="center"/>
    </xf>
    <xf numFmtId="16" fontId="7" fillId="12" borderId="59" xfId="0" applyNumberFormat="1" applyFont="1" applyFill="1" applyBorder="1" applyAlignment="1">
      <alignment horizontal="center" vertical="center"/>
    </xf>
    <xf numFmtId="16" fontId="7" fillId="12" borderId="4" xfId="0" applyNumberFormat="1" applyFont="1" applyFill="1" applyBorder="1" applyAlignment="1">
      <alignment horizontal="center" vertical="center"/>
    </xf>
    <xf numFmtId="0" fontId="8" fillId="0" borderId="1" xfId="0" applyFont="1" applyBorder="1" applyAlignment="1">
      <alignment horizontal="center" vertical="center"/>
    </xf>
    <xf numFmtId="0" fontId="48" fillId="0" borderId="56" xfId="0" applyFont="1" applyBorder="1" applyAlignment="1">
      <alignment horizontal="center" vertical="center"/>
    </xf>
    <xf numFmtId="0" fontId="48" fillId="0" borderId="34" xfId="0" applyFont="1" applyBorder="1" applyAlignment="1">
      <alignment horizontal="center" vertical="center"/>
    </xf>
    <xf numFmtId="0" fontId="48" fillId="0" borderId="19" xfId="0" applyFont="1" applyBorder="1" applyAlignment="1">
      <alignment horizontal="center" vertical="center"/>
    </xf>
    <xf numFmtId="0" fontId="48" fillId="9" borderId="56" xfId="0" applyFont="1" applyFill="1" applyBorder="1" applyAlignment="1">
      <alignment horizontal="center" vertical="center"/>
    </xf>
    <xf numFmtId="0" fontId="48" fillId="9" borderId="34" xfId="0" applyFont="1" applyFill="1" applyBorder="1" applyAlignment="1">
      <alignment horizontal="center" vertical="center"/>
    </xf>
    <xf numFmtId="0" fontId="48" fillId="9" borderId="19" xfId="0" applyFont="1" applyFill="1" applyBorder="1" applyAlignment="1">
      <alignment horizontal="center" vertical="center"/>
    </xf>
    <xf numFmtId="0" fontId="16" fillId="3" borderId="56" xfId="0" applyFont="1" applyFill="1" applyBorder="1" applyAlignment="1">
      <alignment horizontal="center" vertical="center"/>
    </xf>
    <xf numFmtId="0" fontId="16" fillId="3" borderId="34" xfId="0" applyFont="1" applyFill="1" applyBorder="1" applyAlignment="1">
      <alignment horizontal="center" vertical="center"/>
    </xf>
    <xf numFmtId="0" fontId="16" fillId="3" borderId="19" xfId="0" applyFont="1" applyFill="1" applyBorder="1" applyAlignment="1">
      <alignment horizontal="center" vertical="center"/>
    </xf>
    <xf numFmtId="0" fontId="44" fillId="0" borderId="63" xfId="0" applyFont="1" applyBorder="1" applyAlignment="1">
      <alignment horizontal="left" vertical="center"/>
    </xf>
    <xf numFmtId="0" fontId="44" fillId="0" borderId="71" xfId="0" applyFont="1" applyBorder="1" applyAlignment="1">
      <alignment horizontal="left" vertical="center"/>
    </xf>
    <xf numFmtId="0" fontId="44" fillId="0" borderId="40" xfId="0" applyFont="1" applyBorder="1" applyAlignment="1">
      <alignment horizontal="left" vertical="center"/>
    </xf>
    <xf numFmtId="0" fontId="44" fillId="0" borderId="64" xfId="0" applyFont="1" applyBorder="1" applyAlignment="1">
      <alignment horizontal="left" vertical="center"/>
    </xf>
    <xf numFmtId="0" fontId="44" fillId="0" borderId="59" xfId="0" applyFont="1" applyBorder="1" applyAlignment="1">
      <alignment horizontal="left" vertical="center"/>
    </xf>
    <xf numFmtId="0" fontId="44" fillId="0" borderId="41" xfId="0" applyFont="1" applyBorder="1" applyAlignment="1">
      <alignment horizontal="left" vertical="center"/>
    </xf>
    <xf numFmtId="0" fontId="44" fillId="0" borderId="37" xfId="0" applyFont="1" applyBorder="1" applyAlignment="1">
      <alignment horizontal="center" vertical="center"/>
    </xf>
    <xf numFmtId="0" fontId="44" fillId="0" borderId="38" xfId="0" applyFont="1" applyBorder="1" applyAlignment="1">
      <alignment horizontal="center" vertical="center"/>
    </xf>
    <xf numFmtId="0" fontId="44" fillId="0" borderId="39" xfId="0" applyFont="1" applyBorder="1" applyAlignment="1">
      <alignment horizontal="center" vertical="center"/>
    </xf>
    <xf numFmtId="0" fontId="49" fillId="2" borderId="62" xfId="0" applyFont="1" applyFill="1" applyBorder="1" applyAlignment="1">
      <alignment horizontal="center" vertical="center"/>
    </xf>
    <xf numFmtId="0" fontId="49" fillId="2" borderId="72" xfId="0" applyFont="1" applyFill="1" applyBorder="1" applyAlignment="1">
      <alignment horizontal="center" vertical="center"/>
    </xf>
    <xf numFmtId="0" fontId="49" fillId="2" borderId="42" xfId="0" applyFont="1" applyFill="1" applyBorder="1" applyAlignment="1">
      <alignment horizontal="center" vertical="center"/>
    </xf>
    <xf numFmtId="0" fontId="49" fillId="0" borderId="43" xfId="0" applyFont="1" applyBorder="1" applyAlignment="1">
      <alignment horizontal="center"/>
    </xf>
    <xf numFmtId="0" fontId="49" fillId="0" borderId="44" xfId="0" applyFont="1" applyBorder="1" applyAlignment="1">
      <alignment horizontal="center"/>
    </xf>
    <xf numFmtId="0" fontId="49" fillId="0" borderId="45" xfId="0" applyFont="1" applyBorder="1" applyAlignment="1">
      <alignment horizontal="center"/>
    </xf>
    <xf numFmtId="3" fontId="0" fillId="0" borderId="1" xfId="0" applyNumberFormat="1" applyBorder="1" applyAlignment="1">
      <alignment horizontal="center" vertical="center"/>
    </xf>
    <xf numFmtId="3" fontId="0" fillId="0" borderId="56" xfId="0" applyNumberFormat="1" applyBorder="1" applyAlignment="1">
      <alignment horizontal="center" vertical="center"/>
    </xf>
    <xf numFmtId="168" fontId="0" fillId="0" borderId="56" xfId="0" applyNumberFormat="1" applyBorder="1" applyAlignment="1">
      <alignment horizontal="center" vertical="center"/>
    </xf>
    <xf numFmtId="3" fontId="0" fillId="0" borderId="3" xfId="0" applyNumberFormat="1" applyBorder="1" applyAlignment="1">
      <alignment horizontal="center" vertical="center"/>
    </xf>
    <xf numFmtId="3" fontId="0" fillId="0" borderId="4" xfId="0" applyNumberFormat="1" applyBorder="1" applyAlignment="1">
      <alignment horizontal="center" vertical="center"/>
    </xf>
    <xf numFmtId="168" fontId="0" fillId="0" borderId="75" xfId="0" applyNumberFormat="1" applyBorder="1" applyAlignment="1">
      <alignment horizontal="center" vertical="center"/>
    </xf>
    <xf numFmtId="164" fontId="1" fillId="9" borderId="3" xfId="0" applyNumberFormat="1" applyFont="1" applyFill="1" applyBorder="1" applyAlignment="1">
      <alignment horizontal="center" vertical="center"/>
    </xf>
    <xf numFmtId="164" fontId="1" fillId="9" borderId="4" xfId="0" applyNumberFormat="1" applyFont="1" applyFill="1" applyBorder="1" applyAlignment="1">
      <alignment horizontal="center" vertical="center"/>
    </xf>
    <xf numFmtId="0" fontId="9" fillId="0" borderId="3" xfId="0" applyFont="1" applyBorder="1" applyAlignment="1">
      <alignment horizontal="center" vertical="center" wrapText="1"/>
    </xf>
    <xf numFmtId="164" fontId="0" fillId="12" borderId="3" xfId="0" applyNumberFormat="1" applyFill="1" applyBorder="1" applyAlignment="1">
      <alignment horizontal="center" vertical="center"/>
    </xf>
    <xf numFmtId="164" fontId="0" fillId="12" borderId="59" xfId="0" applyNumberFormat="1" applyFill="1" applyBorder="1" applyAlignment="1">
      <alignment horizontal="center" vertical="center"/>
    </xf>
    <xf numFmtId="164" fontId="0" fillId="12" borderId="4" xfId="0" applyNumberFormat="1" applyFill="1" applyBorder="1" applyAlignment="1">
      <alignment horizontal="center" vertical="center"/>
    </xf>
    <xf numFmtId="169" fontId="0" fillId="0" borderId="3" xfId="0" applyNumberFormat="1" applyBorder="1" applyAlignment="1">
      <alignment horizontal="center" vertical="center"/>
    </xf>
    <xf numFmtId="169" fontId="0" fillId="0" borderId="4" xfId="0" applyNumberFormat="1" applyBorder="1" applyAlignment="1">
      <alignment horizontal="center" vertical="center"/>
    </xf>
    <xf numFmtId="164" fontId="4" fillId="0" borderId="19" xfId="0" applyNumberFormat="1" applyFont="1" applyBorder="1" applyAlignment="1">
      <alignment horizontal="center" vertical="center"/>
    </xf>
    <xf numFmtId="0" fontId="0" fillId="12" borderId="56" xfId="0" applyFill="1" applyBorder="1" applyAlignment="1">
      <alignment horizontal="center" vertical="center"/>
    </xf>
    <xf numFmtId="0" fontId="0" fillId="12" borderId="56" xfId="0" applyFill="1" applyBorder="1"/>
    <xf numFmtId="3" fontId="0" fillId="12" borderId="56" xfId="0" applyNumberFormat="1" applyFill="1" applyBorder="1" applyAlignment="1">
      <alignment horizontal="center" vertical="center"/>
    </xf>
    <xf numFmtId="164" fontId="4" fillId="12" borderId="19" xfId="0" applyNumberFormat="1" applyFont="1" applyFill="1" applyBorder="1" applyAlignment="1">
      <alignment horizontal="center" vertical="center"/>
    </xf>
    <xf numFmtId="0" fontId="82" fillId="46" borderId="56" xfId="0" applyFont="1" applyFill="1" applyBorder="1" applyAlignment="1">
      <alignment horizontal="center" vertical="center"/>
    </xf>
    <xf numFmtId="0" fontId="82" fillId="46" borderId="34" xfId="0" applyFont="1" applyFill="1" applyBorder="1" applyAlignment="1">
      <alignment horizontal="center" vertical="center"/>
    </xf>
    <xf numFmtId="0" fontId="82" fillId="46" borderId="1" xfId="0" applyFont="1" applyFill="1" applyBorder="1" applyAlignment="1">
      <alignment horizontal="center" vertical="center"/>
    </xf>
    <xf numFmtId="0" fontId="82" fillId="46" borderId="19" xfId="0" applyFont="1" applyFill="1" applyBorder="1" applyAlignment="1">
      <alignment horizontal="center" vertical="center"/>
    </xf>
    <xf numFmtId="0" fontId="0" fillId="12" borderId="75" xfId="0" applyFill="1" applyBorder="1"/>
    <xf numFmtId="0" fontId="120" fillId="46" borderId="56" xfId="0" applyFont="1" applyFill="1" applyBorder="1" applyAlignment="1">
      <alignment horizontal="center" vertical="center"/>
    </xf>
    <xf numFmtId="0" fontId="120" fillId="46" borderId="34" xfId="0" applyFont="1" applyFill="1" applyBorder="1" applyAlignment="1">
      <alignment horizontal="center" vertical="center"/>
    </xf>
    <xf numFmtId="0" fontId="120" fillId="46" borderId="19" xfId="0" applyFont="1" applyFill="1" applyBorder="1" applyAlignment="1">
      <alignment horizontal="center" vertical="center"/>
    </xf>
    <xf numFmtId="0" fontId="120" fillId="46" borderId="1" xfId="0" applyFont="1" applyFill="1" applyBorder="1" applyAlignment="1">
      <alignment horizontal="center" vertical="center"/>
    </xf>
    <xf numFmtId="0" fontId="118" fillId="46" borderId="1" xfId="0" applyFont="1" applyFill="1" applyBorder="1" applyAlignment="1">
      <alignment horizontal="center" vertical="center"/>
    </xf>
    <xf numFmtId="0" fontId="119" fillId="46" borderId="56" xfId="0" applyFont="1" applyFill="1" applyBorder="1" applyAlignment="1">
      <alignment horizontal="center" vertical="center"/>
    </xf>
    <xf numFmtId="0" fontId="119" fillId="46" borderId="34" xfId="0" applyFont="1" applyFill="1" applyBorder="1" applyAlignment="1">
      <alignment horizontal="center" vertical="center"/>
    </xf>
    <xf numFmtId="0" fontId="119" fillId="46" borderId="19" xfId="0" applyFont="1" applyFill="1" applyBorder="1" applyAlignment="1">
      <alignment horizontal="center" vertical="center"/>
    </xf>
    <xf numFmtId="0" fontId="1" fillId="16" borderId="77" xfId="0" applyFont="1" applyFill="1" applyBorder="1" applyAlignment="1">
      <alignment horizontal="center" vertical="center"/>
    </xf>
    <xf numFmtId="0" fontId="9" fillId="0" borderId="59" xfId="0" applyFont="1" applyBorder="1" applyAlignment="1">
      <alignment horizontal="center" vertical="center"/>
    </xf>
    <xf numFmtId="0" fontId="9" fillId="0" borderId="75" xfId="0" applyFont="1" applyBorder="1" applyAlignment="1">
      <alignment horizontal="center" vertical="center"/>
    </xf>
    <xf numFmtId="0" fontId="9" fillId="0" borderId="4" xfId="0" applyFont="1" applyBorder="1" applyAlignment="1">
      <alignment horizontal="center" vertical="center" wrapText="1"/>
    </xf>
    <xf numFmtId="16" fontId="82" fillId="13" borderId="3" xfId="0" applyNumberFormat="1" applyFont="1" applyFill="1" applyBorder="1" applyAlignment="1">
      <alignment horizontal="center" vertical="center"/>
    </xf>
    <xf numFmtId="16" fontId="82" fillId="13" borderId="59" xfId="0" applyNumberFormat="1" applyFont="1" applyFill="1" applyBorder="1" applyAlignment="1">
      <alignment horizontal="center" vertical="center"/>
    </xf>
    <xf numFmtId="16" fontId="82" fillId="13" borderId="4" xfId="0" applyNumberFormat="1" applyFont="1" applyFill="1" applyBorder="1" applyAlignment="1">
      <alignment horizontal="center" vertical="center"/>
    </xf>
    <xf numFmtId="16" fontId="82" fillId="45" borderId="3" xfId="0" applyNumberFormat="1" applyFont="1" applyFill="1" applyBorder="1" applyAlignment="1">
      <alignment horizontal="center" vertical="center"/>
    </xf>
    <xf numFmtId="16" fontId="82" fillId="45" borderId="59" xfId="0" applyNumberFormat="1" applyFont="1" applyFill="1" applyBorder="1" applyAlignment="1">
      <alignment horizontal="center" vertical="center"/>
    </xf>
    <xf numFmtId="16" fontId="82" fillId="45" borderId="4" xfId="0" applyNumberFormat="1" applyFont="1" applyFill="1" applyBorder="1" applyAlignment="1">
      <alignment horizontal="center" vertical="center"/>
    </xf>
    <xf numFmtId="0" fontId="16" fillId="44" borderId="1" xfId="0" applyFont="1" applyFill="1" applyBorder="1" applyAlignment="1">
      <alignment horizontal="center" vertical="center"/>
    </xf>
    <xf numFmtId="0" fontId="48" fillId="12" borderId="56" xfId="0" applyFont="1" applyFill="1" applyBorder="1" applyAlignment="1">
      <alignment horizontal="center" vertical="center"/>
    </xf>
    <xf numFmtId="0" fontId="48" fillId="12" borderId="34" xfId="0" applyFont="1" applyFill="1" applyBorder="1" applyAlignment="1">
      <alignment horizontal="center" vertical="center"/>
    </xf>
    <xf numFmtId="0" fontId="48" fillId="12" borderId="19" xfId="0" applyFont="1" applyFill="1" applyBorder="1" applyAlignment="1">
      <alignment horizontal="center" vertical="center"/>
    </xf>
    <xf numFmtId="16" fontId="82" fillId="3" borderId="3" xfId="0" applyNumberFormat="1" applyFont="1" applyFill="1" applyBorder="1" applyAlignment="1">
      <alignment horizontal="center" vertical="center"/>
    </xf>
    <xf numFmtId="16" fontId="82" fillId="3" borderId="59" xfId="0" applyNumberFormat="1" applyFont="1" applyFill="1" applyBorder="1" applyAlignment="1">
      <alignment horizontal="center" vertical="center"/>
    </xf>
    <xf numFmtId="16" fontId="82" fillId="3" borderId="4" xfId="0" applyNumberFormat="1" applyFont="1" applyFill="1" applyBorder="1" applyAlignment="1">
      <alignment horizontal="center" vertical="center"/>
    </xf>
    <xf numFmtId="16" fontId="83" fillId="4" borderId="3" xfId="0" applyNumberFormat="1" applyFont="1" applyFill="1" applyBorder="1" applyAlignment="1">
      <alignment horizontal="center" vertical="center"/>
    </xf>
    <xf numFmtId="16" fontId="83" fillId="4" borderId="59" xfId="0" applyNumberFormat="1" applyFont="1" applyFill="1" applyBorder="1" applyAlignment="1">
      <alignment horizontal="center" vertical="center"/>
    </xf>
    <xf numFmtId="16" fontId="83" fillId="4" borderId="4" xfId="0" applyNumberFormat="1" applyFont="1" applyFill="1" applyBorder="1" applyAlignment="1">
      <alignment horizontal="center" vertical="center"/>
    </xf>
    <xf numFmtId="164" fontId="84" fillId="0" borderId="3" xfId="0" applyNumberFormat="1" applyFont="1" applyBorder="1" applyAlignment="1">
      <alignment horizontal="center" vertical="center"/>
    </xf>
    <xf numFmtId="164" fontId="84" fillId="0" borderId="59" xfId="0" applyNumberFormat="1" applyFont="1" applyBorder="1" applyAlignment="1">
      <alignment horizontal="center" vertical="center"/>
    </xf>
    <xf numFmtId="164" fontId="84" fillId="0" borderId="4" xfId="0" applyNumberFormat="1" applyFont="1" applyBorder="1" applyAlignment="1">
      <alignment horizontal="center" vertical="center"/>
    </xf>
    <xf numFmtId="164" fontId="84" fillId="0" borderId="19" xfId="0" applyNumberFormat="1" applyFont="1" applyBorder="1" applyAlignment="1">
      <alignment horizontal="center" vertical="center"/>
    </xf>
    <xf numFmtId="168" fontId="84" fillId="0" borderId="56" xfId="0" applyNumberFormat="1" applyFont="1" applyBorder="1" applyAlignment="1">
      <alignment horizontal="center" vertical="center"/>
    </xf>
    <xf numFmtId="3" fontId="84" fillId="0" borderId="3" xfId="0" applyNumberFormat="1" applyFont="1" applyBorder="1" applyAlignment="1">
      <alignment horizontal="center" vertical="center"/>
    </xf>
    <xf numFmtId="3" fontId="84" fillId="0" borderId="4" xfId="0" applyNumberFormat="1" applyFont="1" applyBorder="1" applyAlignment="1">
      <alignment horizontal="center" vertical="center"/>
    </xf>
    <xf numFmtId="16" fontId="83" fillId="5" borderId="3" xfId="0" applyNumberFormat="1" applyFont="1" applyFill="1" applyBorder="1" applyAlignment="1">
      <alignment horizontal="center" vertical="center"/>
    </xf>
    <xf numFmtId="16" fontId="83" fillId="5" borderId="59" xfId="0" applyNumberFormat="1" applyFont="1" applyFill="1" applyBorder="1" applyAlignment="1">
      <alignment horizontal="center" vertical="center"/>
    </xf>
    <xf numFmtId="16" fontId="83" fillId="5" borderId="4" xfId="0" applyNumberFormat="1" applyFont="1" applyFill="1" applyBorder="1" applyAlignment="1">
      <alignment horizontal="center" vertical="center"/>
    </xf>
    <xf numFmtId="16" fontId="82" fillId="2" borderId="3" xfId="0" applyNumberFormat="1" applyFont="1" applyFill="1" applyBorder="1" applyAlignment="1">
      <alignment horizontal="center" vertical="center"/>
    </xf>
    <xf numFmtId="16" fontId="82" fillId="2" borderId="59" xfId="0" applyNumberFormat="1" applyFont="1" applyFill="1" applyBorder="1" applyAlignment="1">
      <alignment horizontal="center" vertical="center"/>
    </xf>
    <xf numFmtId="16" fontId="82" fillId="2" borderId="4" xfId="0" applyNumberFormat="1" applyFont="1" applyFill="1" applyBorder="1" applyAlignment="1">
      <alignment horizontal="center" vertical="center"/>
    </xf>
    <xf numFmtId="164" fontId="84" fillId="46" borderId="3" xfId="0" applyNumberFormat="1" applyFont="1" applyFill="1" applyBorder="1" applyAlignment="1">
      <alignment horizontal="center" vertical="center"/>
    </xf>
    <xf numFmtId="164" fontId="84" fillId="46" borderId="59" xfId="0" applyNumberFormat="1" applyFont="1" applyFill="1" applyBorder="1" applyAlignment="1">
      <alignment horizontal="center" vertical="center"/>
    </xf>
    <xf numFmtId="164" fontId="84" fillId="46" borderId="4" xfId="0" applyNumberFormat="1" applyFont="1" applyFill="1" applyBorder="1" applyAlignment="1">
      <alignment horizontal="center" vertical="center"/>
    </xf>
    <xf numFmtId="164" fontId="84" fillId="46" borderId="19" xfId="0" applyNumberFormat="1" applyFont="1" applyFill="1" applyBorder="1" applyAlignment="1">
      <alignment horizontal="center" vertical="center"/>
    </xf>
    <xf numFmtId="168" fontId="84" fillId="46" borderId="56" xfId="0" applyNumberFormat="1" applyFont="1" applyFill="1" applyBorder="1" applyAlignment="1">
      <alignment horizontal="center" vertical="center"/>
    </xf>
    <xf numFmtId="3" fontId="84" fillId="46" borderId="3" xfId="0" applyNumberFormat="1" applyFont="1" applyFill="1" applyBorder="1" applyAlignment="1">
      <alignment horizontal="center" vertical="center"/>
    </xf>
    <xf numFmtId="3" fontId="84" fillId="46" borderId="4" xfId="0" applyNumberFormat="1" applyFont="1" applyFill="1" applyBorder="1" applyAlignment="1">
      <alignment horizontal="center" vertical="center"/>
    </xf>
    <xf numFmtId="16" fontId="82" fillId="6" borderId="3" xfId="0" applyNumberFormat="1" applyFont="1" applyFill="1" applyBorder="1" applyAlignment="1">
      <alignment horizontal="center" vertical="center"/>
    </xf>
    <xf numFmtId="16" fontId="82" fillId="6" borderId="59" xfId="0" applyNumberFormat="1" applyFont="1" applyFill="1" applyBorder="1" applyAlignment="1">
      <alignment horizontal="center" vertical="center"/>
    </xf>
    <xf numFmtId="16" fontId="82" fillId="6" borderId="4" xfId="0" applyNumberFormat="1" applyFont="1" applyFill="1" applyBorder="1" applyAlignment="1">
      <alignment horizontal="center" vertical="center"/>
    </xf>
    <xf numFmtId="168" fontId="84" fillId="0" borderId="75" xfId="0" applyNumberFormat="1" applyFont="1" applyBorder="1" applyAlignment="1">
      <alignment horizontal="center" vertical="center"/>
    </xf>
    <xf numFmtId="16" fontId="82" fillId="12" borderId="3" xfId="0" applyNumberFormat="1" applyFont="1" applyFill="1" applyBorder="1" applyAlignment="1">
      <alignment horizontal="center" vertical="center"/>
    </xf>
    <xf numFmtId="16" fontId="82" fillId="12" borderId="59" xfId="0" applyNumberFormat="1" applyFont="1" applyFill="1" applyBorder="1" applyAlignment="1">
      <alignment horizontal="center" vertical="center"/>
    </xf>
    <xf numFmtId="16" fontId="82" fillId="12" borderId="4" xfId="0" applyNumberFormat="1" applyFont="1" applyFill="1" applyBorder="1" applyAlignment="1">
      <alignment horizontal="center" vertical="center"/>
    </xf>
    <xf numFmtId="168" fontId="84" fillId="46" borderId="75" xfId="0" applyNumberFormat="1" applyFont="1" applyFill="1" applyBorder="1" applyAlignment="1">
      <alignment horizontal="center" vertical="center"/>
    </xf>
    <xf numFmtId="16" fontId="82" fillId="46" borderId="3" xfId="0" applyNumberFormat="1" applyFont="1" applyFill="1" applyBorder="1" applyAlignment="1">
      <alignment horizontal="center" vertical="center"/>
    </xf>
    <xf numFmtId="16" fontId="82" fillId="46" borderId="59" xfId="0" applyNumberFormat="1" applyFont="1" applyFill="1" applyBorder="1" applyAlignment="1">
      <alignment horizontal="center" vertical="center"/>
    </xf>
    <xf numFmtId="16" fontId="82" fillId="46" borderId="4" xfId="0" applyNumberFormat="1" applyFont="1" applyFill="1" applyBorder="1" applyAlignment="1">
      <alignment horizontal="center" vertical="center"/>
    </xf>
    <xf numFmtId="164" fontId="84" fillId="46" borderId="1" xfId="0" applyNumberFormat="1" applyFont="1" applyFill="1" applyBorder="1" applyAlignment="1">
      <alignment horizontal="center" vertical="center"/>
    </xf>
    <xf numFmtId="3" fontId="84" fillId="46" borderId="1" xfId="0" applyNumberFormat="1" applyFont="1" applyFill="1" applyBorder="1" applyAlignment="1">
      <alignment horizontal="center" vertical="center"/>
    </xf>
    <xf numFmtId="0" fontId="1" fillId="47" borderId="13" xfId="0" applyFont="1" applyFill="1" applyBorder="1" applyAlignment="1">
      <alignment horizontal="center" vertical="center"/>
    </xf>
    <xf numFmtId="0" fontId="1" fillId="47" borderId="28" xfId="0" applyFont="1" applyFill="1" applyBorder="1" applyAlignment="1">
      <alignment horizontal="center" vertical="center"/>
    </xf>
    <xf numFmtId="0" fontId="59" fillId="0" borderId="0" xfId="2" applyFont="1" applyAlignment="1">
      <alignment horizontal="center" vertical="center"/>
    </xf>
    <xf numFmtId="0" fontId="62" fillId="38" borderId="73" xfId="0" applyFont="1" applyFill="1" applyBorder="1" applyAlignment="1">
      <alignment horizontal="center" vertical="center"/>
    </xf>
  </cellXfs>
  <cellStyles count="3">
    <cellStyle name="Normal" xfId="0" builtinId="0"/>
    <cellStyle name="Normal 2" xfId="2" xr:uid="{496320FA-841C-4DB9-88CA-8A6C9DEBF046}"/>
    <cellStyle name="Percent" xfId="1" builtinId="5"/>
  </cellStyles>
  <dxfs count="886">
    <dxf>
      <font>
        <color rgb="FF375623"/>
      </font>
      <fill>
        <patternFill patternType="solid">
          <fgColor indexed="64"/>
          <bgColor rgb="FFE2EFDA"/>
        </patternFill>
      </fill>
    </dxf>
    <dxf>
      <font>
        <b/>
        <i val="0"/>
        <color rgb="FFBF8F00"/>
      </font>
      <fill>
        <patternFill patternType="solid">
          <fgColor indexed="64"/>
          <bgColor rgb="FFFFF2CC"/>
        </patternFill>
      </fill>
    </dxf>
    <dxf>
      <font>
        <b/>
        <i val="0"/>
        <color rgb="FFCC0000"/>
      </font>
      <fill>
        <patternFill patternType="solid">
          <fgColor indexed="64"/>
          <bgColor rgb="FFFFCCCC"/>
        </patternFill>
      </fill>
    </dxf>
    <dxf>
      <font>
        <color rgb="FF375623"/>
      </font>
      <fill>
        <patternFill patternType="solid">
          <fgColor indexed="64"/>
          <bgColor rgb="FFE2EFDA"/>
        </patternFill>
      </fill>
    </dxf>
    <dxf>
      <font>
        <b/>
        <i val="0"/>
        <color rgb="FFBF8F00"/>
      </font>
      <fill>
        <patternFill patternType="solid">
          <fgColor indexed="64"/>
          <bgColor rgb="FFFFF2CC"/>
        </patternFill>
      </fill>
    </dxf>
    <dxf>
      <font>
        <b/>
        <i val="0"/>
        <color rgb="FFCC0000"/>
      </font>
      <fill>
        <patternFill patternType="solid">
          <fgColor indexed="64"/>
          <bgColor rgb="FFFFCCCC"/>
        </patternFill>
      </fill>
    </dxf>
    <dxf>
      <font>
        <color rgb="FF375623"/>
      </font>
      <fill>
        <patternFill patternType="solid">
          <fgColor indexed="64"/>
          <bgColor rgb="FFE2EFDA"/>
        </patternFill>
      </fill>
    </dxf>
    <dxf>
      <font>
        <b/>
        <i val="0"/>
        <color rgb="FFBF8F00"/>
      </font>
      <fill>
        <patternFill patternType="solid">
          <fgColor indexed="64"/>
          <bgColor rgb="FFFFF2CC"/>
        </patternFill>
      </fill>
    </dxf>
    <dxf>
      <font>
        <b/>
        <i val="0"/>
        <color rgb="FFCC0000"/>
      </font>
      <fill>
        <patternFill patternType="solid">
          <fgColor indexed="64"/>
          <bgColor rgb="FFFFCCCC"/>
        </patternFill>
      </fill>
    </dxf>
    <dxf>
      <font>
        <b/>
        <i val="0"/>
        <color rgb="FFCC0000"/>
      </font>
      <fill>
        <patternFill patternType="solid">
          <fgColor indexed="64"/>
          <bgColor rgb="FFFFCCCC"/>
        </patternFill>
      </fill>
    </dxf>
    <dxf>
      <font>
        <b/>
        <i val="0"/>
        <color theme="0"/>
      </font>
      <fill>
        <patternFill>
          <bgColor rgb="FFFF0000"/>
        </patternFill>
      </fill>
    </dxf>
    <dxf>
      <font>
        <b/>
        <i val="0"/>
      </font>
      <fill>
        <patternFill>
          <bgColor theme="9" tint="-0.24994659260841701"/>
        </patternFill>
      </fill>
    </dxf>
    <dxf>
      <font>
        <b/>
        <i val="0"/>
      </font>
      <fill>
        <patternFill>
          <bgColor rgb="FFFFC000"/>
        </patternFill>
      </fill>
    </dxf>
    <dxf>
      <font>
        <b/>
        <i val="0"/>
      </font>
      <fill>
        <patternFill>
          <bgColor rgb="FFFFFF00"/>
        </patternFill>
      </fill>
    </dxf>
    <dxf>
      <font>
        <b/>
        <i val="0"/>
      </font>
      <fill>
        <patternFill>
          <bgColor rgb="FF92D050"/>
        </patternFill>
      </fill>
    </dxf>
    <dxf>
      <font>
        <b/>
        <i val="0"/>
      </font>
      <fill>
        <patternFill>
          <bgColor rgb="FF00B050"/>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border>
        <left style="thin">
          <color auto="1"/>
        </left>
        <right style="thin">
          <color auto="1"/>
        </right>
        <top style="thin">
          <color auto="1"/>
        </top>
        <bottom style="thin">
          <color auto="1"/>
        </bottom>
        <vertical/>
        <horizontal/>
      </border>
    </dxf>
    <dxf>
      <font>
        <color rgb="FF006100"/>
      </font>
      <fill>
        <patternFill>
          <bgColor rgb="FFC6EFCE"/>
        </patternFill>
      </fill>
    </dxf>
    <dxf>
      <font>
        <color rgb="FF9C0006"/>
      </font>
      <fill>
        <patternFill>
          <bgColor rgb="FFFFC7CE"/>
        </patternFill>
      </fill>
    </dxf>
    <dxf>
      <font>
        <b/>
        <i val="0"/>
        <color auto="1"/>
      </font>
    </dxf>
    <dxf>
      <font>
        <b/>
        <i val="0"/>
        <color rgb="FFFF0000"/>
      </font>
      <fill>
        <patternFill patternType="none">
          <bgColor auto="1"/>
        </patternFill>
      </fill>
    </dxf>
    <dxf>
      <font>
        <b/>
        <i val="0"/>
        <color rgb="FF008000"/>
      </font>
      <fill>
        <patternFill patternType="none">
          <bgColor auto="1"/>
        </patternFill>
      </fill>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006100"/>
      </font>
      <fill>
        <patternFill>
          <bgColor rgb="FFC6EFCE"/>
        </patternFill>
      </fill>
    </dxf>
    <dxf>
      <font>
        <color rgb="FF9C0006"/>
      </font>
      <fill>
        <patternFill>
          <bgColor rgb="FFFFC7CE"/>
        </patternFill>
      </fill>
    </dxf>
    <dxf>
      <font>
        <b/>
        <i val="0"/>
        <color auto="1"/>
      </font>
    </dxf>
    <dxf>
      <font>
        <b/>
        <i val="0"/>
        <color rgb="FFFF0000"/>
      </font>
      <fill>
        <patternFill patternType="none">
          <bgColor auto="1"/>
        </patternFill>
      </fill>
    </dxf>
    <dxf>
      <font>
        <b/>
        <i val="0"/>
        <color rgb="FF008000"/>
      </font>
      <fill>
        <patternFill patternType="none">
          <bgColor auto="1"/>
        </patternFill>
      </fill>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006100"/>
      </font>
      <fill>
        <patternFill>
          <bgColor rgb="FFC6EFCE"/>
        </patternFill>
      </fill>
    </dxf>
    <dxf>
      <font>
        <color rgb="FF9C0006"/>
      </font>
      <fill>
        <patternFill>
          <bgColor rgb="FFFFC7CE"/>
        </patternFill>
      </fill>
    </dxf>
    <dxf>
      <font>
        <b/>
        <i val="0"/>
        <color rgb="FF008000"/>
      </font>
      <fill>
        <patternFill patternType="none">
          <bgColor auto="1"/>
        </patternFill>
      </fill>
    </dxf>
    <dxf>
      <font>
        <b/>
        <i val="0"/>
        <color auto="1"/>
      </font>
    </dxf>
    <dxf>
      <font>
        <b/>
        <i val="0"/>
        <color rgb="FFFF0000"/>
      </font>
      <fill>
        <patternFill patternType="none">
          <bgColor auto="1"/>
        </patternFill>
      </fill>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C0006"/>
      </font>
      <fill>
        <patternFill>
          <bgColor rgb="FFFFC7CE"/>
        </patternFill>
      </fill>
    </dxf>
    <dxf>
      <font>
        <color rgb="FF006100"/>
      </font>
      <fill>
        <patternFill>
          <bgColor rgb="FFC6EFCE"/>
        </patternFill>
      </fill>
    </dxf>
    <dxf>
      <font>
        <b/>
        <i val="0"/>
        <color rgb="FFFF0000"/>
      </font>
      <fill>
        <patternFill patternType="none">
          <bgColor auto="1"/>
        </patternFill>
      </fill>
    </dxf>
    <dxf>
      <font>
        <b/>
        <i val="0"/>
        <color auto="1"/>
      </font>
    </dxf>
    <dxf>
      <font>
        <b/>
        <i val="0"/>
        <color rgb="FF008000"/>
      </font>
      <fill>
        <patternFill patternType="none">
          <bgColor auto="1"/>
        </patternFill>
      </fill>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C0006"/>
      </font>
      <fill>
        <patternFill>
          <bgColor rgb="FFFFC7CE"/>
        </patternFill>
      </fill>
    </dxf>
    <dxf>
      <font>
        <color rgb="FF006100"/>
      </font>
      <fill>
        <patternFill>
          <bgColor rgb="FFC6EFCE"/>
        </patternFill>
      </fill>
    </dxf>
    <dxf>
      <font>
        <b/>
        <i val="0"/>
        <color rgb="FFFF0000"/>
      </font>
      <fill>
        <patternFill patternType="none">
          <bgColor auto="1"/>
        </patternFill>
      </fill>
    </dxf>
    <dxf>
      <font>
        <b/>
        <i val="0"/>
        <color rgb="FF008000"/>
      </font>
      <fill>
        <patternFill patternType="none">
          <bgColor auto="1"/>
        </patternFill>
      </fill>
    </dxf>
    <dxf>
      <font>
        <b/>
        <i val="0"/>
        <color auto="1"/>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C0006"/>
      </font>
      <fill>
        <patternFill>
          <bgColor rgb="FFFFC7CE"/>
        </patternFill>
      </fill>
    </dxf>
    <dxf>
      <font>
        <color rgb="FF006100"/>
      </font>
      <fill>
        <patternFill>
          <bgColor rgb="FFC6EFCE"/>
        </patternFill>
      </fill>
    </dxf>
    <dxf>
      <font>
        <b/>
        <i val="0"/>
        <color rgb="FFFF0000"/>
      </font>
      <fill>
        <patternFill patternType="none">
          <bgColor auto="1"/>
        </patternFill>
      </fill>
    </dxf>
    <dxf>
      <font>
        <b/>
        <i val="0"/>
        <color rgb="FF008000"/>
      </font>
      <fill>
        <patternFill patternType="none">
          <bgColor auto="1"/>
        </patternFill>
      </fill>
    </dxf>
    <dxf>
      <font>
        <b/>
        <i val="0"/>
        <color auto="1"/>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C0006"/>
      </font>
      <fill>
        <patternFill>
          <bgColor rgb="FFFFC7CE"/>
        </patternFill>
      </fill>
    </dxf>
    <dxf>
      <font>
        <color rgb="FF006100"/>
      </font>
      <fill>
        <patternFill>
          <bgColor rgb="FFC6EFCE"/>
        </patternFill>
      </fill>
    </dxf>
    <dxf>
      <font>
        <b/>
        <i val="0"/>
        <color auto="1"/>
      </font>
    </dxf>
    <dxf>
      <font>
        <b/>
        <i val="0"/>
        <color rgb="FFFF0000"/>
      </font>
      <fill>
        <patternFill patternType="none">
          <bgColor auto="1"/>
        </patternFill>
      </fill>
    </dxf>
    <dxf>
      <font>
        <b/>
        <i val="0"/>
        <color rgb="FF008000"/>
      </font>
      <fill>
        <patternFill patternType="none">
          <bgColor auto="1"/>
        </patternFill>
      </fill>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006100"/>
      </font>
      <fill>
        <patternFill>
          <bgColor rgb="FFC6EFCE"/>
        </patternFill>
      </fill>
    </dxf>
    <dxf>
      <font>
        <color rgb="FF9C0006"/>
      </font>
      <fill>
        <patternFill>
          <bgColor rgb="FFFFC7CE"/>
        </patternFill>
      </fill>
    </dxf>
    <dxf>
      <font>
        <b/>
        <i val="0"/>
        <color auto="1"/>
      </font>
    </dxf>
    <dxf>
      <font>
        <b/>
        <i val="0"/>
        <color rgb="FFFF0000"/>
      </font>
      <fill>
        <patternFill patternType="none">
          <bgColor auto="1"/>
        </patternFill>
      </fill>
    </dxf>
    <dxf>
      <font>
        <b/>
        <i val="0"/>
        <color rgb="FF008000"/>
      </font>
      <fill>
        <patternFill patternType="none">
          <bgColor auto="1"/>
        </patternFill>
      </fill>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C0006"/>
      </font>
      <fill>
        <patternFill>
          <bgColor rgb="FFFFC7CE"/>
        </patternFill>
      </fill>
    </dxf>
    <dxf>
      <font>
        <color rgb="FF006100"/>
      </font>
      <fill>
        <patternFill>
          <bgColor rgb="FFC6EFCE"/>
        </patternFill>
      </fill>
    </dxf>
    <dxf>
      <font>
        <b/>
        <i val="0"/>
        <color rgb="FFFF0000"/>
      </font>
      <fill>
        <patternFill patternType="none">
          <bgColor auto="1"/>
        </patternFill>
      </fill>
    </dxf>
    <dxf>
      <font>
        <b/>
        <i val="0"/>
        <color auto="1"/>
      </font>
    </dxf>
    <dxf>
      <font>
        <b/>
        <i val="0"/>
        <color rgb="FF008000"/>
      </font>
      <fill>
        <patternFill patternType="none">
          <bgColor auto="1"/>
        </patternFill>
      </fill>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C0006"/>
      </font>
      <fill>
        <patternFill>
          <bgColor rgb="FFFFC7CE"/>
        </patternFill>
      </fill>
    </dxf>
    <dxf>
      <font>
        <color rgb="FF006100"/>
      </font>
      <fill>
        <patternFill>
          <bgColor rgb="FFC6EFCE"/>
        </patternFill>
      </fill>
    </dxf>
    <dxf>
      <font>
        <b/>
        <i val="0"/>
        <color rgb="FFFF0000"/>
      </font>
      <fill>
        <patternFill patternType="none">
          <bgColor auto="1"/>
        </patternFill>
      </fill>
    </dxf>
    <dxf>
      <font>
        <b/>
        <i val="0"/>
        <color rgb="FF008000"/>
      </font>
      <fill>
        <patternFill patternType="none">
          <bgColor auto="1"/>
        </patternFill>
      </fill>
    </dxf>
    <dxf>
      <font>
        <b/>
        <i val="0"/>
        <color auto="1"/>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b/>
        <i val="0"/>
        <color rgb="FFFF0000"/>
      </font>
      <fill>
        <patternFill patternType="none">
          <bgColor auto="1"/>
        </patternFill>
      </fill>
    </dxf>
    <dxf>
      <font>
        <b/>
        <i val="0"/>
        <color rgb="FF008000"/>
      </font>
      <fill>
        <patternFill patternType="none">
          <bgColor auto="1"/>
        </patternFill>
      </fill>
    </dxf>
    <dxf>
      <font>
        <b/>
        <i val="0"/>
        <color auto="1"/>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b/>
        <i val="0"/>
        <color auto="1"/>
      </font>
    </dxf>
    <dxf>
      <font>
        <b/>
        <i val="0"/>
        <color rgb="FFFF0000"/>
      </font>
      <fill>
        <patternFill patternType="none">
          <bgColor auto="1"/>
        </patternFill>
      </fill>
    </dxf>
    <dxf>
      <font>
        <b/>
        <i val="0"/>
        <color rgb="FF008000"/>
      </font>
      <fill>
        <patternFill patternType="none">
          <bgColor auto="1"/>
        </patternFill>
      </fill>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006100"/>
      </font>
      <fill>
        <patternFill>
          <bgColor rgb="FFC6EFCE"/>
        </patternFill>
      </fill>
    </dxf>
    <dxf>
      <font>
        <color rgb="FF9C0006"/>
      </font>
      <fill>
        <patternFill>
          <bgColor rgb="FFFFC7CE"/>
        </patternFill>
      </fill>
    </dxf>
    <dxf>
      <font>
        <b/>
        <i val="0"/>
        <color rgb="FFFF0000"/>
      </font>
      <fill>
        <patternFill patternType="none">
          <bgColor auto="1"/>
        </patternFill>
      </fill>
    </dxf>
    <dxf>
      <font>
        <b/>
        <i val="0"/>
        <color rgb="FF008000"/>
      </font>
      <fill>
        <patternFill patternType="none">
          <bgColor auto="1"/>
        </patternFill>
      </fill>
    </dxf>
    <dxf>
      <font>
        <b/>
        <i val="0"/>
        <color auto="1"/>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border>
        <left style="thin">
          <color auto="1"/>
        </left>
        <right style="thin">
          <color auto="1"/>
        </right>
        <top style="thin">
          <color auto="1"/>
        </top>
        <bottom style="thin">
          <color auto="1"/>
        </bottom>
        <vertical/>
        <horizontal/>
      </border>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C0006"/>
      </font>
      <fill>
        <patternFill>
          <bgColor rgb="FFFFC7CE"/>
        </patternFill>
      </fill>
    </dxf>
    <dxf>
      <font>
        <color rgb="FF006100"/>
      </font>
      <fill>
        <patternFill>
          <bgColor rgb="FFC6EFCE"/>
        </patternFill>
      </fill>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C0006"/>
      </font>
      <fill>
        <patternFill>
          <bgColor rgb="FFFFC7CE"/>
        </patternFill>
      </fill>
    </dxf>
    <dxf>
      <font>
        <color rgb="FF006100"/>
      </font>
      <fill>
        <patternFill>
          <bgColor rgb="FFC6EFCE"/>
        </patternFill>
      </fill>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99999"/>
      </font>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March 2025 Weight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th-TH"/>
        </a:p>
      </c:txPr>
    </c:title>
    <c:autoTitleDeleted val="0"/>
    <c:plotArea>
      <c:layout/>
      <c:lineChart>
        <c:grouping val="standard"/>
        <c:varyColors val="0"/>
        <c:ser>
          <c:idx val="0"/>
          <c:order val="0"/>
          <c:tx>
            <c:strRef>
              <c:f>'Training Program 2.0'!$BJ$99</c:f>
              <c:strCache>
                <c:ptCount val="1"/>
                <c:pt idx="0">
                  <c:v>Weight</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th-TH"/>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val>
            <c:numRef>
              <c:f>'Training Program 2.0'!$BJ$100:$BJ$130</c:f>
              <c:numCache>
                <c:formatCode>0.0</c:formatCode>
                <c:ptCount val="31"/>
                <c:pt idx="0">
                  <c:v>92</c:v>
                </c:pt>
                <c:pt idx="1">
                  <c:v>90.8</c:v>
                </c:pt>
                <c:pt idx="2">
                  <c:v>90.8</c:v>
                </c:pt>
                <c:pt idx="3">
                  <c:v>91.4</c:v>
                </c:pt>
                <c:pt idx="4">
                  <c:v>91.4</c:v>
                </c:pt>
                <c:pt idx="5">
                  <c:v>91.6</c:v>
                </c:pt>
                <c:pt idx="6">
                  <c:v>91.9</c:v>
                </c:pt>
                <c:pt idx="7">
                  <c:v>89.9</c:v>
                </c:pt>
                <c:pt idx="8">
                  <c:v>89.8</c:v>
                </c:pt>
                <c:pt idx="9">
                  <c:v>90.3</c:v>
                </c:pt>
                <c:pt idx="10">
                  <c:v>89.9</c:v>
                </c:pt>
                <c:pt idx="11">
                  <c:v>90.1</c:v>
                </c:pt>
                <c:pt idx="12">
                  <c:v>90.7</c:v>
                </c:pt>
                <c:pt idx="13">
                  <c:v>90.7</c:v>
                </c:pt>
                <c:pt idx="14">
                  <c:v>90</c:v>
                </c:pt>
                <c:pt idx="15">
                  <c:v>90.3</c:v>
                </c:pt>
                <c:pt idx="16">
                  <c:v>89.5</c:v>
                </c:pt>
                <c:pt idx="17">
                  <c:v>89.5</c:v>
                </c:pt>
                <c:pt idx="18">
                  <c:v>89.5</c:v>
                </c:pt>
                <c:pt idx="19">
                  <c:v>89.5</c:v>
                </c:pt>
                <c:pt idx="20">
                  <c:v>89.5</c:v>
                </c:pt>
                <c:pt idx="21">
                  <c:v>88.3</c:v>
                </c:pt>
                <c:pt idx="22">
                  <c:v>89.2</c:v>
                </c:pt>
                <c:pt idx="23">
                  <c:v>89</c:v>
                </c:pt>
                <c:pt idx="24">
                  <c:v>88.5</c:v>
                </c:pt>
                <c:pt idx="25">
                  <c:v>88.5</c:v>
                </c:pt>
                <c:pt idx="26">
                  <c:v>89.2</c:v>
                </c:pt>
                <c:pt idx="27">
                  <c:v>88.9</c:v>
                </c:pt>
                <c:pt idx="28">
                  <c:v>87.6</c:v>
                </c:pt>
                <c:pt idx="29">
                  <c:v>87.6</c:v>
                </c:pt>
                <c:pt idx="30">
                  <c:v>87.9</c:v>
                </c:pt>
              </c:numCache>
            </c:numRef>
          </c:val>
          <c:smooth val="0"/>
          <c:extLst>
            <c:ext xmlns:c16="http://schemas.microsoft.com/office/drawing/2014/chart" uri="{C3380CC4-5D6E-409C-BE32-E72D297353CC}">
              <c16:uniqueId val="{00000000-161E-482B-A258-C9076C5B0536}"/>
            </c:ext>
          </c:extLst>
        </c:ser>
        <c:dLbls>
          <c:dLblPos val="t"/>
          <c:showLegendKey val="0"/>
          <c:showVal val="1"/>
          <c:showCatName val="0"/>
          <c:showSerName val="0"/>
          <c:showPercent val="0"/>
          <c:showBubbleSize val="0"/>
        </c:dLbls>
        <c:marker val="1"/>
        <c:smooth val="0"/>
        <c:axId val="933139088"/>
        <c:axId val="933122288"/>
        <c:extLst>
          <c:ext xmlns:c15="http://schemas.microsoft.com/office/drawing/2012/chart" uri="{02D57815-91ED-43cb-92C2-25804820EDAC}">
            <c15:filteredLineSeries>
              <c15:ser>
                <c:idx val="1"/>
                <c:order val="1"/>
                <c:tx>
                  <c:strRef>
                    <c:extLst>
                      <c:ext uri="{02D57815-91ED-43cb-92C2-25804820EDAC}">
                        <c15:formulaRef>
                          <c15:sqref>'Training Program 2.0'!$BK$99</c15:sqref>
                        </c15:formulaRef>
                      </c:ext>
                    </c:extLst>
                    <c:strCache>
                      <c:ptCount val="1"/>
                      <c:pt idx="0">
                        <c:v>Date</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th-TH"/>
                    </a:p>
                  </c:txPr>
                  <c:dLblPos val="t"/>
                  <c:showLegendKey val="0"/>
                  <c:showVal val="1"/>
                  <c:showCatName val="0"/>
                  <c:showSerName val="0"/>
                  <c:showPercent val="0"/>
                  <c:showBubbleSize val="0"/>
                  <c:showLeaderLines val="0"/>
                  <c:extLst>
                    <c:ext uri="{CE6537A1-D6FC-4f65-9D91-7224C49458BB}">
                      <c15:showLeaderLines val="1"/>
                      <c15:leaderLines>
                        <c:spPr>
                          <a:ln w="9525">
                            <a:solidFill>
                              <a:schemeClr val="dk1">
                                <a:lumMod val="50000"/>
                                <a:lumOff val="50000"/>
                              </a:schemeClr>
                            </a:solidFill>
                          </a:ln>
                          <a:effectLst/>
                        </c:spPr>
                      </c15:leaderLines>
                    </c:ext>
                  </c:extLst>
                </c:dLbls>
                <c:val>
                  <c:numRef>
                    <c:extLst>
                      <c:ext uri="{02D57815-91ED-43cb-92C2-25804820EDAC}">
                        <c15:formulaRef>
                          <c15:sqref>'Training Program 2.0'!$BK$100:$BK$130</c15:sqref>
                        </c15:formulaRef>
                      </c:ext>
                    </c:extLst>
                    <c:numCache>
                      <c:formatCode>[$-409]d/mmm;@</c:formatCode>
                      <c:ptCount val="31"/>
                      <c:pt idx="0">
                        <c:v>45717</c:v>
                      </c:pt>
                      <c:pt idx="1">
                        <c:v>45718</c:v>
                      </c:pt>
                      <c:pt idx="2">
                        <c:v>45719</c:v>
                      </c:pt>
                      <c:pt idx="3">
                        <c:v>45720</c:v>
                      </c:pt>
                      <c:pt idx="4">
                        <c:v>45721</c:v>
                      </c:pt>
                      <c:pt idx="5">
                        <c:v>45722</c:v>
                      </c:pt>
                      <c:pt idx="6">
                        <c:v>45723</c:v>
                      </c:pt>
                      <c:pt idx="7">
                        <c:v>45724</c:v>
                      </c:pt>
                      <c:pt idx="8">
                        <c:v>45725</c:v>
                      </c:pt>
                      <c:pt idx="9">
                        <c:v>45726</c:v>
                      </c:pt>
                      <c:pt idx="10">
                        <c:v>45727</c:v>
                      </c:pt>
                      <c:pt idx="11">
                        <c:v>45728</c:v>
                      </c:pt>
                      <c:pt idx="12">
                        <c:v>45729</c:v>
                      </c:pt>
                      <c:pt idx="13">
                        <c:v>45730</c:v>
                      </c:pt>
                      <c:pt idx="14">
                        <c:v>45731</c:v>
                      </c:pt>
                      <c:pt idx="15">
                        <c:v>45732</c:v>
                      </c:pt>
                      <c:pt idx="16">
                        <c:v>45733</c:v>
                      </c:pt>
                      <c:pt idx="17">
                        <c:v>45734</c:v>
                      </c:pt>
                      <c:pt idx="18">
                        <c:v>45735</c:v>
                      </c:pt>
                      <c:pt idx="19">
                        <c:v>45736</c:v>
                      </c:pt>
                      <c:pt idx="20">
                        <c:v>45737</c:v>
                      </c:pt>
                      <c:pt idx="21">
                        <c:v>45738</c:v>
                      </c:pt>
                      <c:pt idx="22">
                        <c:v>45739</c:v>
                      </c:pt>
                      <c:pt idx="23">
                        <c:v>45740</c:v>
                      </c:pt>
                      <c:pt idx="24">
                        <c:v>45741</c:v>
                      </c:pt>
                      <c:pt idx="25">
                        <c:v>45742</c:v>
                      </c:pt>
                      <c:pt idx="26">
                        <c:v>45743</c:v>
                      </c:pt>
                      <c:pt idx="27">
                        <c:v>45744</c:v>
                      </c:pt>
                      <c:pt idx="28">
                        <c:v>45745</c:v>
                      </c:pt>
                      <c:pt idx="29">
                        <c:v>45746</c:v>
                      </c:pt>
                      <c:pt idx="30">
                        <c:v>45747</c:v>
                      </c:pt>
                    </c:numCache>
                  </c:numRef>
                </c:val>
                <c:smooth val="0"/>
                <c:extLst>
                  <c:ext xmlns:c16="http://schemas.microsoft.com/office/drawing/2014/chart" uri="{C3380CC4-5D6E-409C-BE32-E72D297353CC}">
                    <c16:uniqueId val="{00000001-161E-482B-A258-C9076C5B0536}"/>
                  </c:ext>
                </c:extLst>
              </c15:ser>
            </c15:filteredLineSeries>
          </c:ext>
        </c:extLst>
      </c:lineChart>
      <c:catAx>
        <c:axId val="933139088"/>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th-TH"/>
          </a:p>
        </c:txPr>
        <c:crossAx val="933122288"/>
        <c:crosses val="autoZero"/>
        <c:auto val="1"/>
        <c:lblAlgn val="ctr"/>
        <c:lblOffset val="100"/>
        <c:noMultiLvlLbl val="0"/>
      </c:catAx>
      <c:valAx>
        <c:axId val="933122288"/>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th-TH"/>
          </a:p>
        </c:txPr>
        <c:crossAx val="933139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65000"/>
      </a:schemeClr>
    </a:solidFill>
    <a:ln w="9525" cap="flat" cmpd="sng" algn="ctr">
      <a:solidFill>
        <a:schemeClr val="dk1">
          <a:lumMod val="25000"/>
          <a:lumOff val="75000"/>
        </a:schemeClr>
      </a:solidFill>
      <a:round/>
    </a:ln>
    <a:effectLst/>
  </c:spPr>
  <c:txPr>
    <a:bodyPr/>
    <a:lstStyle/>
    <a:p>
      <a:pPr>
        <a:defRPr/>
      </a:pPr>
      <a:endParaRPr lang="th-TH"/>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February 2025 Weight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th-TH"/>
        </a:p>
      </c:txPr>
    </c:title>
    <c:autoTitleDeleted val="0"/>
    <c:plotArea>
      <c:layout/>
      <c:lineChart>
        <c:grouping val="standard"/>
        <c:varyColors val="0"/>
        <c:ser>
          <c:idx val="0"/>
          <c:order val="0"/>
          <c:tx>
            <c:strRef>
              <c:f>'Training Program 2.0'!$AQ$90</c:f>
              <c:strCache>
                <c:ptCount val="1"/>
                <c:pt idx="0">
                  <c:v>Weight</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th-TH"/>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trendline>
            <c:spPr>
              <a:ln w="19050" cap="rnd">
                <a:solidFill>
                  <a:schemeClr val="accent1"/>
                </a:solidFill>
              </a:ln>
              <a:effectLst/>
            </c:spPr>
            <c:trendlineType val="linear"/>
            <c:dispRSqr val="0"/>
            <c:dispEq val="0"/>
          </c:trendline>
          <c:val>
            <c:numRef>
              <c:f>'Training Program 2.0'!$AQ$91:$AQ$118</c:f>
              <c:numCache>
                <c:formatCode>0.0</c:formatCode>
                <c:ptCount val="28"/>
                <c:pt idx="0">
                  <c:v>94.6</c:v>
                </c:pt>
                <c:pt idx="1">
                  <c:v>94.6</c:v>
                </c:pt>
                <c:pt idx="2">
                  <c:v>94.2</c:v>
                </c:pt>
                <c:pt idx="3">
                  <c:v>94.2</c:v>
                </c:pt>
                <c:pt idx="4">
                  <c:v>94.2</c:v>
                </c:pt>
                <c:pt idx="5">
                  <c:v>93.9</c:v>
                </c:pt>
                <c:pt idx="6">
                  <c:v>94</c:v>
                </c:pt>
                <c:pt idx="7">
                  <c:v>94</c:v>
                </c:pt>
                <c:pt idx="8">
                  <c:v>92.3</c:v>
                </c:pt>
                <c:pt idx="9">
                  <c:v>92.3</c:v>
                </c:pt>
                <c:pt idx="10">
                  <c:v>93.2</c:v>
                </c:pt>
                <c:pt idx="11">
                  <c:v>92.7</c:v>
                </c:pt>
                <c:pt idx="12">
                  <c:v>92.7</c:v>
                </c:pt>
                <c:pt idx="13">
                  <c:v>92.7</c:v>
                </c:pt>
                <c:pt idx="14">
                  <c:v>92.7</c:v>
                </c:pt>
                <c:pt idx="15">
                  <c:v>91.9</c:v>
                </c:pt>
                <c:pt idx="16">
                  <c:v>92.6</c:v>
                </c:pt>
                <c:pt idx="17">
                  <c:v>92.8</c:v>
                </c:pt>
                <c:pt idx="18">
                  <c:v>92.8</c:v>
                </c:pt>
                <c:pt idx="19">
                  <c:v>92.8</c:v>
                </c:pt>
                <c:pt idx="20">
                  <c:v>93.5</c:v>
                </c:pt>
                <c:pt idx="21">
                  <c:v>93.5</c:v>
                </c:pt>
                <c:pt idx="22">
                  <c:v>91.9</c:v>
                </c:pt>
                <c:pt idx="23">
                  <c:v>93</c:v>
                </c:pt>
                <c:pt idx="24">
                  <c:v>93</c:v>
                </c:pt>
                <c:pt idx="25">
                  <c:v>93</c:v>
                </c:pt>
                <c:pt idx="26">
                  <c:v>92.2</c:v>
                </c:pt>
                <c:pt idx="27">
                  <c:v>92</c:v>
                </c:pt>
              </c:numCache>
            </c:numRef>
          </c:val>
          <c:smooth val="0"/>
          <c:extLst>
            <c:ext xmlns:c16="http://schemas.microsoft.com/office/drawing/2014/chart" uri="{C3380CC4-5D6E-409C-BE32-E72D297353CC}">
              <c16:uniqueId val="{00000000-168E-41D4-8F9C-419A325F7593}"/>
            </c:ext>
          </c:extLst>
        </c:ser>
        <c:dLbls>
          <c:dLblPos val="ctr"/>
          <c:showLegendKey val="0"/>
          <c:showVal val="1"/>
          <c:showCatName val="0"/>
          <c:showSerName val="0"/>
          <c:showPercent val="0"/>
          <c:showBubbleSize val="0"/>
        </c:dLbls>
        <c:marker val="1"/>
        <c:smooth val="0"/>
        <c:axId val="1108088384"/>
        <c:axId val="1108079744"/>
        <c:extLst>
          <c:ext xmlns:c15="http://schemas.microsoft.com/office/drawing/2012/chart" uri="{02D57815-91ED-43cb-92C2-25804820EDAC}">
            <c15:filteredLineSeries>
              <c15:ser>
                <c:idx val="1"/>
                <c:order val="1"/>
                <c:tx>
                  <c:strRef>
                    <c:extLst>
                      <c:ext uri="{02D57815-91ED-43cb-92C2-25804820EDAC}">
                        <c15:formulaRef>
                          <c15:sqref>'Training Program 2.0'!$AR$90</c15:sqref>
                        </c15:formulaRef>
                      </c:ext>
                    </c:extLst>
                    <c:strCache>
                      <c:ptCount val="1"/>
                      <c:pt idx="0">
                        <c:v>Date</c:v>
                      </c:pt>
                    </c:strCache>
                  </c:strRef>
                </c:tx>
                <c:spPr>
                  <a:ln w="31750"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th-TH"/>
                    </a:p>
                  </c:txPr>
                  <c:dLblPos val="ctr"/>
                  <c:showLegendKey val="0"/>
                  <c:showVal val="1"/>
                  <c:showCatName val="0"/>
                  <c:showSerName val="0"/>
                  <c:showPercent val="0"/>
                  <c:showBubbleSize val="0"/>
                  <c:showLeaderLines val="0"/>
                  <c:extLst>
                    <c:ext uri="{CE6537A1-D6FC-4f65-9D91-7224C49458BB}">
                      <c15:showLeaderLines val="1"/>
                      <c15:leaderLines>
                        <c:spPr>
                          <a:ln w="9525">
                            <a:solidFill>
                              <a:schemeClr val="dk1">
                                <a:lumMod val="50000"/>
                                <a:lumOff val="50000"/>
                              </a:schemeClr>
                            </a:solidFill>
                          </a:ln>
                          <a:effectLst/>
                        </c:spPr>
                      </c15:leaderLines>
                    </c:ext>
                  </c:extLst>
                </c:dLbls>
                <c:val>
                  <c:numRef>
                    <c:extLst>
                      <c:ext uri="{02D57815-91ED-43cb-92C2-25804820EDAC}">
                        <c15:formulaRef>
                          <c15:sqref>'Training Program 2.0'!$AR$91:$AR$118</c15:sqref>
                        </c15:formulaRef>
                      </c:ext>
                    </c:extLst>
                    <c:numCache>
                      <c:formatCode>[$-409]d/mmm;@</c:formatCode>
                      <c:ptCount val="28"/>
                      <c:pt idx="0">
                        <c:v>45689</c:v>
                      </c:pt>
                      <c:pt idx="1">
                        <c:v>45690</c:v>
                      </c:pt>
                      <c:pt idx="2">
                        <c:v>45691</c:v>
                      </c:pt>
                      <c:pt idx="3">
                        <c:v>45692</c:v>
                      </c:pt>
                      <c:pt idx="4">
                        <c:v>45693</c:v>
                      </c:pt>
                      <c:pt idx="5">
                        <c:v>45694</c:v>
                      </c:pt>
                      <c:pt idx="6">
                        <c:v>45695</c:v>
                      </c:pt>
                      <c:pt idx="7">
                        <c:v>45696</c:v>
                      </c:pt>
                      <c:pt idx="8">
                        <c:v>45697</c:v>
                      </c:pt>
                      <c:pt idx="9">
                        <c:v>45698</c:v>
                      </c:pt>
                      <c:pt idx="10">
                        <c:v>45699</c:v>
                      </c:pt>
                      <c:pt idx="11">
                        <c:v>45700</c:v>
                      </c:pt>
                      <c:pt idx="12">
                        <c:v>45701</c:v>
                      </c:pt>
                      <c:pt idx="13">
                        <c:v>45702</c:v>
                      </c:pt>
                      <c:pt idx="14">
                        <c:v>45703</c:v>
                      </c:pt>
                      <c:pt idx="15">
                        <c:v>45704</c:v>
                      </c:pt>
                      <c:pt idx="16">
                        <c:v>45705</c:v>
                      </c:pt>
                      <c:pt idx="17">
                        <c:v>45706</c:v>
                      </c:pt>
                      <c:pt idx="18">
                        <c:v>45707</c:v>
                      </c:pt>
                      <c:pt idx="19">
                        <c:v>45708</c:v>
                      </c:pt>
                      <c:pt idx="20">
                        <c:v>45709</c:v>
                      </c:pt>
                      <c:pt idx="21">
                        <c:v>45710</c:v>
                      </c:pt>
                      <c:pt idx="22">
                        <c:v>45711</c:v>
                      </c:pt>
                      <c:pt idx="23">
                        <c:v>45712</c:v>
                      </c:pt>
                      <c:pt idx="24">
                        <c:v>45713</c:v>
                      </c:pt>
                      <c:pt idx="25">
                        <c:v>45714</c:v>
                      </c:pt>
                      <c:pt idx="26">
                        <c:v>45715</c:v>
                      </c:pt>
                      <c:pt idx="27">
                        <c:v>45716</c:v>
                      </c:pt>
                    </c:numCache>
                  </c:numRef>
                </c:val>
                <c:smooth val="0"/>
                <c:extLst>
                  <c:ext xmlns:c16="http://schemas.microsoft.com/office/drawing/2014/chart" uri="{C3380CC4-5D6E-409C-BE32-E72D297353CC}">
                    <c16:uniqueId val="{00000001-168E-41D4-8F9C-419A325F7593}"/>
                  </c:ext>
                </c:extLst>
              </c15:ser>
            </c15:filteredLineSeries>
          </c:ext>
        </c:extLst>
      </c:lineChart>
      <c:catAx>
        <c:axId val="1108088384"/>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th-TH"/>
          </a:p>
        </c:txPr>
        <c:crossAx val="1108079744"/>
        <c:crosses val="autoZero"/>
        <c:auto val="1"/>
        <c:lblAlgn val="ctr"/>
        <c:lblOffset val="100"/>
        <c:noMultiLvlLbl val="0"/>
      </c:catAx>
      <c:valAx>
        <c:axId val="1108079744"/>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th-TH"/>
          </a:p>
        </c:txPr>
        <c:crossAx val="1108088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th-TH"/>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January 2025 Weight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th-TH"/>
        </a:p>
      </c:txPr>
    </c:title>
    <c:autoTitleDeleted val="0"/>
    <c:plotArea>
      <c:layout/>
      <c:lineChart>
        <c:grouping val="standard"/>
        <c:varyColors val="0"/>
        <c:ser>
          <c:idx val="0"/>
          <c:order val="0"/>
          <c:tx>
            <c:strRef>
              <c:f>'Training Program 2.0'!$X$39</c:f>
              <c:strCache>
                <c:ptCount val="1"/>
                <c:pt idx="0">
                  <c:v>Weight</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th-TH"/>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val>
            <c:numRef>
              <c:f>'Training Program 2.0'!$X$40:$X$50</c:f>
              <c:numCache>
                <c:formatCode>0.0</c:formatCode>
                <c:ptCount val="11"/>
                <c:pt idx="0">
                  <c:v>95.4</c:v>
                </c:pt>
                <c:pt idx="1">
                  <c:v>95.4</c:v>
                </c:pt>
                <c:pt idx="2">
                  <c:v>95.4</c:v>
                </c:pt>
                <c:pt idx="3">
                  <c:v>94.4</c:v>
                </c:pt>
                <c:pt idx="4">
                  <c:v>94.4</c:v>
                </c:pt>
                <c:pt idx="5">
                  <c:v>93.3</c:v>
                </c:pt>
                <c:pt idx="6">
                  <c:v>94.4</c:v>
                </c:pt>
                <c:pt idx="7">
                  <c:v>94.3</c:v>
                </c:pt>
                <c:pt idx="8">
                  <c:v>94.3</c:v>
                </c:pt>
                <c:pt idx="9">
                  <c:v>94.5</c:v>
                </c:pt>
                <c:pt idx="10">
                  <c:v>94.6</c:v>
                </c:pt>
              </c:numCache>
            </c:numRef>
          </c:val>
          <c:smooth val="0"/>
          <c:extLst>
            <c:ext xmlns:c16="http://schemas.microsoft.com/office/drawing/2014/chart" uri="{C3380CC4-5D6E-409C-BE32-E72D297353CC}">
              <c16:uniqueId val="{00000000-A0F6-4A99-AAC1-8A1E34C8BBF9}"/>
            </c:ext>
          </c:extLst>
        </c:ser>
        <c:dLbls>
          <c:dLblPos val="ctr"/>
          <c:showLegendKey val="0"/>
          <c:showVal val="1"/>
          <c:showCatName val="0"/>
          <c:showSerName val="0"/>
          <c:showPercent val="0"/>
          <c:showBubbleSize val="0"/>
        </c:dLbls>
        <c:marker val="1"/>
        <c:smooth val="0"/>
        <c:axId val="1108073024"/>
        <c:axId val="1108094624"/>
        <c:extLst>
          <c:ext xmlns:c15="http://schemas.microsoft.com/office/drawing/2012/chart" uri="{02D57815-91ED-43cb-92C2-25804820EDAC}">
            <c15:filteredLineSeries>
              <c15:ser>
                <c:idx val="1"/>
                <c:order val="1"/>
                <c:tx>
                  <c:strRef>
                    <c:extLst>
                      <c:ext uri="{02D57815-91ED-43cb-92C2-25804820EDAC}">
                        <c15:formulaRef>
                          <c15:sqref>'Training Program 2.0'!$Y$39</c15:sqref>
                        </c15:formulaRef>
                      </c:ext>
                    </c:extLst>
                    <c:strCache>
                      <c:ptCount val="1"/>
                      <c:pt idx="0">
                        <c:v>Date</c:v>
                      </c:pt>
                    </c:strCache>
                  </c:strRef>
                </c:tx>
                <c:spPr>
                  <a:ln w="31750"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th-TH"/>
                    </a:p>
                  </c:txPr>
                  <c:dLblPos val="ctr"/>
                  <c:showLegendKey val="0"/>
                  <c:showVal val="1"/>
                  <c:showCatName val="0"/>
                  <c:showSerName val="0"/>
                  <c:showPercent val="0"/>
                  <c:showBubbleSize val="0"/>
                  <c:showLeaderLines val="0"/>
                  <c:extLst>
                    <c:ext uri="{CE6537A1-D6FC-4f65-9D91-7224C49458BB}">
                      <c15:showLeaderLines val="1"/>
                      <c15:leaderLines>
                        <c:spPr>
                          <a:ln w="9525">
                            <a:solidFill>
                              <a:schemeClr val="dk1">
                                <a:lumMod val="50000"/>
                                <a:lumOff val="50000"/>
                              </a:schemeClr>
                            </a:solidFill>
                          </a:ln>
                          <a:effectLst/>
                        </c:spPr>
                      </c15:leaderLines>
                    </c:ext>
                  </c:extLst>
                </c:dLbls>
                <c:val>
                  <c:numRef>
                    <c:extLst>
                      <c:ext uri="{02D57815-91ED-43cb-92C2-25804820EDAC}">
                        <c15:formulaRef>
                          <c15:sqref>'Training Program 2.0'!$Y$40:$Y$50</c15:sqref>
                        </c15:formulaRef>
                      </c:ext>
                    </c:extLst>
                    <c:numCache>
                      <c:formatCode>[$-409]d/mmm;@</c:formatCode>
                      <c:ptCount val="11"/>
                      <c:pt idx="0">
                        <c:v>45678</c:v>
                      </c:pt>
                      <c:pt idx="1">
                        <c:v>45679</c:v>
                      </c:pt>
                      <c:pt idx="2">
                        <c:v>45680</c:v>
                      </c:pt>
                      <c:pt idx="3">
                        <c:v>45681</c:v>
                      </c:pt>
                      <c:pt idx="4">
                        <c:v>45682</c:v>
                      </c:pt>
                      <c:pt idx="5">
                        <c:v>45683</c:v>
                      </c:pt>
                      <c:pt idx="6">
                        <c:v>45684</c:v>
                      </c:pt>
                      <c:pt idx="7">
                        <c:v>45685</c:v>
                      </c:pt>
                      <c:pt idx="8">
                        <c:v>45686</c:v>
                      </c:pt>
                      <c:pt idx="9">
                        <c:v>45687</c:v>
                      </c:pt>
                      <c:pt idx="10">
                        <c:v>45688</c:v>
                      </c:pt>
                    </c:numCache>
                  </c:numRef>
                </c:val>
                <c:smooth val="0"/>
                <c:extLst>
                  <c:ext xmlns:c16="http://schemas.microsoft.com/office/drawing/2014/chart" uri="{C3380CC4-5D6E-409C-BE32-E72D297353CC}">
                    <c16:uniqueId val="{00000001-A0F6-4A99-AAC1-8A1E34C8BBF9}"/>
                  </c:ext>
                </c:extLst>
              </c15:ser>
            </c15:filteredLineSeries>
          </c:ext>
        </c:extLst>
      </c:lineChart>
      <c:catAx>
        <c:axId val="1108073024"/>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th-TH"/>
          </a:p>
        </c:txPr>
        <c:crossAx val="1108094624"/>
        <c:crosses val="autoZero"/>
        <c:auto val="1"/>
        <c:lblAlgn val="ctr"/>
        <c:lblOffset val="100"/>
        <c:noMultiLvlLbl val="0"/>
      </c:catAx>
      <c:valAx>
        <c:axId val="1108094624"/>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th-TH"/>
          </a:p>
        </c:txPr>
        <c:crossAx val="1108073024"/>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th-TH"/>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April 2025 Weight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th-TH"/>
        </a:p>
      </c:txPr>
    </c:title>
    <c:autoTitleDeleted val="0"/>
    <c:plotArea>
      <c:layout/>
      <c:lineChart>
        <c:grouping val="standard"/>
        <c:varyColors val="0"/>
        <c:ser>
          <c:idx val="0"/>
          <c:order val="0"/>
          <c:tx>
            <c:strRef>
              <c:f>'Training Program 2.0'!$CC$99</c:f>
              <c:strCache>
                <c:ptCount val="1"/>
                <c:pt idx="0">
                  <c:v>Weight</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th-TH"/>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trendline>
            <c:spPr>
              <a:ln w="19050" cap="rnd">
                <a:solidFill>
                  <a:schemeClr val="accent1"/>
                </a:solidFill>
              </a:ln>
              <a:effectLst/>
            </c:spPr>
            <c:trendlineType val="linear"/>
            <c:dispRSqr val="0"/>
            <c:dispEq val="0"/>
          </c:trendline>
          <c:val>
            <c:numRef>
              <c:f>'Training Program 2.0'!$CC$100:$CC$130</c:f>
              <c:numCache>
                <c:formatCode>0.0</c:formatCode>
                <c:ptCount val="31"/>
                <c:pt idx="0">
                  <c:v>88.5</c:v>
                </c:pt>
                <c:pt idx="1">
                  <c:v>88</c:v>
                </c:pt>
                <c:pt idx="2">
                  <c:v>87.5</c:v>
                </c:pt>
                <c:pt idx="3">
                  <c:v>87.5</c:v>
                </c:pt>
                <c:pt idx="4">
                  <c:v>87.7</c:v>
                </c:pt>
                <c:pt idx="5">
                  <c:v>88.4</c:v>
                </c:pt>
                <c:pt idx="6">
                  <c:v>88.4</c:v>
                </c:pt>
                <c:pt idx="7">
                  <c:v>87.8</c:v>
                </c:pt>
                <c:pt idx="8">
                  <c:v>87.8</c:v>
                </c:pt>
                <c:pt idx="9">
                  <c:v>87.8</c:v>
                </c:pt>
                <c:pt idx="10">
                  <c:v>87.7</c:v>
                </c:pt>
                <c:pt idx="11">
                  <c:v>87.7</c:v>
                </c:pt>
                <c:pt idx="12">
                  <c:v>86.9</c:v>
                </c:pt>
                <c:pt idx="13">
                  <c:v>86.3</c:v>
                </c:pt>
                <c:pt idx="14">
                  <c:v>86.3</c:v>
                </c:pt>
                <c:pt idx="15">
                  <c:v>86.5</c:v>
                </c:pt>
                <c:pt idx="16">
                  <c:v>87.3</c:v>
                </c:pt>
                <c:pt idx="17">
                  <c:v>86.6</c:v>
                </c:pt>
                <c:pt idx="18">
                  <c:v>85.5</c:v>
                </c:pt>
                <c:pt idx="19">
                  <c:v>85.5</c:v>
                </c:pt>
                <c:pt idx="20">
                  <c:v>85.3</c:v>
                </c:pt>
                <c:pt idx="21">
                  <c:v>85.2</c:v>
                </c:pt>
                <c:pt idx="22">
                  <c:v>85.2</c:v>
                </c:pt>
                <c:pt idx="23">
                  <c:v>86</c:v>
                </c:pt>
                <c:pt idx="24">
                  <c:v>86</c:v>
                </c:pt>
                <c:pt idx="25">
                  <c:v>84.3</c:v>
                </c:pt>
                <c:pt idx="26">
                  <c:v>84.9</c:v>
                </c:pt>
                <c:pt idx="27">
                  <c:v>85.3</c:v>
                </c:pt>
                <c:pt idx="28">
                  <c:v>85.7</c:v>
                </c:pt>
                <c:pt idx="29">
                  <c:v>85.7</c:v>
                </c:pt>
              </c:numCache>
            </c:numRef>
          </c:val>
          <c:smooth val="0"/>
          <c:extLst>
            <c:ext xmlns:c16="http://schemas.microsoft.com/office/drawing/2014/chart" uri="{C3380CC4-5D6E-409C-BE32-E72D297353CC}">
              <c16:uniqueId val="{00000000-9DE1-4477-AEC4-AAF7E8837629}"/>
            </c:ext>
          </c:extLst>
        </c:ser>
        <c:dLbls>
          <c:dLblPos val="t"/>
          <c:showLegendKey val="0"/>
          <c:showVal val="1"/>
          <c:showCatName val="0"/>
          <c:showSerName val="0"/>
          <c:showPercent val="0"/>
          <c:showBubbleSize val="0"/>
        </c:dLbls>
        <c:marker val="1"/>
        <c:smooth val="0"/>
        <c:axId val="933139088"/>
        <c:axId val="933122288"/>
        <c:extLst>
          <c:ext xmlns:c15="http://schemas.microsoft.com/office/drawing/2012/chart" uri="{02D57815-91ED-43cb-92C2-25804820EDAC}">
            <c15:filteredLineSeries>
              <c15:ser>
                <c:idx val="1"/>
                <c:order val="1"/>
                <c:tx>
                  <c:strRef>
                    <c:extLst>
                      <c:ext uri="{02D57815-91ED-43cb-92C2-25804820EDAC}">
                        <c15:formulaRef>
                          <c15:sqref>'Training Program 2.0'!$CD$99</c15:sqref>
                        </c15:formulaRef>
                      </c:ext>
                    </c:extLst>
                    <c:strCache>
                      <c:ptCount val="1"/>
                      <c:pt idx="0">
                        <c:v>Date</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th-TH"/>
                    </a:p>
                  </c:txPr>
                  <c:dLblPos val="t"/>
                  <c:showLegendKey val="0"/>
                  <c:showVal val="1"/>
                  <c:showCatName val="0"/>
                  <c:showSerName val="0"/>
                  <c:showPercent val="0"/>
                  <c:showBubbleSize val="0"/>
                  <c:showLeaderLines val="0"/>
                  <c:extLst>
                    <c:ext uri="{CE6537A1-D6FC-4f65-9D91-7224C49458BB}">
                      <c15:showLeaderLines val="1"/>
                      <c15:leaderLines>
                        <c:spPr>
                          <a:ln w="9525">
                            <a:solidFill>
                              <a:schemeClr val="dk1">
                                <a:lumMod val="50000"/>
                                <a:lumOff val="50000"/>
                              </a:schemeClr>
                            </a:solidFill>
                          </a:ln>
                          <a:effectLst/>
                        </c:spPr>
                      </c15:leaderLines>
                    </c:ext>
                  </c:extLst>
                </c:dLbls>
                <c:val>
                  <c:numRef>
                    <c:extLst>
                      <c:ext uri="{02D57815-91ED-43cb-92C2-25804820EDAC}">
                        <c15:formulaRef>
                          <c15:sqref>'Training Program 2.0'!$CD$100:$CD$130</c15:sqref>
                        </c15:formulaRef>
                      </c:ext>
                    </c:extLst>
                    <c:numCache>
                      <c:formatCode>[$-409]d/mmm;@</c:formatCode>
                      <c:ptCount val="31"/>
                      <c:pt idx="0">
                        <c:v>45748</c:v>
                      </c:pt>
                      <c:pt idx="1">
                        <c:v>45749</c:v>
                      </c:pt>
                      <c:pt idx="2">
                        <c:v>45750</c:v>
                      </c:pt>
                      <c:pt idx="3">
                        <c:v>45751</c:v>
                      </c:pt>
                      <c:pt idx="4">
                        <c:v>45752</c:v>
                      </c:pt>
                      <c:pt idx="5">
                        <c:v>45753</c:v>
                      </c:pt>
                      <c:pt idx="6">
                        <c:v>45754</c:v>
                      </c:pt>
                      <c:pt idx="7">
                        <c:v>45755</c:v>
                      </c:pt>
                      <c:pt idx="8">
                        <c:v>45756</c:v>
                      </c:pt>
                      <c:pt idx="9">
                        <c:v>45757</c:v>
                      </c:pt>
                      <c:pt idx="10">
                        <c:v>45758</c:v>
                      </c:pt>
                      <c:pt idx="11">
                        <c:v>45759</c:v>
                      </c:pt>
                      <c:pt idx="12">
                        <c:v>45760</c:v>
                      </c:pt>
                      <c:pt idx="13">
                        <c:v>45761</c:v>
                      </c:pt>
                      <c:pt idx="14">
                        <c:v>45762</c:v>
                      </c:pt>
                      <c:pt idx="15">
                        <c:v>45763</c:v>
                      </c:pt>
                      <c:pt idx="16">
                        <c:v>45764</c:v>
                      </c:pt>
                      <c:pt idx="17">
                        <c:v>45765</c:v>
                      </c:pt>
                      <c:pt idx="18">
                        <c:v>45766</c:v>
                      </c:pt>
                      <c:pt idx="19">
                        <c:v>45767</c:v>
                      </c:pt>
                      <c:pt idx="20">
                        <c:v>45768</c:v>
                      </c:pt>
                      <c:pt idx="21">
                        <c:v>45769</c:v>
                      </c:pt>
                      <c:pt idx="22">
                        <c:v>45770</c:v>
                      </c:pt>
                      <c:pt idx="23">
                        <c:v>45771</c:v>
                      </c:pt>
                      <c:pt idx="24">
                        <c:v>45772</c:v>
                      </c:pt>
                      <c:pt idx="25">
                        <c:v>45773</c:v>
                      </c:pt>
                      <c:pt idx="26">
                        <c:v>45774</c:v>
                      </c:pt>
                      <c:pt idx="27">
                        <c:v>45775</c:v>
                      </c:pt>
                      <c:pt idx="28">
                        <c:v>45776</c:v>
                      </c:pt>
                      <c:pt idx="29">
                        <c:v>45777</c:v>
                      </c:pt>
                      <c:pt idx="30">
                        <c:v>0</c:v>
                      </c:pt>
                    </c:numCache>
                  </c:numRef>
                </c:val>
                <c:smooth val="0"/>
                <c:extLst>
                  <c:ext xmlns:c16="http://schemas.microsoft.com/office/drawing/2014/chart" uri="{C3380CC4-5D6E-409C-BE32-E72D297353CC}">
                    <c16:uniqueId val="{00000001-9DE1-4477-AEC4-AAF7E8837629}"/>
                  </c:ext>
                </c:extLst>
              </c15:ser>
            </c15:filteredLineSeries>
          </c:ext>
        </c:extLst>
      </c:lineChart>
      <c:catAx>
        <c:axId val="933139088"/>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th-TH"/>
          </a:p>
        </c:txPr>
        <c:crossAx val="933122288"/>
        <c:crosses val="autoZero"/>
        <c:auto val="1"/>
        <c:lblAlgn val="ctr"/>
        <c:lblOffset val="100"/>
        <c:noMultiLvlLbl val="0"/>
      </c:catAx>
      <c:valAx>
        <c:axId val="933122288"/>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th-TH"/>
          </a:p>
        </c:txPr>
        <c:crossAx val="933139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65000"/>
      </a:schemeClr>
    </a:solidFill>
    <a:ln w="9525" cap="flat" cmpd="sng" algn="ctr">
      <a:solidFill>
        <a:schemeClr val="dk1">
          <a:lumMod val="25000"/>
          <a:lumOff val="75000"/>
        </a:schemeClr>
      </a:solidFill>
      <a:round/>
    </a:ln>
    <a:effectLst/>
  </c:spPr>
  <c:txPr>
    <a:bodyPr/>
    <a:lstStyle/>
    <a:p>
      <a:pPr>
        <a:defRPr/>
      </a:pPr>
      <a:endParaRPr lang="th-TH"/>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May 2025 Weight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th-TH"/>
        </a:p>
      </c:txPr>
    </c:title>
    <c:autoTitleDeleted val="0"/>
    <c:plotArea>
      <c:layout/>
      <c:lineChart>
        <c:grouping val="standard"/>
        <c:varyColors val="0"/>
        <c:ser>
          <c:idx val="0"/>
          <c:order val="0"/>
          <c:tx>
            <c:strRef>
              <c:f>'Training Program 2.0'!$CV$99</c:f>
              <c:strCache>
                <c:ptCount val="1"/>
                <c:pt idx="0">
                  <c:v>Weight</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th-TH"/>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trendline>
            <c:spPr>
              <a:ln w="19050" cap="rnd">
                <a:solidFill>
                  <a:schemeClr val="accent1"/>
                </a:solidFill>
              </a:ln>
              <a:effectLst/>
            </c:spPr>
            <c:trendlineType val="linear"/>
            <c:dispRSqr val="0"/>
            <c:dispEq val="0"/>
          </c:trendline>
          <c:val>
            <c:numRef>
              <c:f>'Training Program 2.0'!$CV$100:$CV$130</c:f>
              <c:numCache>
                <c:formatCode>0.0</c:formatCode>
                <c:ptCount val="31"/>
                <c:pt idx="0">
                  <c:v>85.7</c:v>
                </c:pt>
                <c:pt idx="1">
                  <c:v>85.5</c:v>
                </c:pt>
                <c:pt idx="2">
                  <c:v>85.8</c:v>
                </c:pt>
                <c:pt idx="3">
                  <c:v>85.7</c:v>
                </c:pt>
                <c:pt idx="4">
                  <c:v>85.7</c:v>
                </c:pt>
                <c:pt idx="5">
                  <c:v>85.6</c:v>
                </c:pt>
                <c:pt idx="6">
                  <c:v>85.5</c:v>
                </c:pt>
                <c:pt idx="7">
                  <c:v>85.5</c:v>
                </c:pt>
                <c:pt idx="8">
                  <c:v>85.5</c:v>
                </c:pt>
                <c:pt idx="9">
                  <c:v>84.8</c:v>
                </c:pt>
                <c:pt idx="10">
                  <c:v>85.1</c:v>
                </c:pt>
                <c:pt idx="11">
                  <c:v>84.1</c:v>
                </c:pt>
                <c:pt idx="12">
                  <c:v>84.1</c:v>
                </c:pt>
                <c:pt idx="13">
                  <c:v>84.1</c:v>
                </c:pt>
                <c:pt idx="14">
                  <c:v>85.2</c:v>
                </c:pt>
                <c:pt idx="15">
                  <c:v>85.2</c:v>
                </c:pt>
                <c:pt idx="16">
                  <c:v>85.2</c:v>
                </c:pt>
                <c:pt idx="17">
                  <c:v>84</c:v>
                </c:pt>
                <c:pt idx="18">
                  <c:v>84.4</c:v>
                </c:pt>
                <c:pt idx="19">
                  <c:v>84.5</c:v>
                </c:pt>
                <c:pt idx="20">
                  <c:v>84.2</c:v>
                </c:pt>
                <c:pt idx="21">
                  <c:v>83.8</c:v>
                </c:pt>
                <c:pt idx="22">
                  <c:v>83.8</c:v>
                </c:pt>
                <c:pt idx="23">
                  <c:v>83.8</c:v>
                </c:pt>
                <c:pt idx="24">
                  <c:v>83.8</c:v>
                </c:pt>
                <c:pt idx="25">
                  <c:v>84.6</c:v>
                </c:pt>
                <c:pt idx="26">
                  <c:v>84.1</c:v>
                </c:pt>
                <c:pt idx="27">
                  <c:v>84.9</c:v>
                </c:pt>
                <c:pt idx="28">
                  <c:v>84.9</c:v>
                </c:pt>
                <c:pt idx="29">
                  <c:v>83.6</c:v>
                </c:pt>
                <c:pt idx="30">
                  <c:v>83.6</c:v>
                </c:pt>
              </c:numCache>
            </c:numRef>
          </c:val>
          <c:smooth val="0"/>
          <c:extLst>
            <c:ext xmlns:c16="http://schemas.microsoft.com/office/drawing/2014/chart" uri="{C3380CC4-5D6E-409C-BE32-E72D297353CC}">
              <c16:uniqueId val="{00000001-E01B-4DFF-B3AB-A91C691833A9}"/>
            </c:ext>
          </c:extLst>
        </c:ser>
        <c:dLbls>
          <c:dLblPos val="t"/>
          <c:showLegendKey val="0"/>
          <c:showVal val="1"/>
          <c:showCatName val="0"/>
          <c:showSerName val="0"/>
          <c:showPercent val="0"/>
          <c:showBubbleSize val="0"/>
        </c:dLbls>
        <c:marker val="1"/>
        <c:smooth val="0"/>
        <c:axId val="933139088"/>
        <c:axId val="933122288"/>
        <c:extLst>
          <c:ext xmlns:c15="http://schemas.microsoft.com/office/drawing/2012/chart" uri="{02D57815-91ED-43cb-92C2-25804820EDAC}">
            <c15:filteredLineSeries>
              <c15:ser>
                <c:idx val="1"/>
                <c:order val="1"/>
                <c:tx>
                  <c:strRef>
                    <c:extLst>
                      <c:ext uri="{02D57815-91ED-43cb-92C2-25804820EDAC}">
                        <c15:formulaRef>
                          <c15:sqref>'Training Program 2.0'!$CW$99</c15:sqref>
                        </c15:formulaRef>
                      </c:ext>
                    </c:extLst>
                    <c:strCache>
                      <c:ptCount val="1"/>
                      <c:pt idx="0">
                        <c:v>Date</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th-TH"/>
                    </a:p>
                  </c:txPr>
                  <c:dLblPos val="t"/>
                  <c:showLegendKey val="0"/>
                  <c:showVal val="1"/>
                  <c:showCatName val="0"/>
                  <c:showSerName val="0"/>
                  <c:showPercent val="0"/>
                  <c:showBubbleSize val="0"/>
                  <c:showLeaderLines val="0"/>
                  <c:extLst>
                    <c:ext uri="{CE6537A1-D6FC-4f65-9D91-7224C49458BB}">
                      <c15:showLeaderLines val="1"/>
                      <c15:leaderLines>
                        <c:spPr>
                          <a:ln w="9525">
                            <a:solidFill>
                              <a:schemeClr val="dk1">
                                <a:lumMod val="50000"/>
                                <a:lumOff val="50000"/>
                              </a:schemeClr>
                            </a:solidFill>
                          </a:ln>
                          <a:effectLst/>
                        </c:spPr>
                      </c15:leaderLines>
                    </c:ext>
                  </c:extLst>
                </c:dLbls>
                <c:val>
                  <c:numRef>
                    <c:extLst>
                      <c:ext uri="{02D57815-91ED-43cb-92C2-25804820EDAC}">
                        <c15:formulaRef>
                          <c15:sqref>'Training Program 2.0'!$CW$100:$CW$130</c15:sqref>
                        </c15:formulaRef>
                      </c:ext>
                    </c:extLst>
                    <c:numCache>
                      <c:formatCode>[$-409]d/mmm;@</c:formatCode>
                      <c:ptCount val="31"/>
                      <c:pt idx="0">
                        <c:v>45778</c:v>
                      </c:pt>
                      <c:pt idx="1">
                        <c:v>45779</c:v>
                      </c:pt>
                      <c:pt idx="2">
                        <c:v>45780</c:v>
                      </c:pt>
                      <c:pt idx="3">
                        <c:v>45781</c:v>
                      </c:pt>
                      <c:pt idx="4">
                        <c:v>45782</c:v>
                      </c:pt>
                      <c:pt idx="5">
                        <c:v>45783</c:v>
                      </c:pt>
                      <c:pt idx="6">
                        <c:v>45784</c:v>
                      </c:pt>
                      <c:pt idx="7">
                        <c:v>45785</c:v>
                      </c:pt>
                      <c:pt idx="8">
                        <c:v>45786</c:v>
                      </c:pt>
                      <c:pt idx="9">
                        <c:v>45787</c:v>
                      </c:pt>
                      <c:pt idx="10">
                        <c:v>45788</c:v>
                      </c:pt>
                      <c:pt idx="11">
                        <c:v>45789</c:v>
                      </c:pt>
                      <c:pt idx="12">
                        <c:v>45790</c:v>
                      </c:pt>
                      <c:pt idx="13">
                        <c:v>45791</c:v>
                      </c:pt>
                      <c:pt idx="14">
                        <c:v>45792</c:v>
                      </c:pt>
                      <c:pt idx="15">
                        <c:v>45793</c:v>
                      </c:pt>
                      <c:pt idx="16">
                        <c:v>45794</c:v>
                      </c:pt>
                      <c:pt idx="17">
                        <c:v>45795</c:v>
                      </c:pt>
                      <c:pt idx="18">
                        <c:v>45796</c:v>
                      </c:pt>
                      <c:pt idx="19">
                        <c:v>45797</c:v>
                      </c:pt>
                      <c:pt idx="20">
                        <c:v>45798</c:v>
                      </c:pt>
                      <c:pt idx="21">
                        <c:v>45799</c:v>
                      </c:pt>
                      <c:pt idx="22">
                        <c:v>45800</c:v>
                      </c:pt>
                      <c:pt idx="23">
                        <c:v>45801</c:v>
                      </c:pt>
                      <c:pt idx="24">
                        <c:v>45802</c:v>
                      </c:pt>
                      <c:pt idx="25">
                        <c:v>45803</c:v>
                      </c:pt>
                      <c:pt idx="26">
                        <c:v>45804</c:v>
                      </c:pt>
                      <c:pt idx="27">
                        <c:v>45805</c:v>
                      </c:pt>
                      <c:pt idx="28">
                        <c:v>45806</c:v>
                      </c:pt>
                      <c:pt idx="29">
                        <c:v>45807</c:v>
                      </c:pt>
                      <c:pt idx="30">
                        <c:v>45808</c:v>
                      </c:pt>
                    </c:numCache>
                  </c:numRef>
                </c:val>
                <c:smooth val="0"/>
                <c:extLst>
                  <c:ext xmlns:c16="http://schemas.microsoft.com/office/drawing/2014/chart" uri="{C3380CC4-5D6E-409C-BE32-E72D297353CC}">
                    <c16:uniqueId val="{00000002-E01B-4DFF-B3AB-A91C691833A9}"/>
                  </c:ext>
                </c:extLst>
              </c15:ser>
            </c15:filteredLineSeries>
          </c:ext>
        </c:extLst>
      </c:lineChart>
      <c:catAx>
        <c:axId val="933139088"/>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th-TH"/>
          </a:p>
        </c:txPr>
        <c:crossAx val="933122288"/>
        <c:crosses val="autoZero"/>
        <c:auto val="1"/>
        <c:lblAlgn val="ctr"/>
        <c:lblOffset val="100"/>
        <c:noMultiLvlLbl val="0"/>
      </c:catAx>
      <c:valAx>
        <c:axId val="933122288"/>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th-TH"/>
          </a:p>
        </c:txPr>
        <c:crossAx val="933139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65000"/>
      </a:schemeClr>
    </a:solidFill>
    <a:ln w="9525" cap="flat" cmpd="sng" algn="ctr">
      <a:solidFill>
        <a:schemeClr val="dk1">
          <a:lumMod val="25000"/>
          <a:lumOff val="75000"/>
        </a:schemeClr>
      </a:solidFill>
      <a:round/>
    </a:ln>
    <a:effectLst/>
  </c:spPr>
  <c:txPr>
    <a:bodyPr/>
    <a:lstStyle/>
    <a:p>
      <a:pPr>
        <a:defRPr/>
      </a:pPr>
      <a:endParaRPr lang="th-TH"/>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June 2025 Weight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th-TH"/>
        </a:p>
      </c:txPr>
    </c:title>
    <c:autoTitleDeleted val="0"/>
    <c:plotArea>
      <c:layout/>
      <c:lineChart>
        <c:grouping val="standard"/>
        <c:varyColors val="0"/>
        <c:ser>
          <c:idx val="0"/>
          <c:order val="0"/>
          <c:tx>
            <c:strRef>
              <c:f>'Training Program 2.0'!$DO$99</c:f>
              <c:strCache>
                <c:ptCount val="1"/>
                <c:pt idx="0">
                  <c:v>Weight</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th-TH"/>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trendline>
            <c:spPr>
              <a:ln w="19050" cap="rnd">
                <a:solidFill>
                  <a:schemeClr val="accent1"/>
                </a:solidFill>
              </a:ln>
              <a:effectLst/>
            </c:spPr>
            <c:trendlineType val="linear"/>
            <c:dispRSqr val="0"/>
            <c:dispEq val="0"/>
          </c:trendline>
          <c:val>
            <c:numRef>
              <c:f>'Training Program 2.0'!$DO$100:$DO$130</c:f>
              <c:numCache>
                <c:formatCode>0.0</c:formatCode>
                <c:ptCount val="31"/>
                <c:pt idx="0">
                  <c:v>83.6</c:v>
                </c:pt>
                <c:pt idx="1">
                  <c:v>83.6</c:v>
                </c:pt>
                <c:pt idx="2">
                  <c:v>83.6</c:v>
                </c:pt>
                <c:pt idx="3">
                  <c:v>83.3</c:v>
                </c:pt>
                <c:pt idx="4">
                  <c:v>83.3</c:v>
                </c:pt>
                <c:pt idx="5">
                  <c:v>83.3</c:v>
                </c:pt>
                <c:pt idx="6">
                  <c:v>83.3</c:v>
                </c:pt>
                <c:pt idx="7">
                  <c:v>83.4</c:v>
                </c:pt>
                <c:pt idx="8">
                  <c:v>84</c:v>
                </c:pt>
                <c:pt idx="9">
                  <c:v>83.4</c:v>
                </c:pt>
                <c:pt idx="10">
                  <c:v>83.4</c:v>
                </c:pt>
                <c:pt idx="11">
                  <c:v>83.8</c:v>
                </c:pt>
                <c:pt idx="12">
                  <c:v>83.7</c:v>
                </c:pt>
                <c:pt idx="13">
                  <c:v>83.7</c:v>
                </c:pt>
                <c:pt idx="14">
                  <c:v>82.6</c:v>
                </c:pt>
                <c:pt idx="15">
                  <c:v>82.6</c:v>
                </c:pt>
                <c:pt idx="16">
                  <c:v>82.6</c:v>
                </c:pt>
                <c:pt idx="17">
                  <c:v>83</c:v>
                </c:pt>
                <c:pt idx="18">
                  <c:v>83</c:v>
                </c:pt>
                <c:pt idx="19">
                  <c:v>83.2</c:v>
                </c:pt>
                <c:pt idx="20">
                  <c:v>83.2</c:v>
                </c:pt>
                <c:pt idx="21">
                  <c:v>82.1</c:v>
                </c:pt>
                <c:pt idx="22">
                  <c:v>81.8</c:v>
                </c:pt>
                <c:pt idx="23">
                  <c:v>81.8</c:v>
                </c:pt>
                <c:pt idx="24">
                  <c:v>82.2</c:v>
                </c:pt>
                <c:pt idx="25">
                  <c:v>82.9</c:v>
                </c:pt>
                <c:pt idx="26">
                  <c:v>82.9</c:v>
                </c:pt>
                <c:pt idx="27">
                  <c:v>82.9</c:v>
                </c:pt>
                <c:pt idx="28">
                  <c:v>81.599999999999994</c:v>
                </c:pt>
                <c:pt idx="29">
                  <c:v>82.2</c:v>
                </c:pt>
              </c:numCache>
            </c:numRef>
          </c:val>
          <c:smooth val="0"/>
          <c:extLst>
            <c:ext xmlns:c16="http://schemas.microsoft.com/office/drawing/2014/chart" uri="{C3380CC4-5D6E-409C-BE32-E72D297353CC}">
              <c16:uniqueId val="{00000001-D42F-4E9B-9E8A-9ED4E56857BF}"/>
            </c:ext>
          </c:extLst>
        </c:ser>
        <c:dLbls>
          <c:dLblPos val="t"/>
          <c:showLegendKey val="0"/>
          <c:showVal val="1"/>
          <c:showCatName val="0"/>
          <c:showSerName val="0"/>
          <c:showPercent val="0"/>
          <c:showBubbleSize val="0"/>
        </c:dLbls>
        <c:marker val="1"/>
        <c:smooth val="0"/>
        <c:axId val="933139088"/>
        <c:axId val="933122288"/>
        <c:extLst>
          <c:ext xmlns:c15="http://schemas.microsoft.com/office/drawing/2012/chart" uri="{02D57815-91ED-43cb-92C2-25804820EDAC}">
            <c15:filteredLineSeries>
              <c15:ser>
                <c:idx val="1"/>
                <c:order val="1"/>
                <c:tx>
                  <c:strRef>
                    <c:extLst>
                      <c:ext uri="{02D57815-91ED-43cb-92C2-25804820EDAC}">
                        <c15:formulaRef>
                          <c15:sqref>'Training Program 2.0'!$DP$99</c15:sqref>
                        </c15:formulaRef>
                      </c:ext>
                    </c:extLst>
                    <c:strCache>
                      <c:ptCount val="1"/>
                      <c:pt idx="0">
                        <c:v>Date</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th-TH"/>
                    </a:p>
                  </c:txPr>
                  <c:dLblPos val="t"/>
                  <c:showLegendKey val="0"/>
                  <c:showVal val="1"/>
                  <c:showCatName val="0"/>
                  <c:showSerName val="0"/>
                  <c:showPercent val="0"/>
                  <c:showBubbleSize val="0"/>
                  <c:showLeaderLines val="0"/>
                  <c:extLst>
                    <c:ext uri="{CE6537A1-D6FC-4f65-9D91-7224C49458BB}">
                      <c15:showLeaderLines val="1"/>
                      <c15:leaderLines>
                        <c:spPr>
                          <a:ln w="9525">
                            <a:solidFill>
                              <a:schemeClr val="dk1">
                                <a:lumMod val="50000"/>
                                <a:lumOff val="50000"/>
                              </a:schemeClr>
                            </a:solidFill>
                          </a:ln>
                          <a:effectLst/>
                        </c:spPr>
                      </c15:leaderLines>
                    </c:ext>
                  </c:extLst>
                </c:dLbls>
                <c:val>
                  <c:numRef>
                    <c:extLst>
                      <c:ext uri="{02D57815-91ED-43cb-92C2-25804820EDAC}">
                        <c15:formulaRef>
                          <c15:sqref>'Training Program 2.0'!$DP$100:$DP$130</c15:sqref>
                        </c15:formulaRef>
                      </c:ext>
                    </c:extLst>
                    <c:numCache>
                      <c:formatCode>[$-409]d/mmm;@</c:formatCode>
                      <c:ptCount val="31"/>
                      <c:pt idx="0">
                        <c:v>45809</c:v>
                      </c:pt>
                      <c:pt idx="1">
                        <c:v>45810</c:v>
                      </c:pt>
                      <c:pt idx="2">
                        <c:v>45811</c:v>
                      </c:pt>
                      <c:pt idx="3">
                        <c:v>45812</c:v>
                      </c:pt>
                      <c:pt idx="4">
                        <c:v>45813</c:v>
                      </c:pt>
                      <c:pt idx="5">
                        <c:v>45814</c:v>
                      </c:pt>
                      <c:pt idx="6">
                        <c:v>45815</c:v>
                      </c:pt>
                      <c:pt idx="7">
                        <c:v>45816</c:v>
                      </c:pt>
                      <c:pt idx="8">
                        <c:v>45817</c:v>
                      </c:pt>
                      <c:pt idx="9">
                        <c:v>45818</c:v>
                      </c:pt>
                      <c:pt idx="10">
                        <c:v>45819</c:v>
                      </c:pt>
                      <c:pt idx="11">
                        <c:v>45820</c:v>
                      </c:pt>
                      <c:pt idx="12">
                        <c:v>45821</c:v>
                      </c:pt>
                      <c:pt idx="13">
                        <c:v>45822</c:v>
                      </c:pt>
                      <c:pt idx="14">
                        <c:v>45823</c:v>
                      </c:pt>
                      <c:pt idx="15">
                        <c:v>45824</c:v>
                      </c:pt>
                      <c:pt idx="16">
                        <c:v>45825</c:v>
                      </c:pt>
                      <c:pt idx="17">
                        <c:v>45826</c:v>
                      </c:pt>
                      <c:pt idx="18">
                        <c:v>45827</c:v>
                      </c:pt>
                      <c:pt idx="19">
                        <c:v>45828</c:v>
                      </c:pt>
                      <c:pt idx="20">
                        <c:v>45829</c:v>
                      </c:pt>
                      <c:pt idx="21">
                        <c:v>45830</c:v>
                      </c:pt>
                      <c:pt idx="22">
                        <c:v>45831</c:v>
                      </c:pt>
                      <c:pt idx="23">
                        <c:v>45832</c:v>
                      </c:pt>
                      <c:pt idx="24">
                        <c:v>45833</c:v>
                      </c:pt>
                      <c:pt idx="25">
                        <c:v>45834</c:v>
                      </c:pt>
                      <c:pt idx="26">
                        <c:v>45835</c:v>
                      </c:pt>
                      <c:pt idx="27">
                        <c:v>45836</c:v>
                      </c:pt>
                      <c:pt idx="28">
                        <c:v>45837</c:v>
                      </c:pt>
                      <c:pt idx="29">
                        <c:v>45838</c:v>
                      </c:pt>
                      <c:pt idx="30">
                        <c:v>0</c:v>
                      </c:pt>
                    </c:numCache>
                  </c:numRef>
                </c:val>
                <c:smooth val="0"/>
                <c:extLst>
                  <c:ext xmlns:c16="http://schemas.microsoft.com/office/drawing/2014/chart" uri="{C3380CC4-5D6E-409C-BE32-E72D297353CC}">
                    <c16:uniqueId val="{00000002-D42F-4E9B-9E8A-9ED4E56857BF}"/>
                  </c:ext>
                </c:extLst>
              </c15:ser>
            </c15:filteredLineSeries>
          </c:ext>
        </c:extLst>
      </c:lineChart>
      <c:catAx>
        <c:axId val="933139088"/>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th-TH"/>
          </a:p>
        </c:txPr>
        <c:crossAx val="933122288"/>
        <c:crosses val="autoZero"/>
        <c:auto val="1"/>
        <c:lblAlgn val="ctr"/>
        <c:lblOffset val="100"/>
        <c:noMultiLvlLbl val="0"/>
      </c:catAx>
      <c:valAx>
        <c:axId val="933122288"/>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th-TH"/>
          </a:p>
        </c:txPr>
        <c:crossAx val="933139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65000"/>
      </a:schemeClr>
    </a:solidFill>
    <a:ln w="9525" cap="flat" cmpd="sng" algn="ctr">
      <a:solidFill>
        <a:schemeClr val="dk1">
          <a:lumMod val="25000"/>
          <a:lumOff val="75000"/>
        </a:schemeClr>
      </a:solidFill>
      <a:round/>
    </a:ln>
    <a:effectLst/>
  </c:spPr>
  <c:txPr>
    <a:bodyPr/>
    <a:lstStyle/>
    <a:p>
      <a:pPr>
        <a:defRPr/>
      </a:pPr>
      <a:endParaRPr lang="th-TH"/>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July</a:t>
            </a:r>
            <a:r>
              <a:rPr lang="en-US" baseline="0"/>
              <a:t> </a:t>
            </a:r>
            <a:r>
              <a:rPr lang="en-US"/>
              <a:t>2025 Weight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th-TH"/>
        </a:p>
      </c:txPr>
    </c:title>
    <c:autoTitleDeleted val="0"/>
    <c:plotArea>
      <c:layout/>
      <c:lineChart>
        <c:grouping val="standard"/>
        <c:varyColors val="0"/>
        <c:ser>
          <c:idx val="0"/>
          <c:order val="0"/>
          <c:tx>
            <c:strRef>
              <c:f>'Training Program 2.0'!$EH$99</c:f>
              <c:strCache>
                <c:ptCount val="1"/>
                <c:pt idx="0">
                  <c:v>Weight</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th-TH"/>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trendline>
            <c:spPr>
              <a:ln w="19050" cap="rnd">
                <a:solidFill>
                  <a:schemeClr val="accent1"/>
                </a:solidFill>
              </a:ln>
              <a:effectLst/>
            </c:spPr>
            <c:trendlineType val="linear"/>
            <c:dispRSqr val="0"/>
            <c:dispEq val="0"/>
          </c:trendline>
          <c:val>
            <c:numRef>
              <c:f>'Training Program 2.0'!$EH$100:$EH$130</c:f>
              <c:numCache>
                <c:formatCode>0.0</c:formatCode>
                <c:ptCount val="31"/>
                <c:pt idx="0">
                  <c:v>82</c:v>
                </c:pt>
                <c:pt idx="1">
                  <c:v>82</c:v>
                </c:pt>
                <c:pt idx="2">
                  <c:v>82</c:v>
                </c:pt>
                <c:pt idx="3">
                  <c:v>82</c:v>
                </c:pt>
                <c:pt idx="4">
                  <c:v>81.900000000000006</c:v>
                </c:pt>
                <c:pt idx="5">
                  <c:v>81.400000000000006</c:v>
                </c:pt>
                <c:pt idx="6">
                  <c:v>82</c:v>
                </c:pt>
                <c:pt idx="7">
                  <c:v>81.7</c:v>
                </c:pt>
                <c:pt idx="8">
                  <c:v>81.7</c:v>
                </c:pt>
                <c:pt idx="9">
                  <c:v>81.7</c:v>
                </c:pt>
                <c:pt idx="10">
                  <c:v>81.7</c:v>
                </c:pt>
                <c:pt idx="11">
                  <c:v>81.7</c:v>
                </c:pt>
                <c:pt idx="12">
                  <c:v>80.5</c:v>
                </c:pt>
                <c:pt idx="13">
                  <c:v>80.5</c:v>
                </c:pt>
                <c:pt idx="14">
                  <c:v>80.5</c:v>
                </c:pt>
                <c:pt idx="15">
                  <c:v>81.2</c:v>
                </c:pt>
                <c:pt idx="16">
                  <c:v>82.1</c:v>
                </c:pt>
                <c:pt idx="17">
                  <c:v>82.1</c:v>
                </c:pt>
                <c:pt idx="18">
                  <c:v>82.1</c:v>
                </c:pt>
                <c:pt idx="19">
                  <c:v>82.1</c:v>
                </c:pt>
                <c:pt idx="20">
                  <c:v>80.099999999999994</c:v>
                </c:pt>
                <c:pt idx="21">
                  <c:v>80.099999999999994</c:v>
                </c:pt>
                <c:pt idx="22">
                  <c:v>80.099999999999994</c:v>
                </c:pt>
                <c:pt idx="23">
                  <c:v>81.3</c:v>
                </c:pt>
                <c:pt idx="24">
                  <c:v>81.099999999999994</c:v>
                </c:pt>
                <c:pt idx="25">
                  <c:v>81.099999999999994</c:v>
                </c:pt>
                <c:pt idx="26">
                  <c:v>81.099999999999994</c:v>
                </c:pt>
                <c:pt idx="27">
                  <c:v>80.099999999999994</c:v>
                </c:pt>
                <c:pt idx="28">
                  <c:v>80.599999999999994</c:v>
                </c:pt>
                <c:pt idx="29">
                  <c:v>80.599999999999994</c:v>
                </c:pt>
                <c:pt idx="30">
                  <c:v>80.3</c:v>
                </c:pt>
              </c:numCache>
            </c:numRef>
          </c:val>
          <c:smooth val="0"/>
          <c:extLst>
            <c:ext xmlns:c16="http://schemas.microsoft.com/office/drawing/2014/chart" uri="{C3380CC4-5D6E-409C-BE32-E72D297353CC}">
              <c16:uniqueId val="{00000001-D153-4A45-BCE1-B95556D049A1}"/>
            </c:ext>
          </c:extLst>
        </c:ser>
        <c:dLbls>
          <c:dLblPos val="t"/>
          <c:showLegendKey val="0"/>
          <c:showVal val="1"/>
          <c:showCatName val="0"/>
          <c:showSerName val="0"/>
          <c:showPercent val="0"/>
          <c:showBubbleSize val="0"/>
        </c:dLbls>
        <c:marker val="1"/>
        <c:smooth val="0"/>
        <c:axId val="933139088"/>
        <c:axId val="933122288"/>
        <c:extLst>
          <c:ext xmlns:c15="http://schemas.microsoft.com/office/drawing/2012/chart" uri="{02D57815-91ED-43cb-92C2-25804820EDAC}">
            <c15:filteredLineSeries>
              <c15:ser>
                <c:idx val="1"/>
                <c:order val="1"/>
                <c:tx>
                  <c:strRef>
                    <c:extLst>
                      <c:ext uri="{02D57815-91ED-43cb-92C2-25804820EDAC}">
                        <c15:formulaRef>
                          <c15:sqref>'Training Program 2.0'!$EI$99</c15:sqref>
                        </c15:formulaRef>
                      </c:ext>
                    </c:extLst>
                    <c:strCache>
                      <c:ptCount val="1"/>
                      <c:pt idx="0">
                        <c:v>Date</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th-TH"/>
                    </a:p>
                  </c:txPr>
                  <c:dLblPos val="t"/>
                  <c:showLegendKey val="0"/>
                  <c:showVal val="1"/>
                  <c:showCatName val="0"/>
                  <c:showSerName val="0"/>
                  <c:showPercent val="0"/>
                  <c:showBubbleSize val="0"/>
                  <c:showLeaderLines val="0"/>
                  <c:extLst>
                    <c:ext uri="{CE6537A1-D6FC-4f65-9D91-7224C49458BB}">
                      <c15:showLeaderLines val="1"/>
                      <c15:leaderLines>
                        <c:spPr>
                          <a:ln w="9525">
                            <a:solidFill>
                              <a:schemeClr val="dk1">
                                <a:lumMod val="50000"/>
                                <a:lumOff val="50000"/>
                              </a:schemeClr>
                            </a:solidFill>
                          </a:ln>
                          <a:effectLst/>
                        </c:spPr>
                      </c15:leaderLines>
                    </c:ext>
                  </c:extLst>
                </c:dLbls>
                <c:val>
                  <c:numRef>
                    <c:extLst>
                      <c:ext uri="{02D57815-91ED-43cb-92C2-25804820EDAC}">
                        <c15:formulaRef>
                          <c15:sqref>'Training Program 2.0'!$EI$100:$EI$130</c15:sqref>
                        </c15:formulaRef>
                      </c:ext>
                    </c:extLst>
                    <c:numCache>
                      <c:formatCode>[$-409]d/mmm;@</c:formatCode>
                      <c:ptCount val="31"/>
                      <c:pt idx="0">
                        <c:v>45839</c:v>
                      </c:pt>
                      <c:pt idx="1">
                        <c:v>45840</c:v>
                      </c:pt>
                      <c:pt idx="2">
                        <c:v>45841</c:v>
                      </c:pt>
                      <c:pt idx="3">
                        <c:v>45842</c:v>
                      </c:pt>
                      <c:pt idx="4">
                        <c:v>45843</c:v>
                      </c:pt>
                      <c:pt idx="5">
                        <c:v>45844</c:v>
                      </c:pt>
                      <c:pt idx="6">
                        <c:v>45845</c:v>
                      </c:pt>
                      <c:pt idx="7">
                        <c:v>45846</c:v>
                      </c:pt>
                      <c:pt idx="8">
                        <c:v>45847</c:v>
                      </c:pt>
                      <c:pt idx="9">
                        <c:v>45848</c:v>
                      </c:pt>
                      <c:pt idx="10">
                        <c:v>45849</c:v>
                      </c:pt>
                      <c:pt idx="11">
                        <c:v>45850</c:v>
                      </c:pt>
                      <c:pt idx="12">
                        <c:v>45851</c:v>
                      </c:pt>
                      <c:pt idx="13">
                        <c:v>45852</c:v>
                      </c:pt>
                      <c:pt idx="14">
                        <c:v>45853</c:v>
                      </c:pt>
                      <c:pt idx="15">
                        <c:v>45854</c:v>
                      </c:pt>
                      <c:pt idx="16">
                        <c:v>45855</c:v>
                      </c:pt>
                      <c:pt idx="17">
                        <c:v>45856</c:v>
                      </c:pt>
                      <c:pt idx="18">
                        <c:v>45857</c:v>
                      </c:pt>
                      <c:pt idx="19">
                        <c:v>45858</c:v>
                      </c:pt>
                      <c:pt idx="20">
                        <c:v>45859</c:v>
                      </c:pt>
                      <c:pt idx="21">
                        <c:v>45860</c:v>
                      </c:pt>
                      <c:pt idx="22">
                        <c:v>45861</c:v>
                      </c:pt>
                      <c:pt idx="23">
                        <c:v>45862</c:v>
                      </c:pt>
                      <c:pt idx="24">
                        <c:v>45863</c:v>
                      </c:pt>
                      <c:pt idx="25">
                        <c:v>45864</c:v>
                      </c:pt>
                      <c:pt idx="26">
                        <c:v>45865</c:v>
                      </c:pt>
                      <c:pt idx="27">
                        <c:v>45866</c:v>
                      </c:pt>
                      <c:pt idx="28">
                        <c:v>45867</c:v>
                      </c:pt>
                      <c:pt idx="29">
                        <c:v>45868</c:v>
                      </c:pt>
                      <c:pt idx="30">
                        <c:v>45869</c:v>
                      </c:pt>
                    </c:numCache>
                  </c:numRef>
                </c:val>
                <c:smooth val="0"/>
                <c:extLst>
                  <c:ext xmlns:c16="http://schemas.microsoft.com/office/drawing/2014/chart" uri="{C3380CC4-5D6E-409C-BE32-E72D297353CC}">
                    <c16:uniqueId val="{00000002-D153-4A45-BCE1-B95556D049A1}"/>
                  </c:ext>
                </c:extLst>
              </c15:ser>
            </c15:filteredLineSeries>
          </c:ext>
        </c:extLst>
      </c:lineChart>
      <c:catAx>
        <c:axId val="933139088"/>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th-TH"/>
          </a:p>
        </c:txPr>
        <c:crossAx val="933122288"/>
        <c:crosses val="autoZero"/>
        <c:auto val="1"/>
        <c:lblAlgn val="ctr"/>
        <c:lblOffset val="100"/>
        <c:noMultiLvlLbl val="0"/>
      </c:catAx>
      <c:valAx>
        <c:axId val="933122288"/>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th-TH"/>
          </a:p>
        </c:txPr>
        <c:crossAx val="933139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65000"/>
      </a:schemeClr>
    </a:solidFill>
    <a:ln w="9525" cap="flat" cmpd="sng" algn="ctr">
      <a:solidFill>
        <a:schemeClr val="dk1">
          <a:lumMod val="25000"/>
          <a:lumOff val="75000"/>
        </a:schemeClr>
      </a:solidFill>
      <a:round/>
    </a:ln>
    <a:effectLst/>
  </c:spPr>
  <c:txPr>
    <a:bodyPr/>
    <a:lstStyle/>
    <a:p>
      <a:pPr>
        <a:defRPr/>
      </a:pPr>
      <a:endParaRPr lang="th-TH"/>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baseline="0"/>
              <a:t>August </a:t>
            </a:r>
            <a:r>
              <a:rPr lang="en-US"/>
              <a:t>2025 Weight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th-TH"/>
        </a:p>
      </c:txPr>
    </c:title>
    <c:autoTitleDeleted val="0"/>
    <c:plotArea>
      <c:layout/>
      <c:lineChart>
        <c:grouping val="standard"/>
        <c:varyColors val="0"/>
        <c:ser>
          <c:idx val="0"/>
          <c:order val="0"/>
          <c:tx>
            <c:strRef>
              <c:f>'Training Program 2.0'!$FA$99</c:f>
              <c:strCache>
                <c:ptCount val="1"/>
                <c:pt idx="0">
                  <c:v>Weight</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th-TH"/>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trendline>
            <c:spPr>
              <a:ln w="19050" cap="rnd">
                <a:solidFill>
                  <a:schemeClr val="accent1"/>
                </a:solidFill>
              </a:ln>
              <a:effectLst/>
            </c:spPr>
            <c:trendlineType val="linear"/>
            <c:dispRSqr val="0"/>
            <c:dispEq val="0"/>
          </c:trendline>
          <c:val>
            <c:numRef>
              <c:f>'Training Program 2.0'!$FA$100:$FA$130</c:f>
              <c:numCache>
                <c:formatCode>0.0</c:formatCode>
                <c:ptCount val="31"/>
                <c:pt idx="0">
                  <c:v>80.3</c:v>
                </c:pt>
                <c:pt idx="1">
                  <c:v>80.3</c:v>
                </c:pt>
                <c:pt idx="2">
                  <c:v>80.3</c:v>
                </c:pt>
                <c:pt idx="3">
                  <c:v>79.099999999999994</c:v>
                </c:pt>
                <c:pt idx="4">
                  <c:v>79</c:v>
                </c:pt>
                <c:pt idx="5">
                  <c:v>79</c:v>
                </c:pt>
                <c:pt idx="6">
                  <c:v>79</c:v>
                </c:pt>
                <c:pt idx="7">
                  <c:v>81</c:v>
                </c:pt>
                <c:pt idx="8">
                  <c:v>81</c:v>
                </c:pt>
                <c:pt idx="9">
                  <c:v>80.599999999999994</c:v>
                </c:pt>
                <c:pt idx="10">
                  <c:v>80.2</c:v>
                </c:pt>
                <c:pt idx="11">
                  <c:v>80.599999999999994</c:v>
                </c:pt>
                <c:pt idx="12">
                  <c:v>80.599999999999994</c:v>
                </c:pt>
                <c:pt idx="13">
                  <c:v>81.099999999999994</c:v>
                </c:pt>
                <c:pt idx="14">
                  <c:v>81.099999999999994</c:v>
                </c:pt>
                <c:pt idx="15">
                  <c:v>79.8</c:v>
                </c:pt>
                <c:pt idx="16">
                  <c:v>79.8</c:v>
                </c:pt>
                <c:pt idx="17">
                  <c:v>79.8</c:v>
                </c:pt>
                <c:pt idx="18">
                  <c:v>79.8</c:v>
                </c:pt>
                <c:pt idx="19">
                  <c:v>80.900000000000006</c:v>
                </c:pt>
                <c:pt idx="20">
                  <c:v>80.3</c:v>
                </c:pt>
                <c:pt idx="21">
                  <c:v>80.3</c:v>
                </c:pt>
                <c:pt idx="22">
                  <c:v>80.3</c:v>
                </c:pt>
                <c:pt idx="23">
                  <c:v>78.099999999999994</c:v>
                </c:pt>
                <c:pt idx="24">
                  <c:v>78.099999999999994</c:v>
                </c:pt>
                <c:pt idx="25">
                  <c:v>78.099999999999994</c:v>
                </c:pt>
                <c:pt idx="26">
                  <c:v>79.3</c:v>
                </c:pt>
                <c:pt idx="27">
                  <c:v>79.2</c:v>
                </c:pt>
                <c:pt idx="28">
                  <c:v>79.2</c:v>
                </c:pt>
                <c:pt idx="29">
                  <c:v>79.2</c:v>
                </c:pt>
                <c:pt idx="30">
                  <c:v>79.599999999999994</c:v>
                </c:pt>
              </c:numCache>
            </c:numRef>
          </c:val>
          <c:smooth val="0"/>
          <c:extLst>
            <c:ext xmlns:c16="http://schemas.microsoft.com/office/drawing/2014/chart" uri="{C3380CC4-5D6E-409C-BE32-E72D297353CC}">
              <c16:uniqueId val="{00000001-C4B8-49A0-B383-BC8D1F69D802}"/>
            </c:ext>
          </c:extLst>
        </c:ser>
        <c:dLbls>
          <c:dLblPos val="t"/>
          <c:showLegendKey val="0"/>
          <c:showVal val="1"/>
          <c:showCatName val="0"/>
          <c:showSerName val="0"/>
          <c:showPercent val="0"/>
          <c:showBubbleSize val="0"/>
        </c:dLbls>
        <c:marker val="1"/>
        <c:smooth val="0"/>
        <c:axId val="933139088"/>
        <c:axId val="933122288"/>
        <c:extLst>
          <c:ext xmlns:c15="http://schemas.microsoft.com/office/drawing/2012/chart" uri="{02D57815-91ED-43cb-92C2-25804820EDAC}">
            <c15:filteredLineSeries>
              <c15:ser>
                <c:idx val="1"/>
                <c:order val="1"/>
                <c:tx>
                  <c:strRef>
                    <c:extLst>
                      <c:ext uri="{02D57815-91ED-43cb-92C2-25804820EDAC}">
                        <c15:formulaRef>
                          <c15:sqref>'Training Program 2.0'!$FB$99</c15:sqref>
                        </c15:formulaRef>
                      </c:ext>
                    </c:extLst>
                    <c:strCache>
                      <c:ptCount val="1"/>
                      <c:pt idx="0">
                        <c:v>Date</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th-TH"/>
                    </a:p>
                  </c:txPr>
                  <c:dLblPos val="t"/>
                  <c:showLegendKey val="0"/>
                  <c:showVal val="1"/>
                  <c:showCatName val="0"/>
                  <c:showSerName val="0"/>
                  <c:showPercent val="0"/>
                  <c:showBubbleSize val="0"/>
                  <c:showLeaderLines val="0"/>
                  <c:extLst>
                    <c:ext uri="{CE6537A1-D6FC-4f65-9D91-7224C49458BB}">
                      <c15:showLeaderLines val="1"/>
                      <c15:leaderLines>
                        <c:spPr>
                          <a:ln w="9525">
                            <a:solidFill>
                              <a:schemeClr val="dk1">
                                <a:lumMod val="50000"/>
                                <a:lumOff val="50000"/>
                              </a:schemeClr>
                            </a:solidFill>
                          </a:ln>
                          <a:effectLst/>
                        </c:spPr>
                      </c15:leaderLines>
                    </c:ext>
                  </c:extLst>
                </c:dLbls>
                <c:val>
                  <c:numRef>
                    <c:extLst>
                      <c:ext uri="{02D57815-91ED-43cb-92C2-25804820EDAC}">
                        <c15:formulaRef>
                          <c15:sqref>'Training Program 2.0'!$FB$100:$FB$130</c15:sqref>
                        </c15:formulaRef>
                      </c:ext>
                    </c:extLst>
                    <c:numCache>
                      <c:formatCode>[$-409]d/mmm;@</c:formatCode>
                      <c:ptCount val="31"/>
                      <c:pt idx="0">
                        <c:v>45870</c:v>
                      </c:pt>
                      <c:pt idx="1">
                        <c:v>45871</c:v>
                      </c:pt>
                      <c:pt idx="2">
                        <c:v>45872</c:v>
                      </c:pt>
                      <c:pt idx="3">
                        <c:v>45873</c:v>
                      </c:pt>
                      <c:pt idx="4">
                        <c:v>45874</c:v>
                      </c:pt>
                      <c:pt idx="5">
                        <c:v>45875</c:v>
                      </c:pt>
                      <c:pt idx="6">
                        <c:v>45876</c:v>
                      </c:pt>
                      <c:pt idx="7">
                        <c:v>45877</c:v>
                      </c:pt>
                      <c:pt idx="8">
                        <c:v>45878</c:v>
                      </c:pt>
                      <c:pt idx="9">
                        <c:v>45879</c:v>
                      </c:pt>
                      <c:pt idx="10">
                        <c:v>45880</c:v>
                      </c:pt>
                      <c:pt idx="11">
                        <c:v>45881</c:v>
                      </c:pt>
                      <c:pt idx="12">
                        <c:v>45882</c:v>
                      </c:pt>
                      <c:pt idx="13">
                        <c:v>45883</c:v>
                      </c:pt>
                      <c:pt idx="14">
                        <c:v>45884</c:v>
                      </c:pt>
                      <c:pt idx="15">
                        <c:v>45885</c:v>
                      </c:pt>
                      <c:pt idx="16">
                        <c:v>45886</c:v>
                      </c:pt>
                      <c:pt idx="17">
                        <c:v>45887</c:v>
                      </c:pt>
                      <c:pt idx="18">
                        <c:v>45888</c:v>
                      </c:pt>
                      <c:pt idx="19">
                        <c:v>45889</c:v>
                      </c:pt>
                      <c:pt idx="20">
                        <c:v>45890</c:v>
                      </c:pt>
                      <c:pt idx="21">
                        <c:v>45891</c:v>
                      </c:pt>
                      <c:pt idx="22">
                        <c:v>45892</c:v>
                      </c:pt>
                      <c:pt idx="23">
                        <c:v>45893</c:v>
                      </c:pt>
                      <c:pt idx="24">
                        <c:v>45894</c:v>
                      </c:pt>
                      <c:pt idx="25">
                        <c:v>45895</c:v>
                      </c:pt>
                      <c:pt idx="26">
                        <c:v>45896</c:v>
                      </c:pt>
                      <c:pt idx="27">
                        <c:v>45897</c:v>
                      </c:pt>
                      <c:pt idx="28">
                        <c:v>45898</c:v>
                      </c:pt>
                      <c:pt idx="29">
                        <c:v>45899</c:v>
                      </c:pt>
                      <c:pt idx="30">
                        <c:v>45900</c:v>
                      </c:pt>
                    </c:numCache>
                  </c:numRef>
                </c:val>
                <c:smooth val="0"/>
                <c:extLst>
                  <c:ext xmlns:c16="http://schemas.microsoft.com/office/drawing/2014/chart" uri="{C3380CC4-5D6E-409C-BE32-E72D297353CC}">
                    <c16:uniqueId val="{00000002-C4B8-49A0-B383-BC8D1F69D802}"/>
                  </c:ext>
                </c:extLst>
              </c15:ser>
            </c15:filteredLineSeries>
          </c:ext>
        </c:extLst>
      </c:lineChart>
      <c:catAx>
        <c:axId val="933139088"/>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th-TH"/>
          </a:p>
        </c:txPr>
        <c:crossAx val="933122288"/>
        <c:crosses val="autoZero"/>
        <c:auto val="1"/>
        <c:lblAlgn val="ctr"/>
        <c:lblOffset val="100"/>
        <c:noMultiLvlLbl val="0"/>
      </c:catAx>
      <c:valAx>
        <c:axId val="933122288"/>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th-TH"/>
          </a:p>
        </c:txPr>
        <c:crossAx val="933139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65000"/>
      </a:schemeClr>
    </a:solidFill>
    <a:ln w="9525" cap="flat" cmpd="sng" algn="ctr">
      <a:solidFill>
        <a:schemeClr val="dk1">
          <a:lumMod val="25000"/>
          <a:lumOff val="75000"/>
        </a:schemeClr>
      </a:solidFill>
      <a:round/>
    </a:ln>
    <a:effectLst/>
  </c:spPr>
  <c:txPr>
    <a:bodyPr/>
    <a:lstStyle/>
    <a:p>
      <a:pPr>
        <a:defRPr/>
      </a:pPr>
      <a:endParaRPr lang="th-TH"/>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baseline="0"/>
              <a:t>September </a:t>
            </a:r>
            <a:r>
              <a:rPr lang="en-US"/>
              <a:t>2025 Weight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th-TH"/>
        </a:p>
      </c:txPr>
    </c:title>
    <c:autoTitleDeleted val="0"/>
    <c:plotArea>
      <c:layout/>
      <c:lineChart>
        <c:grouping val="standard"/>
        <c:varyColors val="0"/>
        <c:ser>
          <c:idx val="0"/>
          <c:order val="0"/>
          <c:tx>
            <c:strRef>
              <c:f>'Training Program 2.0'!$FT$99</c:f>
              <c:strCache>
                <c:ptCount val="1"/>
                <c:pt idx="0">
                  <c:v>Weight</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th-TH"/>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trendline>
            <c:spPr>
              <a:ln w="19050" cap="rnd">
                <a:solidFill>
                  <a:schemeClr val="accent1"/>
                </a:solidFill>
              </a:ln>
              <a:effectLst/>
            </c:spPr>
            <c:trendlineType val="linear"/>
            <c:dispRSqr val="0"/>
            <c:dispEq val="0"/>
          </c:trendline>
          <c:val>
            <c:numRef>
              <c:f>'Training Program 2.0'!$FT$100:$FT$130</c:f>
              <c:numCache>
                <c:formatCode>0.0</c:formatCode>
                <c:ptCount val="31"/>
                <c:pt idx="0">
                  <c:v>79.599999999999994</c:v>
                </c:pt>
                <c:pt idx="1">
                  <c:v>79.7</c:v>
                </c:pt>
                <c:pt idx="2">
                  <c:v>79.2</c:v>
                </c:pt>
                <c:pt idx="3">
                  <c:v>79.2</c:v>
                </c:pt>
                <c:pt idx="4">
                  <c:v>79.3</c:v>
                </c:pt>
                <c:pt idx="5">
                  <c:v>79.3</c:v>
                </c:pt>
                <c:pt idx="6">
                  <c:v>78.900000000000006</c:v>
                </c:pt>
                <c:pt idx="7">
                  <c:v>79</c:v>
                </c:pt>
                <c:pt idx="8">
                  <c:v>78.7</c:v>
                </c:pt>
                <c:pt idx="9">
                  <c:v>78.7</c:v>
                </c:pt>
                <c:pt idx="10">
                  <c:v>78.900000000000006</c:v>
                </c:pt>
                <c:pt idx="11">
                  <c:v>78.7</c:v>
                </c:pt>
                <c:pt idx="12">
                  <c:v>78.7</c:v>
                </c:pt>
                <c:pt idx="13">
                  <c:v>79.7</c:v>
                </c:pt>
                <c:pt idx="14">
                  <c:v>79.3</c:v>
                </c:pt>
                <c:pt idx="15">
                  <c:v>79.2</c:v>
                </c:pt>
                <c:pt idx="16">
                  <c:v>79.2</c:v>
                </c:pt>
                <c:pt idx="17">
                  <c:v>79.7</c:v>
                </c:pt>
                <c:pt idx="18">
                  <c:v>79.400000000000006</c:v>
                </c:pt>
                <c:pt idx="19">
                  <c:v>78.5</c:v>
                </c:pt>
                <c:pt idx="20">
                  <c:v>79.2</c:v>
                </c:pt>
                <c:pt idx="21">
                  <c:v>78.7</c:v>
                </c:pt>
                <c:pt idx="22">
                  <c:v>79.5</c:v>
                </c:pt>
                <c:pt idx="23">
                  <c:v>79.5</c:v>
                </c:pt>
                <c:pt idx="24">
                  <c:v>79.5</c:v>
                </c:pt>
                <c:pt idx="25">
                  <c:v>79.5</c:v>
                </c:pt>
                <c:pt idx="26">
                  <c:v>79.5</c:v>
                </c:pt>
                <c:pt idx="27">
                  <c:v>78.599999999999994</c:v>
                </c:pt>
                <c:pt idx="28">
                  <c:v>78.599999999999994</c:v>
                </c:pt>
                <c:pt idx="29">
                  <c:v>79</c:v>
                </c:pt>
              </c:numCache>
            </c:numRef>
          </c:val>
          <c:smooth val="0"/>
          <c:extLst>
            <c:ext xmlns:c16="http://schemas.microsoft.com/office/drawing/2014/chart" uri="{C3380CC4-5D6E-409C-BE32-E72D297353CC}">
              <c16:uniqueId val="{00000001-4507-4198-892D-094D6F62178C}"/>
            </c:ext>
          </c:extLst>
        </c:ser>
        <c:dLbls>
          <c:dLblPos val="t"/>
          <c:showLegendKey val="0"/>
          <c:showVal val="1"/>
          <c:showCatName val="0"/>
          <c:showSerName val="0"/>
          <c:showPercent val="0"/>
          <c:showBubbleSize val="0"/>
        </c:dLbls>
        <c:marker val="1"/>
        <c:smooth val="0"/>
        <c:axId val="933139088"/>
        <c:axId val="933122288"/>
        <c:extLst>
          <c:ext xmlns:c15="http://schemas.microsoft.com/office/drawing/2012/chart" uri="{02D57815-91ED-43cb-92C2-25804820EDAC}">
            <c15:filteredLineSeries>
              <c15:ser>
                <c:idx val="1"/>
                <c:order val="1"/>
                <c:tx>
                  <c:strRef>
                    <c:extLst>
                      <c:ext uri="{02D57815-91ED-43cb-92C2-25804820EDAC}">
                        <c15:formulaRef>
                          <c15:sqref>'Training Program 2.0'!$FU$99</c15:sqref>
                        </c15:formulaRef>
                      </c:ext>
                    </c:extLst>
                    <c:strCache>
                      <c:ptCount val="1"/>
                      <c:pt idx="0">
                        <c:v>Date</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th-TH"/>
                    </a:p>
                  </c:txPr>
                  <c:dLblPos val="t"/>
                  <c:showLegendKey val="0"/>
                  <c:showVal val="1"/>
                  <c:showCatName val="0"/>
                  <c:showSerName val="0"/>
                  <c:showPercent val="0"/>
                  <c:showBubbleSize val="0"/>
                  <c:showLeaderLines val="0"/>
                  <c:extLst>
                    <c:ext uri="{CE6537A1-D6FC-4f65-9D91-7224C49458BB}">
                      <c15:showLeaderLines val="1"/>
                      <c15:leaderLines>
                        <c:spPr>
                          <a:ln w="9525">
                            <a:solidFill>
                              <a:schemeClr val="dk1">
                                <a:lumMod val="50000"/>
                                <a:lumOff val="50000"/>
                              </a:schemeClr>
                            </a:solidFill>
                          </a:ln>
                          <a:effectLst/>
                        </c:spPr>
                      </c15:leaderLines>
                    </c:ext>
                  </c:extLst>
                </c:dLbls>
                <c:val>
                  <c:numRef>
                    <c:extLst>
                      <c:ext uri="{02D57815-91ED-43cb-92C2-25804820EDAC}">
                        <c15:formulaRef>
                          <c15:sqref>'Training Program 2.0'!$FU$100:$FU$130</c15:sqref>
                        </c15:formulaRef>
                      </c:ext>
                    </c:extLst>
                    <c:numCache>
                      <c:formatCode>[$-409]d/mmm;@</c:formatCode>
                      <c:ptCount val="31"/>
                      <c:pt idx="0">
                        <c:v>45901</c:v>
                      </c:pt>
                      <c:pt idx="1">
                        <c:v>45902</c:v>
                      </c:pt>
                      <c:pt idx="2">
                        <c:v>45903</c:v>
                      </c:pt>
                      <c:pt idx="3">
                        <c:v>45904</c:v>
                      </c:pt>
                      <c:pt idx="4">
                        <c:v>45905</c:v>
                      </c:pt>
                      <c:pt idx="5">
                        <c:v>45906</c:v>
                      </c:pt>
                      <c:pt idx="6">
                        <c:v>45907</c:v>
                      </c:pt>
                      <c:pt idx="7">
                        <c:v>45908</c:v>
                      </c:pt>
                      <c:pt idx="8">
                        <c:v>45909</c:v>
                      </c:pt>
                      <c:pt idx="9">
                        <c:v>45910</c:v>
                      </c:pt>
                      <c:pt idx="10">
                        <c:v>45911</c:v>
                      </c:pt>
                      <c:pt idx="11">
                        <c:v>45912</c:v>
                      </c:pt>
                      <c:pt idx="12">
                        <c:v>45913</c:v>
                      </c:pt>
                      <c:pt idx="13">
                        <c:v>45914</c:v>
                      </c:pt>
                      <c:pt idx="14">
                        <c:v>45915</c:v>
                      </c:pt>
                      <c:pt idx="15">
                        <c:v>45916</c:v>
                      </c:pt>
                      <c:pt idx="16">
                        <c:v>45917</c:v>
                      </c:pt>
                      <c:pt idx="17">
                        <c:v>45918</c:v>
                      </c:pt>
                      <c:pt idx="18">
                        <c:v>45919</c:v>
                      </c:pt>
                      <c:pt idx="19">
                        <c:v>45920</c:v>
                      </c:pt>
                      <c:pt idx="20">
                        <c:v>45921</c:v>
                      </c:pt>
                      <c:pt idx="21">
                        <c:v>45922</c:v>
                      </c:pt>
                      <c:pt idx="22">
                        <c:v>45923</c:v>
                      </c:pt>
                      <c:pt idx="23">
                        <c:v>45924</c:v>
                      </c:pt>
                      <c:pt idx="24">
                        <c:v>45925</c:v>
                      </c:pt>
                      <c:pt idx="25">
                        <c:v>45926</c:v>
                      </c:pt>
                      <c:pt idx="26">
                        <c:v>45927</c:v>
                      </c:pt>
                      <c:pt idx="27">
                        <c:v>45928</c:v>
                      </c:pt>
                      <c:pt idx="28">
                        <c:v>45929</c:v>
                      </c:pt>
                      <c:pt idx="29">
                        <c:v>45930</c:v>
                      </c:pt>
                      <c:pt idx="30">
                        <c:v>0</c:v>
                      </c:pt>
                    </c:numCache>
                  </c:numRef>
                </c:val>
                <c:smooth val="0"/>
                <c:extLst>
                  <c:ext xmlns:c16="http://schemas.microsoft.com/office/drawing/2014/chart" uri="{C3380CC4-5D6E-409C-BE32-E72D297353CC}">
                    <c16:uniqueId val="{00000002-4507-4198-892D-094D6F62178C}"/>
                  </c:ext>
                </c:extLst>
              </c15:ser>
            </c15:filteredLineSeries>
          </c:ext>
        </c:extLst>
      </c:lineChart>
      <c:catAx>
        <c:axId val="933139088"/>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th-TH"/>
          </a:p>
        </c:txPr>
        <c:crossAx val="933122288"/>
        <c:crosses val="autoZero"/>
        <c:auto val="1"/>
        <c:lblAlgn val="ctr"/>
        <c:lblOffset val="100"/>
        <c:noMultiLvlLbl val="0"/>
      </c:catAx>
      <c:valAx>
        <c:axId val="933122288"/>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th-TH"/>
          </a:p>
        </c:txPr>
        <c:crossAx val="933139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65000"/>
      </a:schemeClr>
    </a:solidFill>
    <a:ln w="9525" cap="flat" cmpd="sng" algn="ctr">
      <a:solidFill>
        <a:schemeClr val="dk1">
          <a:lumMod val="25000"/>
          <a:lumOff val="75000"/>
        </a:schemeClr>
      </a:solidFill>
      <a:round/>
    </a:ln>
    <a:effectLst/>
  </c:spPr>
  <c:txPr>
    <a:bodyPr/>
    <a:lstStyle/>
    <a:p>
      <a:pPr>
        <a:defRPr/>
      </a:pPr>
      <a:endParaRPr lang="th-TH"/>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baseline="0"/>
              <a:t>October </a:t>
            </a:r>
            <a:r>
              <a:rPr lang="en-US"/>
              <a:t>2025 Weight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th-TH"/>
        </a:p>
      </c:txPr>
    </c:title>
    <c:autoTitleDeleted val="0"/>
    <c:plotArea>
      <c:layout/>
      <c:lineChart>
        <c:grouping val="standard"/>
        <c:varyColors val="0"/>
        <c:ser>
          <c:idx val="0"/>
          <c:order val="0"/>
          <c:tx>
            <c:strRef>
              <c:f>'Training Program 2.0'!$GP$99</c:f>
              <c:strCache>
                <c:ptCount val="1"/>
                <c:pt idx="0">
                  <c:v>Weight</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th-TH"/>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trendline>
            <c:spPr>
              <a:ln w="19050" cap="rnd">
                <a:solidFill>
                  <a:schemeClr val="accent1"/>
                </a:solidFill>
              </a:ln>
              <a:effectLst/>
            </c:spPr>
            <c:trendlineType val="linear"/>
            <c:dispRSqr val="0"/>
            <c:dispEq val="0"/>
          </c:trendline>
          <c:val>
            <c:numRef>
              <c:f>'Training Program 2.0'!$GP$100:$GP$130</c:f>
              <c:numCache>
                <c:formatCode>0.0</c:formatCode>
                <c:ptCount val="31"/>
                <c:pt idx="0">
                  <c:v>79</c:v>
                </c:pt>
                <c:pt idx="1">
                  <c:v>79</c:v>
                </c:pt>
                <c:pt idx="2">
                  <c:v>79</c:v>
                </c:pt>
                <c:pt idx="3">
                  <c:v>78.5</c:v>
                </c:pt>
                <c:pt idx="4">
                  <c:v>78</c:v>
                </c:pt>
                <c:pt idx="5">
                  <c:v>78.099999999999994</c:v>
                </c:pt>
                <c:pt idx="6">
                  <c:v>79.3</c:v>
                </c:pt>
                <c:pt idx="7">
                  <c:v>79.3</c:v>
                </c:pt>
                <c:pt idx="8">
                  <c:v>79.400000000000006</c:v>
                </c:pt>
                <c:pt idx="9">
                  <c:v>79.400000000000006</c:v>
                </c:pt>
                <c:pt idx="10">
                  <c:v>79.400000000000006</c:v>
                </c:pt>
                <c:pt idx="11">
                  <c:v>79.400000000000006</c:v>
                </c:pt>
                <c:pt idx="12">
                  <c:v>77.900000000000006</c:v>
                </c:pt>
                <c:pt idx="13">
                  <c:v>78.2</c:v>
                </c:pt>
                <c:pt idx="14">
                  <c:v>78.2</c:v>
                </c:pt>
                <c:pt idx="15">
                  <c:v>78.8</c:v>
                </c:pt>
                <c:pt idx="16">
                  <c:v>78.900000000000006</c:v>
                </c:pt>
                <c:pt idx="17">
                  <c:v>78.900000000000006</c:v>
                </c:pt>
                <c:pt idx="18">
                  <c:v>77.400000000000006</c:v>
                </c:pt>
                <c:pt idx="19">
                  <c:v>77.8</c:v>
                </c:pt>
                <c:pt idx="20">
                  <c:v>78.8</c:v>
                </c:pt>
                <c:pt idx="21">
                  <c:v>78.900000000000006</c:v>
                </c:pt>
                <c:pt idx="22">
                  <c:v>78.900000000000006</c:v>
                </c:pt>
                <c:pt idx="23">
                  <c:v>78.900000000000006</c:v>
                </c:pt>
                <c:pt idx="24">
                  <c:v>78.900000000000006</c:v>
                </c:pt>
                <c:pt idx="25">
                  <c:v>77.8</c:v>
                </c:pt>
                <c:pt idx="26">
                  <c:v>78.3</c:v>
                </c:pt>
                <c:pt idx="27">
                  <c:v>78.400000000000006</c:v>
                </c:pt>
                <c:pt idx="28">
                  <c:v>78.400000000000006</c:v>
                </c:pt>
                <c:pt idx="29">
                  <c:v>78.099999999999994</c:v>
                </c:pt>
                <c:pt idx="30">
                  <c:v>78.099999999999994</c:v>
                </c:pt>
              </c:numCache>
            </c:numRef>
          </c:val>
          <c:smooth val="0"/>
          <c:extLst>
            <c:ext xmlns:c16="http://schemas.microsoft.com/office/drawing/2014/chart" uri="{C3380CC4-5D6E-409C-BE32-E72D297353CC}">
              <c16:uniqueId val="{00000001-EC5E-4A93-BAC8-1543821D0148}"/>
            </c:ext>
          </c:extLst>
        </c:ser>
        <c:dLbls>
          <c:dLblPos val="t"/>
          <c:showLegendKey val="0"/>
          <c:showVal val="1"/>
          <c:showCatName val="0"/>
          <c:showSerName val="0"/>
          <c:showPercent val="0"/>
          <c:showBubbleSize val="0"/>
        </c:dLbls>
        <c:marker val="1"/>
        <c:smooth val="0"/>
        <c:axId val="933139088"/>
        <c:axId val="933122288"/>
        <c:extLst>
          <c:ext xmlns:c15="http://schemas.microsoft.com/office/drawing/2012/chart" uri="{02D57815-91ED-43cb-92C2-25804820EDAC}">
            <c15:filteredLineSeries>
              <c15:ser>
                <c:idx val="1"/>
                <c:order val="1"/>
                <c:tx>
                  <c:strRef>
                    <c:extLst>
                      <c:ext uri="{02D57815-91ED-43cb-92C2-25804820EDAC}">
                        <c15:formulaRef>
                          <c15:sqref>'Training Program 2.0'!$GQ$99</c15:sqref>
                        </c15:formulaRef>
                      </c:ext>
                    </c:extLst>
                    <c:strCache>
                      <c:ptCount val="1"/>
                      <c:pt idx="0">
                        <c:v>Date</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th-TH"/>
                    </a:p>
                  </c:txPr>
                  <c:dLblPos val="t"/>
                  <c:showLegendKey val="0"/>
                  <c:showVal val="1"/>
                  <c:showCatName val="0"/>
                  <c:showSerName val="0"/>
                  <c:showPercent val="0"/>
                  <c:showBubbleSize val="0"/>
                  <c:showLeaderLines val="0"/>
                  <c:extLst>
                    <c:ext uri="{CE6537A1-D6FC-4f65-9D91-7224C49458BB}">
                      <c15:showLeaderLines val="1"/>
                      <c15:leaderLines>
                        <c:spPr>
                          <a:ln w="9525">
                            <a:solidFill>
                              <a:schemeClr val="dk1">
                                <a:lumMod val="50000"/>
                                <a:lumOff val="50000"/>
                              </a:schemeClr>
                            </a:solidFill>
                          </a:ln>
                          <a:effectLst/>
                        </c:spPr>
                      </c15:leaderLines>
                    </c:ext>
                  </c:extLst>
                </c:dLbls>
                <c:val>
                  <c:numRef>
                    <c:extLst>
                      <c:ext uri="{02D57815-91ED-43cb-92C2-25804820EDAC}">
                        <c15:formulaRef>
                          <c15:sqref>'Training Program 2.0'!$GQ$100:$GQ$130</c15:sqref>
                        </c15:formulaRef>
                      </c:ext>
                    </c:extLst>
                    <c:numCache>
                      <c:formatCode>[$-409]d/mmm;@</c:formatCode>
                      <c:ptCount val="31"/>
                      <c:pt idx="0">
                        <c:v>45931</c:v>
                      </c:pt>
                      <c:pt idx="1">
                        <c:v>45932</c:v>
                      </c:pt>
                      <c:pt idx="2">
                        <c:v>45933</c:v>
                      </c:pt>
                      <c:pt idx="3">
                        <c:v>45934</c:v>
                      </c:pt>
                      <c:pt idx="4">
                        <c:v>45935</c:v>
                      </c:pt>
                      <c:pt idx="5">
                        <c:v>45936</c:v>
                      </c:pt>
                      <c:pt idx="6">
                        <c:v>45937</c:v>
                      </c:pt>
                      <c:pt idx="7">
                        <c:v>45938</c:v>
                      </c:pt>
                      <c:pt idx="8">
                        <c:v>45939</c:v>
                      </c:pt>
                      <c:pt idx="9">
                        <c:v>45940</c:v>
                      </c:pt>
                      <c:pt idx="10">
                        <c:v>45941</c:v>
                      </c:pt>
                      <c:pt idx="11">
                        <c:v>45942</c:v>
                      </c:pt>
                      <c:pt idx="12">
                        <c:v>45943</c:v>
                      </c:pt>
                      <c:pt idx="13">
                        <c:v>45944</c:v>
                      </c:pt>
                      <c:pt idx="14">
                        <c:v>45945</c:v>
                      </c:pt>
                      <c:pt idx="15">
                        <c:v>45946</c:v>
                      </c:pt>
                      <c:pt idx="16">
                        <c:v>45947</c:v>
                      </c:pt>
                      <c:pt idx="17">
                        <c:v>45948</c:v>
                      </c:pt>
                      <c:pt idx="18">
                        <c:v>45949</c:v>
                      </c:pt>
                      <c:pt idx="19">
                        <c:v>45950</c:v>
                      </c:pt>
                      <c:pt idx="20">
                        <c:v>45951</c:v>
                      </c:pt>
                      <c:pt idx="21">
                        <c:v>45952</c:v>
                      </c:pt>
                      <c:pt idx="22">
                        <c:v>45953</c:v>
                      </c:pt>
                      <c:pt idx="23">
                        <c:v>45954</c:v>
                      </c:pt>
                      <c:pt idx="24">
                        <c:v>45955</c:v>
                      </c:pt>
                      <c:pt idx="25">
                        <c:v>45956</c:v>
                      </c:pt>
                      <c:pt idx="26">
                        <c:v>45957</c:v>
                      </c:pt>
                      <c:pt idx="27">
                        <c:v>45958</c:v>
                      </c:pt>
                      <c:pt idx="28">
                        <c:v>45959</c:v>
                      </c:pt>
                      <c:pt idx="29">
                        <c:v>45960</c:v>
                      </c:pt>
                      <c:pt idx="30">
                        <c:v>45961</c:v>
                      </c:pt>
                    </c:numCache>
                  </c:numRef>
                </c:val>
                <c:smooth val="0"/>
                <c:extLst>
                  <c:ext xmlns:c16="http://schemas.microsoft.com/office/drawing/2014/chart" uri="{C3380CC4-5D6E-409C-BE32-E72D297353CC}">
                    <c16:uniqueId val="{00000002-EC5E-4A93-BAC8-1543821D0148}"/>
                  </c:ext>
                </c:extLst>
              </c15:ser>
            </c15:filteredLineSeries>
          </c:ext>
        </c:extLst>
      </c:lineChart>
      <c:catAx>
        <c:axId val="933139088"/>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th-TH"/>
          </a:p>
        </c:txPr>
        <c:crossAx val="933122288"/>
        <c:crosses val="autoZero"/>
        <c:auto val="1"/>
        <c:lblAlgn val="ctr"/>
        <c:lblOffset val="100"/>
        <c:noMultiLvlLbl val="0"/>
      </c:catAx>
      <c:valAx>
        <c:axId val="933122288"/>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th-TH"/>
          </a:p>
        </c:txPr>
        <c:crossAx val="933139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65000"/>
      </a:schemeClr>
    </a:solidFill>
    <a:ln w="9525" cap="flat" cmpd="sng" algn="ctr">
      <a:solidFill>
        <a:schemeClr val="dk1">
          <a:lumMod val="25000"/>
          <a:lumOff val="75000"/>
        </a:schemeClr>
      </a:solidFill>
      <a:round/>
    </a:ln>
    <a:effectLst/>
  </c:spPr>
  <c:txPr>
    <a:bodyPr/>
    <a:lstStyle/>
    <a:p>
      <a:pPr>
        <a:defRPr/>
      </a:pPr>
      <a:endParaRPr lang="th-TH"/>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baseline="0"/>
              <a:t>November </a:t>
            </a:r>
            <a:r>
              <a:rPr lang="en-US"/>
              <a:t>2025 Weight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th-TH"/>
        </a:p>
      </c:txPr>
    </c:title>
    <c:autoTitleDeleted val="0"/>
    <c:plotArea>
      <c:layout/>
      <c:lineChart>
        <c:grouping val="standard"/>
        <c:varyColors val="0"/>
        <c:ser>
          <c:idx val="0"/>
          <c:order val="0"/>
          <c:tx>
            <c:strRef>
              <c:f>'Training Program 2.0'!$HL$99</c:f>
              <c:strCache>
                <c:ptCount val="1"/>
                <c:pt idx="0">
                  <c:v>Weight</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th-TH"/>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trendline>
            <c:spPr>
              <a:ln w="19050" cap="rnd">
                <a:solidFill>
                  <a:schemeClr val="accent1"/>
                </a:solidFill>
              </a:ln>
              <a:effectLst/>
            </c:spPr>
            <c:trendlineType val="linear"/>
            <c:dispRSqr val="0"/>
            <c:dispEq val="0"/>
          </c:trendline>
          <c:val>
            <c:numRef>
              <c:f>'Training Program 2.0'!$HL$100:$HL$130</c:f>
              <c:numCache>
                <c:formatCode>0.0</c:formatCode>
                <c:ptCount val="31"/>
                <c:pt idx="0">
                  <c:v>78.099999999999994</c:v>
                </c:pt>
                <c:pt idx="1">
                  <c:v>78.099999999999994</c:v>
                </c:pt>
                <c:pt idx="2">
                  <c:v>78.099999999999994</c:v>
                </c:pt>
                <c:pt idx="3">
                  <c:v>79</c:v>
                </c:pt>
                <c:pt idx="4">
                  <c:v>79</c:v>
                </c:pt>
                <c:pt idx="5">
                  <c:v>79</c:v>
                </c:pt>
                <c:pt idx="6">
                  <c:v>79</c:v>
                </c:pt>
                <c:pt idx="7">
                  <c:v>79</c:v>
                </c:pt>
                <c:pt idx="8">
                  <c:v>78.099999999999994</c:v>
                </c:pt>
                <c:pt idx="9">
                  <c:v>78.099999999999994</c:v>
                </c:pt>
                <c:pt idx="10">
                  <c:v>78.8</c:v>
                </c:pt>
                <c:pt idx="11">
                  <c:v>78.8</c:v>
                </c:pt>
                <c:pt idx="12">
                  <c:v>78.8</c:v>
                </c:pt>
                <c:pt idx="13">
                  <c:v>78.3</c:v>
                </c:pt>
                <c:pt idx="14">
                  <c:v>78.3</c:v>
                </c:pt>
                <c:pt idx="15">
                  <c:v>77.5</c:v>
                </c:pt>
                <c:pt idx="16">
                  <c:v>77.400000000000006</c:v>
                </c:pt>
                <c:pt idx="17">
                  <c:v>77.900000000000006</c:v>
                </c:pt>
                <c:pt idx="18">
                  <c:v>78.099999999999994</c:v>
                </c:pt>
                <c:pt idx="19">
                  <c:v>78.099999999999994</c:v>
                </c:pt>
                <c:pt idx="20">
                  <c:v>78.099999999999994</c:v>
                </c:pt>
                <c:pt idx="21">
                  <c:v>77.7</c:v>
                </c:pt>
                <c:pt idx="22">
                  <c:v>77.099999999999994</c:v>
                </c:pt>
                <c:pt idx="23">
                  <c:v>77.099999999999994</c:v>
                </c:pt>
                <c:pt idx="24">
                  <c:v>78.099999999999994</c:v>
                </c:pt>
                <c:pt idx="25">
                  <c:v>77.599999999999994</c:v>
                </c:pt>
                <c:pt idx="26">
                  <c:v>77.599999999999994</c:v>
                </c:pt>
                <c:pt idx="27">
                  <c:v>77.599999999999994</c:v>
                </c:pt>
                <c:pt idx="28">
                  <c:v>76.8</c:v>
                </c:pt>
                <c:pt idx="29">
                  <c:v>76.8</c:v>
                </c:pt>
              </c:numCache>
            </c:numRef>
          </c:val>
          <c:smooth val="0"/>
          <c:extLst>
            <c:ext xmlns:c16="http://schemas.microsoft.com/office/drawing/2014/chart" uri="{C3380CC4-5D6E-409C-BE32-E72D297353CC}">
              <c16:uniqueId val="{00000001-20A9-4B76-B22E-D2182C8E3066}"/>
            </c:ext>
          </c:extLst>
        </c:ser>
        <c:dLbls>
          <c:dLblPos val="t"/>
          <c:showLegendKey val="0"/>
          <c:showVal val="1"/>
          <c:showCatName val="0"/>
          <c:showSerName val="0"/>
          <c:showPercent val="0"/>
          <c:showBubbleSize val="0"/>
        </c:dLbls>
        <c:marker val="1"/>
        <c:smooth val="0"/>
        <c:axId val="933139088"/>
        <c:axId val="933122288"/>
        <c:extLst>
          <c:ext xmlns:c15="http://schemas.microsoft.com/office/drawing/2012/chart" uri="{02D57815-91ED-43cb-92C2-25804820EDAC}">
            <c15:filteredLineSeries>
              <c15:ser>
                <c:idx val="1"/>
                <c:order val="1"/>
                <c:tx>
                  <c:strRef>
                    <c:extLst>
                      <c:ext uri="{02D57815-91ED-43cb-92C2-25804820EDAC}">
                        <c15:formulaRef>
                          <c15:sqref>'Training Program 2.0'!$HM$99</c15:sqref>
                        </c15:formulaRef>
                      </c:ext>
                    </c:extLst>
                    <c:strCache>
                      <c:ptCount val="1"/>
                      <c:pt idx="0">
                        <c:v>Date</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th-TH"/>
                    </a:p>
                  </c:txPr>
                  <c:dLblPos val="t"/>
                  <c:showLegendKey val="0"/>
                  <c:showVal val="1"/>
                  <c:showCatName val="0"/>
                  <c:showSerName val="0"/>
                  <c:showPercent val="0"/>
                  <c:showBubbleSize val="0"/>
                  <c:showLeaderLines val="0"/>
                  <c:extLst>
                    <c:ext uri="{CE6537A1-D6FC-4f65-9D91-7224C49458BB}">
                      <c15:showLeaderLines val="1"/>
                      <c15:leaderLines>
                        <c:spPr>
                          <a:ln w="9525">
                            <a:solidFill>
                              <a:schemeClr val="dk1">
                                <a:lumMod val="50000"/>
                                <a:lumOff val="50000"/>
                              </a:schemeClr>
                            </a:solidFill>
                          </a:ln>
                          <a:effectLst/>
                        </c:spPr>
                      </c15:leaderLines>
                    </c:ext>
                  </c:extLst>
                </c:dLbls>
                <c:val>
                  <c:numRef>
                    <c:extLst>
                      <c:ext uri="{02D57815-91ED-43cb-92C2-25804820EDAC}">
                        <c15:formulaRef>
                          <c15:sqref>'Training Program 2.0'!$HM$100:$HM$130</c15:sqref>
                        </c15:formulaRef>
                      </c:ext>
                    </c:extLst>
                    <c:numCache>
                      <c:formatCode>[$-409]d/mmm;@</c:formatCode>
                      <c:ptCount val="31"/>
                      <c:pt idx="0">
                        <c:v>45962</c:v>
                      </c:pt>
                      <c:pt idx="1">
                        <c:v>45963</c:v>
                      </c:pt>
                      <c:pt idx="2">
                        <c:v>45964</c:v>
                      </c:pt>
                      <c:pt idx="3">
                        <c:v>45965</c:v>
                      </c:pt>
                      <c:pt idx="4">
                        <c:v>45966</c:v>
                      </c:pt>
                      <c:pt idx="5">
                        <c:v>45967</c:v>
                      </c:pt>
                      <c:pt idx="6">
                        <c:v>45968</c:v>
                      </c:pt>
                      <c:pt idx="7">
                        <c:v>45969</c:v>
                      </c:pt>
                      <c:pt idx="8">
                        <c:v>45970</c:v>
                      </c:pt>
                      <c:pt idx="9">
                        <c:v>45971</c:v>
                      </c:pt>
                      <c:pt idx="10">
                        <c:v>45972</c:v>
                      </c:pt>
                      <c:pt idx="11">
                        <c:v>45973</c:v>
                      </c:pt>
                      <c:pt idx="12">
                        <c:v>45974</c:v>
                      </c:pt>
                      <c:pt idx="13">
                        <c:v>45975</c:v>
                      </c:pt>
                      <c:pt idx="14">
                        <c:v>45976</c:v>
                      </c:pt>
                      <c:pt idx="15">
                        <c:v>45977</c:v>
                      </c:pt>
                      <c:pt idx="16">
                        <c:v>45978</c:v>
                      </c:pt>
                      <c:pt idx="17">
                        <c:v>45979</c:v>
                      </c:pt>
                      <c:pt idx="18">
                        <c:v>45980</c:v>
                      </c:pt>
                      <c:pt idx="19">
                        <c:v>45981</c:v>
                      </c:pt>
                      <c:pt idx="20">
                        <c:v>45982</c:v>
                      </c:pt>
                      <c:pt idx="21">
                        <c:v>45983</c:v>
                      </c:pt>
                      <c:pt idx="22">
                        <c:v>45984</c:v>
                      </c:pt>
                      <c:pt idx="23">
                        <c:v>45985</c:v>
                      </c:pt>
                      <c:pt idx="24">
                        <c:v>45986</c:v>
                      </c:pt>
                      <c:pt idx="25">
                        <c:v>45987</c:v>
                      </c:pt>
                      <c:pt idx="26">
                        <c:v>45988</c:v>
                      </c:pt>
                      <c:pt idx="27">
                        <c:v>45989</c:v>
                      </c:pt>
                      <c:pt idx="28">
                        <c:v>45990</c:v>
                      </c:pt>
                      <c:pt idx="29">
                        <c:v>45991</c:v>
                      </c:pt>
                    </c:numCache>
                  </c:numRef>
                </c:val>
                <c:smooth val="0"/>
                <c:extLst>
                  <c:ext xmlns:c16="http://schemas.microsoft.com/office/drawing/2014/chart" uri="{C3380CC4-5D6E-409C-BE32-E72D297353CC}">
                    <c16:uniqueId val="{00000002-20A9-4B76-B22E-D2182C8E3066}"/>
                  </c:ext>
                </c:extLst>
              </c15:ser>
            </c15:filteredLineSeries>
          </c:ext>
        </c:extLst>
      </c:lineChart>
      <c:catAx>
        <c:axId val="933139088"/>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th-TH"/>
          </a:p>
        </c:txPr>
        <c:crossAx val="933122288"/>
        <c:crosses val="autoZero"/>
        <c:auto val="1"/>
        <c:lblAlgn val="ctr"/>
        <c:lblOffset val="100"/>
        <c:noMultiLvlLbl val="0"/>
      </c:catAx>
      <c:valAx>
        <c:axId val="933122288"/>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th-TH"/>
          </a:p>
        </c:txPr>
        <c:crossAx val="933139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65000"/>
      </a:schemeClr>
    </a:solidFill>
    <a:ln w="9525" cap="flat" cmpd="sng" algn="ctr">
      <a:solidFill>
        <a:schemeClr val="dk1">
          <a:lumMod val="25000"/>
          <a:lumOff val="75000"/>
        </a:schemeClr>
      </a:solidFill>
      <a:round/>
    </a:ln>
    <a:effectLst/>
  </c:spPr>
  <c:txPr>
    <a:bodyPr/>
    <a:lstStyle/>
    <a:p>
      <a:pPr>
        <a:defRPr/>
      </a:pPr>
      <a:endParaRPr lang="th-TH"/>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baseline="0"/>
              <a:t>December </a:t>
            </a:r>
            <a:r>
              <a:rPr lang="en-US"/>
              <a:t>2025 Weight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th-TH"/>
        </a:p>
      </c:txPr>
    </c:title>
    <c:autoTitleDeleted val="0"/>
    <c:plotArea>
      <c:layout/>
      <c:lineChart>
        <c:grouping val="standard"/>
        <c:varyColors val="0"/>
        <c:ser>
          <c:idx val="0"/>
          <c:order val="0"/>
          <c:tx>
            <c:strRef>
              <c:f>'Training Program 2.0'!$IH$99</c:f>
              <c:strCache>
                <c:ptCount val="1"/>
                <c:pt idx="0">
                  <c:v>Weight</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th-TH"/>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trendline>
            <c:spPr>
              <a:ln w="19050" cap="rnd">
                <a:solidFill>
                  <a:schemeClr val="accent1"/>
                </a:solidFill>
              </a:ln>
              <a:effectLst/>
            </c:spPr>
            <c:trendlineType val="linear"/>
            <c:dispRSqr val="0"/>
            <c:dispEq val="0"/>
          </c:trendline>
          <c:val>
            <c:numRef>
              <c:f>'Training Program 2.0'!$IH$100:$IH$130</c:f>
              <c:numCache>
                <c:formatCode>0.0</c:formatCode>
                <c:ptCount val="31"/>
                <c:pt idx="0">
                  <c:v>76.8</c:v>
                </c:pt>
                <c:pt idx="1">
                  <c:v>78.099999999999994</c:v>
                </c:pt>
                <c:pt idx="2">
                  <c:v>78.099999999999994</c:v>
                </c:pt>
                <c:pt idx="3">
                  <c:v>77.3</c:v>
                </c:pt>
                <c:pt idx="4">
                  <c:v>77.3</c:v>
                </c:pt>
                <c:pt idx="5">
                  <c:v>78.099999999999994</c:v>
                </c:pt>
                <c:pt idx="6">
                  <c:v>77.599999999999994</c:v>
                </c:pt>
                <c:pt idx="7">
                  <c:v>78.3</c:v>
                </c:pt>
                <c:pt idx="8">
                  <c:v>78.099999999999994</c:v>
                </c:pt>
                <c:pt idx="9">
                  <c:v>78.2</c:v>
                </c:pt>
                <c:pt idx="10">
                  <c:v>78.2</c:v>
                </c:pt>
                <c:pt idx="11">
                  <c:v>78.2</c:v>
                </c:pt>
                <c:pt idx="12">
                  <c:v>78.2</c:v>
                </c:pt>
                <c:pt idx="13">
                  <c:v>78.2</c:v>
                </c:pt>
                <c:pt idx="14">
                  <c:v>76.7</c:v>
                </c:pt>
                <c:pt idx="15">
                  <c:v>76.599999999999994</c:v>
                </c:pt>
                <c:pt idx="16">
                  <c:v>76.599999999999994</c:v>
                </c:pt>
                <c:pt idx="17">
                  <c:v>76.599999999999994</c:v>
                </c:pt>
                <c:pt idx="18">
                  <c:v>76.599999999999994</c:v>
                </c:pt>
                <c:pt idx="19">
                  <c:v>76.599999999999994</c:v>
                </c:pt>
                <c:pt idx="20">
                  <c:v>77</c:v>
                </c:pt>
                <c:pt idx="21">
                  <c:v>77.8</c:v>
                </c:pt>
                <c:pt idx="22">
                  <c:v>76.5</c:v>
                </c:pt>
                <c:pt idx="23">
                  <c:v>76.900000000000006</c:v>
                </c:pt>
                <c:pt idx="24">
                  <c:v>76.900000000000006</c:v>
                </c:pt>
                <c:pt idx="25">
                  <c:v>76.900000000000006</c:v>
                </c:pt>
                <c:pt idx="26">
                  <c:v>76.900000000000006</c:v>
                </c:pt>
                <c:pt idx="27">
                  <c:v>76.900000000000006</c:v>
                </c:pt>
                <c:pt idx="28">
                  <c:v>76.900000000000006</c:v>
                </c:pt>
                <c:pt idx="29">
                  <c:v>76.900000000000006</c:v>
                </c:pt>
                <c:pt idx="30">
                  <c:v>76.900000000000006</c:v>
                </c:pt>
              </c:numCache>
            </c:numRef>
          </c:val>
          <c:smooth val="0"/>
          <c:extLst>
            <c:ext xmlns:c16="http://schemas.microsoft.com/office/drawing/2014/chart" uri="{C3380CC4-5D6E-409C-BE32-E72D297353CC}">
              <c16:uniqueId val="{00000001-B4D3-48BD-8C4C-0659CC5E1DAC}"/>
            </c:ext>
          </c:extLst>
        </c:ser>
        <c:dLbls>
          <c:dLblPos val="t"/>
          <c:showLegendKey val="0"/>
          <c:showVal val="1"/>
          <c:showCatName val="0"/>
          <c:showSerName val="0"/>
          <c:showPercent val="0"/>
          <c:showBubbleSize val="0"/>
        </c:dLbls>
        <c:marker val="1"/>
        <c:smooth val="0"/>
        <c:axId val="933139088"/>
        <c:axId val="933122288"/>
        <c:extLst>
          <c:ext xmlns:c15="http://schemas.microsoft.com/office/drawing/2012/chart" uri="{02D57815-91ED-43cb-92C2-25804820EDAC}">
            <c15:filteredLineSeries>
              <c15:ser>
                <c:idx val="1"/>
                <c:order val="1"/>
                <c:tx>
                  <c:strRef>
                    <c:extLst>
                      <c:ext uri="{02D57815-91ED-43cb-92C2-25804820EDAC}">
                        <c15:formulaRef>
                          <c15:sqref>'Training Program 2.0'!$II$99</c15:sqref>
                        </c15:formulaRef>
                      </c:ext>
                    </c:extLst>
                    <c:strCache>
                      <c:ptCount val="1"/>
                      <c:pt idx="0">
                        <c:v>Date</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th-TH"/>
                    </a:p>
                  </c:txPr>
                  <c:dLblPos val="t"/>
                  <c:showLegendKey val="0"/>
                  <c:showVal val="1"/>
                  <c:showCatName val="0"/>
                  <c:showSerName val="0"/>
                  <c:showPercent val="0"/>
                  <c:showBubbleSize val="0"/>
                  <c:showLeaderLines val="0"/>
                  <c:extLst>
                    <c:ext uri="{CE6537A1-D6FC-4f65-9D91-7224C49458BB}">
                      <c15:showLeaderLines val="1"/>
                      <c15:leaderLines>
                        <c:spPr>
                          <a:ln w="9525">
                            <a:solidFill>
                              <a:schemeClr val="dk1">
                                <a:lumMod val="50000"/>
                                <a:lumOff val="50000"/>
                              </a:schemeClr>
                            </a:solidFill>
                          </a:ln>
                          <a:effectLst/>
                        </c:spPr>
                      </c15:leaderLines>
                    </c:ext>
                  </c:extLst>
                </c:dLbls>
                <c:val>
                  <c:numRef>
                    <c:extLst>
                      <c:ext uri="{02D57815-91ED-43cb-92C2-25804820EDAC}">
                        <c15:formulaRef>
                          <c15:sqref>'Training Program 2.0'!$II$100:$II$130</c15:sqref>
                        </c15:formulaRef>
                      </c:ext>
                    </c:extLst>
                    <c:numCache>
                      <c:formatCode>[$-409]d/mmm;@</c:formatCode>
                      <c:ptCount val="31"/>
                      <c:pt idx="0">
                        <c:v>45992</c:v>
                      </c:pt>
                      <c:pt idx="1">
                        <c:v>45993</c:v>
                      </c:pt>
                      <c:pt idx="2">
                        <c:v>45994</c:v>
                      </c:pt>
                      <c:pt idx="3">
                        <c:v>45995</c:v>
                      </c:pt>
                      <c:pt idx="4">
                        <c:v>45996</c:v>
                      </c:pt>
                      <c:pt idx="5">
                        <c:v>45997</c:v>
                      </c:pt>
                      <c:pt idx="6">
                        <c:v>45998</c:v>
                      </c:pt>
                      <c:pt idx="7">
                        <c:v>45999</c:v>
                      </c:pt>
                      <c:pt idx="8">
                        <c:v>46000</c:v>
                      </c:pt>
                      <c:pt idx="9">
                        <c:v>46001</c:v>
                      </c:pt>
                      <c:pt idx="10">
                        <c:v>46002</c:v>
                      </c:pt>
                      <c:pt idx="11">
                        <c:v>46003</c:v>
                      </c:pt>
                      <c:pt idx="12">
                        <c:v>46004</c:v>
                      </c:pt>
                      <c:pt idx="13">
                        <c:v>46005</c:v>
                      </c:pt>
                      <c:pt idx="14">
                        <c:v>46006</c:v>
                      </c:pt>
                      <c:pt idx="15">
                        <c:v>46007</c:v>
                      </c:pt>
                      <c:pt idx="16">
                        <c:v>46008</c:v>
                      </c:pt>
                      <c:pt idx="17">
                        <c:v>46009</c:v>
                      </c:pt>
                      <c:pt idx="18">
                        <c:v>46010</c:v>
                      </c:pt>
                      <c:pt idx="19">
                        <c:v>46011</c:v>
                      </c:pt>
                      <c:pt idx="20">
                        <c:v>46012</c:v>
                      </c:pt>
                      <c:pt idx="21">
                        <c:v>46013</c:v>
                      </c:pt>
                      <c:pt idx="22">
                        <c:v>46014</c:v>
                      </c:pt>
                      <c:pt idx="23">
                        <c:v>46015</c:v>
                      </c:pt>
                      <c:pt idx="24">
                        <c:v>46016</c:v>
                      </c:pt>
                      <c:pt idx="25">
                        <c:v>46017</c:v>
                      </c:pt>
                      <c:pt idx="26">
                        <c:v>46018</c:v>
                      </c:pt>
                      <c:pt idx="27">
                        <c:v>46019</c:v>
                      </c:pt>
                      <c:pt idx="28">
                        <c:v>46020</c:v>
                      </c:pt>
                      <c:pt idx="29">
                        <c:v>46021</c:v>
                      </c:pt>
                      <c:pt idx="30">
                        <c:v>46022</c:v>
                      </c:pt>
                    </c:numCache>
                  </c:numRef>
                </c:val>
                <c:smooth val="0"/>
                <c:extLst>
                  <c:ext xmlns:c16="http://schemas.microsoft.com/office/drawing/2014/chart" uri="{C3380CC4-5D6E-409C-BE32-E72D297353CC}">
                    <c16:uniqueId val="{00000002-B4D3-48BD-8C4C-0659CC5E1DAC}"/>
                  </c:ext>
                </c:extLst>
              </c15:ser>
            </c15:filteredLineSeries>
          </c:ext>
        </c:extLst>
      </c:lineChart>
      <c:catAx>
        <c:axId val="933139088"/>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th-TH"/>
          </a:p>
        </c:txPr>
        <c:crossAx val="933122288"/>
        <c:crosses val="autoZero"/>
        <c:auto val="1"/>
        <c:lblAlgn val="ctr"/>
        <c:lblOffset val="100"/>
        <c:noMultiLvlLbl val="0"/>
      </c:catAx>
      <c:valAx>
        <c:axId val="933122288"/>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th-TH"/>
          </a:p>
        </c:txPr>
        <c:crossAx val="933139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65000"/>
      </a:schemeClr>
    </a:solidFill>
    <a:ln w="9525" cap="flat" cmpd="sng" algn="ctr">
      <a:solidFill>
        <a:schemeClr val="dk1">
          <a:lumMod val="25000"/>
          <a:lumOff val="75000"/>
        </a:schemeClr>
      </a:solidFill>
      <a:round/>
    </a:ln>
    <a:effectLst/>
  </c:spPr>
  <c:txPr>
    <a:bodyPr/>
    <a:lstStyle/>
    <a:p>
      <a:pPr>
        <a:defRPr/>
      </a:pPr>
      <a:endParaRPr lang="th-TH"/>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baseline="0"/>
              <a:t>January 2026 </a:t>
            </a:r>
            <a:r>
              <a:rPr lang="en-US"/>
              <a:t>Weight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th-TH"/>
        </a:p>
      </c:txPr>
    </c:title>
    <c:autoTitleDeleted val="0"/>
    <c:plotArea>
      <c:layout/>
      <c:lineChart>
        <c:grouping val="standard"/>
        <c:varyColors val="0"/>
        <c:ser>
          <c:idx val="0"/>
          <c:order val="0"/>
          <c:tx>
            <c:strRef>
              <c:f>'Training Program 2.0'!$JE$99</c:f>
              <c:strCache>
                <c:ptCount val="1"/>
                <c:pt idx="0">
                  <c:v>Weight</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th-TH"/>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trendline>
            <c:spPr>
              <a:ln w="19050" cap="rnd">
                <a:solidFill>
                  <a:schemeClr val="accent1"/>
                </a:solidFill>
              </a:ln>
              <a:effectLst/>
            </c:spPr>
            <c:trendlineType val="linear"/>
            <c:dispRSqr val="0"/>
            <c:dispEq val="0"/>
          </c:trendline>
          <c:val>
            <c:numRef>
              <c:f>'Training Program 2.0'!$JE$100:$JE$130</c:f>
              <c:numCache>
                <c:formatCode>0.0</c:formatCode>
                <c:ptCount val="31"/>
                <c:pt idx="0">
                  <c:v>76.900000000000006</c:v>
                </c:pt>
                <c:pt idx="1">
                  <c:v>76.900000000000006</c:v>
                </c:pt>
                <c:pt idx="2">
                  <c:v>76.900000000000006</c:v>
                </c:pt>
                <c:pt idx="3">
                  <c:v>76.900000000000006</c:v>
                </c:pt>
                <c:pt idx="4">
                  <c:v>77.400000000000006</c:v>
                </c:pt>
                <c:pt idx="5">
                  <c:v>77.400000000000006</c:v>
                </c:pt>
                <c:pt idx="6">
                  <c:v>77.099999999999994</c:v>
                </c:pt>
                <c:pt idx="7">
                  <c:v>77.099999999999994</c:v>
                </c:pt>
                <c:pt idx="8">
                  <c:v>76.7</c:v>
                </c:pt>
                <c:pt idx="9">
                  <c:v>76.7</c:v>
                </c:pt>
                <c:pt idx="10">
                  <c:v>77</c:v>
                </c:pt>
                <c:pt idx="11">
                  <c:v>76.5</c:v>
                </c:pt>
                <c:pt idx="12">
                  <c:v>76.5</c:v>
                </c:pt>
                <c:pt idx="13">
                  <c:v>77</c:v>
                </c:pt>
                <c:pt idx="14">
                  <c:v>77.3</c:v>
                </c:pt>
              </c:numCache>
            </c:numRef>
          </c:val>
          <c:smooth val="0"/>
          <c:extLst>
            <c:ext xmlns:c16="http://schemas.microsoft.com/office/drawing/2014/chart" uri="{C3380CC4-5D6E-409C-BE32-E72D297353CC}">
              <c16:uniqueId val="{00000001-BB6B-48E7-927A-28883A5A25D4}"/>
            </c:ext>
          </c:extLst>
        </c:ser>
        <c:dLbls>
          <c:dLblPos val="t"/>
          <c:showLegendKey val="0"/>
          <c:showVal val="1"/>
          <c:showCatName val="0"/>
          <c:showSerName val="0"/>
          <c:showPercent val="0"/>
          <c:showBubbleSize val="0"/>
        </c:dLbls>
        <c:marker val="1"/>
        <c:smooth val="0"/>
        <c:axId val="933139088"/>
        <c:axId val="933122288"/>
        <c:extLst>
          <c:ext xmlns:c15="http://schemas.microsoft.com/office/drawing/2012/chart" uri="{02D57815-91ED-43cb-92C2-25804820EDAC}">
            <c15:filteredLineSeries>
              <c15:ser>
                <c:idx val="1"/>
                <c:order val="1"/>
                <c:tx>
                  <c:strRef>
                    <c:extLst>
                      <c:ext uri="{02D57815-91ED-43cb-92C2-25804820EDAC}">
                        <c15:formulaRef>
                          <c15:sqref>'Training Program 2.0'!$JF$99</c15:sqref>
                        </c15:formulaRef>
                      </c:ext>
                    </c:extLst>
                    <c:strCache>
                      <c:ptCount val="1"/>
                      <c:pt idx="0">
                        <c:v>Date</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th-TH"/>
                    </a:p>
                  </c:txPr>
                  <c:dLblPos val="t"/>
                  <c:showLegendKey val="0"/>
                  <c:showVal val="1"/>
                  <c:showCatName val="0"/>
                  <c:showSerName val="0"/>
                  <c:showPercent val="0"/>
                  <c:showBubbleSize val="0"/>
                  <c:showLeaderLines val="0"/>
                  <c:extLst>
                    <c:ext uri="{CE6537A1-D6FC-4f65-9D91-7224C49458BB}">
                      <c15:showLeaderLines val="1"/>
                      <c15:leaderLines>
                        <c:spPr>
                          <a:ln w="9525">
                            <a:solidFill>
                              <a:schemeClr val="dk1">
                                <a:lumMod val="50000"/>
                                <a:lumOff val="50000"/>
                              </a:schemeClr>
                            </a:solidFill>
                          </a:ln>
                          <a:effectLst/>
                        </c:spPr>
                      </c15:leaderLines>
                    </c:ext>
                  </c:extLst>
                </c:dLbls>
                <c:val>
                  <c:numRef>
                    <c:extLst>
                      <c:ext uri="{02D57815-91ED-43cb-92C2-25804820EDAC}">
                        <c15:formulaRef>
                          <c15:sqref>'Training Program 2.0'!$JF$100:$JF$130</c15:sqref>
                        </c15:formulaRef>
                      </c:ext>
                    </c:extLst>
                    <c:numCache>
                      <c:formatCode>[$-409]d/mmm;@</c:formatCode>
                      <c:ptCount val="31"/>
                      <c:pt idx="0">
                        <c:v>46023</c:v>
                      </c:pt>
                      <c:pt idx="1">
                        <c:v>46024</c:v>
                      </c:pt>
                      <c:pt idx="2">
                        <c:v>46025</c:v>
                      </c:pt>
                      <c:pt idx="3">
                        <c:v>46026</c:v>
                      </c:pt>
                      <c:pt idx="4">
                        <c:v>46027</c:v>
                      </c:pt>
                      <c:pt idx="5">
                        <c:v>46028</c:v>
                      </c:pt>
                      <c:pt idx="6">
                        <c:v>46029</c:v>
                      </c:pt>
                      <c:pt idx="7">
                        <c:v>46030</c:v>
                      </c:pt>
                      <c:pt idx="8">
                        <c:v>46031</c:v>
                      </c:pt>
                      <c:pt idx="9">
                        <c:v>46032</c:v>
                      </c:pt>
                      <c:pt idx="10">
                        <c:v>46033</c:v>
                      </c:pt>
                      <c:pt idx="11">
                        <c:v>46034</c:v>
                      </c:pt>
                      <c:pt idx="12">
                        <c:v>46035</c:v>
                      </c:pt>
                      <c:pt idx="13">
                        <c:v>46036</c:v>
                      </c:pt>
                      <c:pt idx="14">
                        <c:v>46037</c:v>
                      </c:pt>
                      <c:pt idx="15">
                        <c:v>46038</c:v>
                      </c:pt>
                      <c:pt idx="16">
                        <c:v>46039</c:v>
                      </c:pt>
                      <c:pt idx="17">
                        <c:v>46040</c:v>
                      </c:pt>
                      <c:pt idx="18">
                        <c:v>46041</c:v>
                      </c:pt>
                      <c:pt idx="19">
                        <c:v>46042</c:v>
                      </c:pt>
                      <c:pt idx="20">
                        <c:v>46043</c:v>
                      </c:pt>
                      <c:pt idx="21">
                        <c:v>46044</c:v>
                      </c:pt>
                      <c:pt idx="22">
                        <c:v>46045</c:v>
                      </c:pt>
                      <c:pt idx="23">
                        <c:v>46046</c:v>
                      </c:pt>
                      <c:pt idx="24">
                        <c:v>46047</c:v>
                      </c:pt>
                      <c:pt idx="25">
                        <c:v>46048</c:v>
                      </c:pt>
                      <c:pt idx="26">
                        <c:v>46049</c:v>
                      </c:pt>
                      <c:pt idx="27">
                        <c:v>46050</c:v>
                      </c:pt>
                      <c:pt idx="28">
                        <c:v>46051</c:v>
                      </c:pt>
                      <c:pt idx="29">
                        <c:v>46052</c:v>
                      </c:pt>
                      <c:pt idx="30">
                        <c:v>46053</c:v>
                      </c:pt>
                    </c:numCache>
                  </c:numRef>
                </c:val>
                <c:smooth val="0"/>
                <c:extLst>
                  <c:ext xmlns:c16="http://schemas.microsoft.com/office/drawing/2014/chart" uri="{C3380CC4-5D6E-409C-BE32-E72D297353CC}">
                    <c16:uniqueId val="{00000002-BB6B-48E7-927A-28883A5A25D4}"/>
                  </c:ext>
                </c:extLst>
              </c15:ser>
            </c15:filteredLineSeries>
          </c:ext>
        </c:extLst>
      </c:lineChart>
      <c:catAx>
        <c:axId val="933139088"/>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th-TH"/>
          </a:p>
        </c:txPr>
        <c:crossAx val="933122288"/>
        <c:crosses val="autoZero"/>
        <c:auto val="1"/>
        <c:lblAlgn val="ctr"/>
        <c:lblOffset val="100"/>
        <c:noMultiLvlLbl val="0"/>
      </c:catAx>
      <c:valAx>
        <c:axId val="933122288"/>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th-TH"/>
          </a:p>
        </c:txPr>
        <c:crossAx val="933139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65000"/>
      </a:schemeClr>
    </a:solidFill>
    <a:ln w="9525" cap="flat" cmpd="sng" algn="ctr">
      <a:solidFill>
        <a:schemeClr val="dk1">
          <a:lumMod val="25000"/>
          <a:lumOff val="75000"/>
        </a:schemeClr>
      </a:solidFill>
      <a:round/>
    </a:ln>
    <a:effectLst/>
  </c:spPr>
  <c:txPr>
    <a:bodyPr/>
    <a:lstStyle/>
    <a:p>
      <a:pPr>
        <a:defRPr/>
      </a:pPr>
      <a:endParaRPr lang="th-TH"/>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baseline="0"/>
              <a:t>January 2026 </a:t>
            </a:r>
            <a:r>
              <a:rPr lang="en-US"/>
              <a:t>Weight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th-TH"/>
        </a:p>
      </c:txPr>
    </c:title>
    <c:autoTitleDeleted val="0"/>
    <c:plotArea>
      <c:layout/>
      <c:lineChart>
        <c:grouping val="standard"/>
        <c:varyColors val="0"/>
        <c:ser>
          <c:idx val="0"/>
          <c:order val="0"/>
          <c:tx>
            <c:strRef>
              <c:f>'💪 Training Program 3.0'!$AL$99</c:f>
              <c:strCache>
                <c:ptCount val="1"/>
                <c:pt idx="0">
                  <c:v>Weight</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th-TH"/>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trendline>
            <c:spPr>
              <a:ln w="19050" cap="rnd">
                <a:solidFill>
                  <a:schemeClr val="accent1"/>
                </a:solidFill>
              </a:ln>
              <a:effectLst/>
            </c:spPr>
            <c:trendlineType val="linear"/>
            <c:dispRSqr val="0"/>
            <c:dispEq val="0"/>
          </c:trendline>
          <c:val>
            <c:numRef>
              <c:f>'💪 Training Program 3.0'!$AL$100:$AL$130</c:f>
              <c:numCache>
                <c:formatCode>0.0</c:formatCode>
                <c:ptCount val="31"/>
                <c:pt idx="0">
                  <c:v>76.900000000000006</c:v>
                </c:pt>
                <c:pt idx="1">
                  <c:v>76.900000000000006</c:v>
                </c:pt>
                <c:pt idx="2">
                  <c:v>76.900000000000006</c:v>
                </c:pt>
                <c:pt idx="3">
                  <c:v>76.900000000000006</c:v>
                </c:pt>
                <c:pt idx="4">
                  <c:v>77.400000000000006</c:v>
                </c:pt>
                <c:pt idx="5">
                  <c:v>77.400000000000006</c:v>
                </c:pt>
                <c:pt idx="6">
                  <c:v>77.099999999999994</c:v>
                </c:pt>
                <c:pt idx="7">
                  <c:v>77.099999999999994</c:v>
                </c:pt>
                <c:pt idx="8">
                  <c:v>76.7</c:v>
                </c:pt>
                <c:pt idx="9">
                  <c:v>76.7</c:v>
                </c:pt>
                <c:pt idx="10">
                  <c:v>77</c:v>
                </c:pt>
                <c:pt idx="11">
                  <c:v>76.5</c:v>
                </c:pt>
                <c:pt idx="12">
                  <c:v>76.5</c:v>
                </c:pt>
                <c:pt idx="13">
                  <c:v>77</c:v>
                </c:pt>
                <c:pt idx="14">
                  <c:v>77.3</c:v>
                </c:pt>
                <c:pt idx="15">
                  <c:v>77.5</c:v>
                </c:pt>
                <c:pt idx="16">
                  <c:v>77.5</c:v>
                </c:pt>
                <c:pt idx="17">
                  <c:v>77.400000000000006</c:v>
                </c:pt>
                <c:pt idx="18">
                  <c:v>77.3</c:v>
                </c:pt>
                <c:pt idx="19">
                  <c:v>77.3</c:v>
                </c:pt>
                <c:pt idx="20">
                  <c:v>77.2</c:v>
                </c:pt>
                <c:pt idx="21">
                  <c:v>77.599999999999994</c:v>
                </c:pt>
                <c:pt idx="22">
                  <c:v>78.099999999999994</c:v>
                </c:pt>
                <c:pt idx="23">
                  <c:v>78.099999999999994</c:v>
                </c:pt>
                <c:pt idx="24">
                  <c:v>77</c:v>
                </c:pt>
                <c:pt idx="25">
                  <c:v>77.099999999999994</c:v>
                </c:pt>
                <c:pt idx="26">
                  <c:v>77.2</c:v>
                </c:pt>
                <c:pt idx="27">
                  <c:v>77.3</c:v>
                </c:pt>
                <c:pt idx="28">
                  <c:v>78.099999999999994</c:v>
                </c:pt>
                <c:pt idx="29">
                  <c:v>78.599999999999994</c:v>
                </c:pt>
                <c:pt idx="30">
                  <c:v>78.599999999999994</c:v>
                </c:pt>
              </c:numCache>
            </c:numRef>
          </c:val>
          <c:smooth val="0"/>
          <c:extLst>
            <c:ext xmlns:c16="http://schemas.microsoft.com/office/drawing/2014/chart" uri="{C3380CC4-5D6E-409C-BE32-E72D297353CC}">
              <c16:uniqueId val="{00000001-58D8-42E7-892A-9CB2833FC227}"/>
            </c:ext>
          </c:extLst>
        </c:ser>
        <c:dLbls>
          <c:dLblPos val="t"/>
          <c:showLegendKey val="0"/>
          <c:showVal val="1"/>
          <c:showCatName val="0"/>
          <c:showSerName val="0"/>
          <c:showPercent val="0"/>
          <c:showBubbleSize val="0"/>
        </c:dLbls>
        <c:marker val="1"/>
        <c:smooth val="0"/>
        <c:axId val="933139088"/>
        <c:axId val="933122288"/>
        <c:extLst>
          <c:ext xmlns:c15="http://schemas.microsoft.com/office/drawing/2012/chart" uri="{02D57815-91ED-43cb-92C2-25804820EDAC}">
            <c15:filteredLineSeries>
              <c15:ser>
                <c:idx val="1"/>
                <c:order val="1"/>
                <c:tx>
                  <c:strRef>
                    <c:extLst>
                      <c:ext uri="{02D57815-91ED-43cb-92C2-25804820EDAC}">
                        <c15:formulaRef>
                          <c15:sqref>'💪 Training Program 3.0'!$AM$99</c15:sqref>
                        </c15:formulaRef>
                      </c:ext>
                    </c:extLst>
                    <c:strCache>
                      <c:ptCount val="1"/>
                      <c:pt idx="0">
                        <c:v>Date</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th-TH"/>
                    </a:p>
                  </c:txPr>
                  <c:dLblPos val="t"/>
                  <c:showLegendKey val="0"/>
                  <c:showVal val="1"/>
                  <c:showCatName val="0"/>
                  <c:showSerName val="0"/>
                  <c:showPercent val="0"/>
                  <c:showBubbleSize val="0"/>
                  <c:showLeaderLines val="0"/>
                  <c:extLst>
                    <c:ext uri="{CE6537A1-D6FC-4f65-9D91-7224C49458BB}">
                      <c15:showLeaderLines val="1"/>
                      <c15:leaderLines>
                        <c:spPr>
                          <a:ln w="9525">
                            <a:solidFill>
                              <a:schemeClr val="dk1">
                                <a:lumMod val="50000"/>
                                <a:lumOff val="50000"/>
                              </a:schemeClr>
                            </a:solidFill>
                          </a:ln>
                          <a:effectLst/>
                        </c:spPr>
                      </c15:leaderLines>
                    </c:ext>
                  </c:extLst>
                </c:dLbls>
                <c:val>
                  <c:numRef>
                    <c:extLst>
                      <c:ext uri="{02D57815-91ED-43cb-92C2-25804820EDAC}">
                        <c15:formulaRef>
                          <c15:sqref>'💪 Training Program 3.0'!$AM$100:$AM$130</c15:sqref>
                        </c15:formulaRef>
                      </c:ext>
                    </c:extLst>
                    <c:numCache>
                      <c:formatCode>[$-409]d/mmm;@</c:formatCode>
                      <c:ptCount val="31"/>
                      <c:pt idx="0">
                        <c:v>46023</c:v>
                      </c:pt>
                      <c:pt idx="1">
                        <c:v>46024</c:v>
                      </c:pt>
                      <c:pt idx="2">
                        <c:v>46025</c:v>
                      </c:pt>
                      <c:pt idx="3">
                        <c:v>46026</c:v>
                      </c:pt>
                      <c:pt idx="4">
                        <c:v>46027</c:v>
                      </c:pt>
                      <c:pt idx="5">
                        <c:v>46028</c:v>
                      </c:pt>
                      <c:pt idx="6">
                        <c:v>46029</c:v>
                      </c:pt>
                      <c:pt idx="7">
                        <c:v>46030</c:v>
                      </c:pt>
                      <c:pt idx="8">
                        <c:v>46031</c:v>
                      </c:pt>
                      <c:pt idx="9">
                        <c:v>46032</c:v>
                      </c:pt>
                      <c:pt idx="10">
                        <c:v>46033</c:v>
                      </c:pt>
                      <c:pt idx="11">
                        <c:v>46034</c:v>
                      </c:pt>
                      <c:pt idx="12">
                        <c:v>46035</c:v>
                      </c:pt>
                      <c:pt idx="13">
                        <c:v>46036</c:v>
                      </c:pt>
                      <c:pt idx="14">
                        <c:v>46037</c:v>
                      </c:pt>
                      <c:pt idx="15">
                        <c:v>46038</c:v>
                      </c:pt>
                      <c:pt idx="16">
                        <c:v>46039</c:v>
                      </c:pt>
                      <c:pt idx="17">
                        <c:v>46040</c:v>
                      </c:pt>
                      <c:pt idx="18">
                        <c:v>46041</c:v>
                      </c:pt>
                      <c:pt idx="19">
                        <c:v>46042</c:v>
                      </c:pt>
                      <c:pt idx="20">
                        <c:v>46043</c:v>
                      </c:pt>
                      <c:pt idx="21">
                        <c:v>46044</c:v>
                      </c:pt>
                      <c:pt idx="22">
                        <c:v>46045</c:v>
                      </c:pt>
                      <c:pt idx="23">
                        <c:v>46046</c:v>
                      </c:pt>
                      <c:pt idx="24">
                        <c:v>46047</c:v>
                      </c:pt>
                      <c:pt idx="25">
                        <c:v>46048</c:v>
                      </c:pt>
                      <c:pt idx="26">
                        <c:v>46049</c:v>
                      </c:pt>
                      <c:pt idx="27">
                        <c:v>46050</c:v>
                      </c:pt>
                      <c:pt idx="28">
                        <c:v>46051</c:v>
                      </c:pt>
                      <c:pt idx="29">
                        <c:v>46052</c:v>
                      </c:pt>
                      <c:pt idx="30">
                        <c:v>46053</c:v>
                      </c:pt>
                    </c:numCache>
                  </c:numRef>
                </c:val>
                <c:smooth val="0"/>
                <c:extLst>
                  <c:ext xmlns:c16="http://schemas.microsoft.com/office/drawing/2014/chart" uri="{C3380CC4-5D6E-409C-BE32-E72D297353CC}">
                    <c16:uniqueId val="{00000002-58D8-42E7-892A-9CB2833FC227}"/>
                  </c:ext>
                </c:extLst>
              </c15:ser>
            </c15:filteredLineSeries>
          </c:ext>
        </c:extLst>
      </c:lineChart>
      <c:catAx>
        <c:axId val="933139088"/>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th-TH"/>
          </a:p>
        </c:txPr>
        <c:crossAx val="933122288"/>
        <c:crosses val="autoZero"/>
        <c:auto val="1"/>
        <c:lblAlgn val="ctr"/>
        <c:lblOffset val="100"/>
        <c:noMultiLvlLbl val="0"/>
      </c:catAx>
      <c:valAx>
        <c:axId val="933122288"/>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th-TH"/>
          </a:p>
        </c:txPr>
        <c:crossAx val="933139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65000"/>
      </a:schemeClr>
    </a:solidFill>
    <a:ln w="9525" cap="flat" cmpd="sng" algn="ctr">
      <a:solidFill>
        <a:schemeClr val="dk1">
          <a:lumMod val="25000"/>
          <a:lumOff val="75000"/>
        </a:schemeClr>
      </a:solidFill>
      <a:round/>
    </a:ln>
    <a:effectLst/>
  </c:spPr>
  <c:txPr>
    <a:bodyPr/>
    <a:lstStyle/>
    <a:p>
      <a:pPr>
        <a:defRPr/>
      </a:pPr>
      <a:endParaRPr lang="th-TH"/>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baseline="0"/>
              <a:t>Feburary 2026 </a:t>
            </a:r>
            <a:r>
              <a:rPr lang="en-US"/>
              <a:t>Weight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th-TH"/>
        </a:p>
      </c:txPr>
    </c:title>
    <c:autoTitleDeleted val="0"/>
    <c:plotArea>
      <c:layout/>
      <c:lineChart>
        <c:grouping val="standard"/>
        <c:varyColors val="0"/>
        <c:ser>
          <c:idx val="0"/>
          <c:order val="0"/>
          <c:tx>
            <c:strRef>
              <c:f>'💪 Training Program 3.0'!$BI$99</c:f>
              <c:strCache>
                <c:ptCount val="1"/>
                <c:pt idx="0">
                  <c:v>Weight</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th-TH"/>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trendline>
            <c:spPr>
              <a:ln w="19050" cap="rnd">
                <a:solidFill>
                  <a:schemeClr val="accent1"/>
                </a:solidFill>
              </a:ln>
              <a:effectLst/>
            </c:spPr>
            <c:trendlineType val="linear"/>
            <c:dispRSqr val="0"/>
            <c:dispEq val="0"/>
          </c:trendline>
          <c:val>
            <c:numRef>
              <c:f>'💪 Training Program 3.0'!$BI$100:$BI$130</c:f>
              <c:numCache>
                <c:formatCode>0.0</c:formatCode>
                <c:ptCount val="31"/>
                <c:pt idx="0">
                  <c:v>77.7</c:v>
                </c:pt>
                <c:pt idx="1">
                  <c:v>77.7</c:v>
                </c:pt>
                <c:pt idx="2">
                  <c:v>77.5</c:v>
                </c:pt>
                <c:pt idx="3">
                  <c:v>78.7</c:v>
                </c:pt>
                <c:pt idx="4">
                  <c:v>78.8</c:v>
                </c:pt>
                <c:pt idx="5">
                  <c:v>79</c:v>
                </c:pt>
                <c:pt idx="6">
                  <c:v>79</c:v>
                </c:pt>
                <c:pt idx="7">
                  <c:v>77.849999999999994</c:v>
                </c:pt>
                <c:pt idx="8">
                  <c:v>77.650000000000006</c:v>
                </c:pt>
                <c:pt idx="9">
                  <c:v>77.150000000000006</c:v>
                </c:pt>
                <c:pt idx="10">
                  <c:v>77.2</c:v>
                </c:pt>
                <c:pt idx="11">
                  <c:v>77.099999999999994</c:v>
                </c:pt>
                <c:pt idx="12">
                  <c:v>76.900000000000006</c:v>
                </c:pt>
                <c:pt idx="13">
                  <c:v>76.900000000000006</c:v>
                </c:pt>
                <c:pt idx="14">
                  <c:v>76.8</c:v>
                </c:pt>
                <c:pt idx="15">
                  <c:v>77</c:v>
                </c:pt>
                <c:pt idx="16">
                  <c:v>78.599999999999994</c:v>
                </c:pt>
                <c:pt idx="17">
                  <c:v>77.7</c:v>
                </c:pt>
                <c:pt idx="18">
                  <c:v>77.5</c:v>
                </c:pt>
                <c:pt idx="19">
                  <c:v>78.400000000000006</c:v>
                </c:pt>
                <c:pt idx="20">
                  <c:v>78.400000000000006</c:v>
                </c:pt>
                <c:pt idx="21">
                  <c:v>77.75</c:v>
                </c:pt>
                <c:pt idx="22">
                  <c:v>77.8</c:v>
                </c:pt>
                <c:pt idx="23">
                  <c:v>77.8</c:v>
                </c:pt>
                <c:pt idx="24">
                  <c:v>77.55</c:v>
                </c:pt>
                <c:pt idx="25">
                  <c:v>78.5</c:v>
                </c:pt>
                <c:pt idx="26">
                  <c:v>78.7</c:v>
                </c:pt>
              </c:numCache>
            </c:numRef>
          </c:val>
          <c:smooth val="0"/>
          <c:extLst>
            <c:ext xmlns:c16="http://schemas.microsoft.com/office/drawing/2014/chart" uri="{C3380CC4-5D6E-409C-BE32-E72D297353CC}">
              <c16:uniqueId val="{00000001-2B4C-4CDF-9EAC-123DAB227321}"/>
            </c:ext>
          </c:extLst>
        </c:ser>
        <c:dLbls>
          <c:dLblPos val="t"/>
          <c:showLegendKey val="0"/>
          <c:showVal val="1"/>
          <c:showCatName val="0"/>
          <c:showSerName val="0"/>
          <c:showPercent val="0"/>
          <c:showBubbleSize val="0"/>
        </c:dLbls>
        <c:marker val="1"/>
        <c:smooth val="0"/>
        <c:axId val="933139088"/>
        <c:axId val="933122288"/>
        <c:extLst>
          <c:ext xmlns:c15="http://schemas.microsoft.com/office/drawing/2012/chart" uri="{02D57815-91ED-43cb-92C2-25804820EDAC}">
            <c15:filteredLineSeries>
              <c15:ser>
                <c:idx val="1"/>
                <c:order val="1"/>
                <c:tx>
                  <c:strRef>
                    <c:extLst>
                      <c:ext uri="{02D57815-91ED-43cb-92C2-25804820EDAC}">
                        <c15:formulaRef>
                          <c15:sqref>'💪 Training Program 3.0'!$BJ$99</c15:sqref>
                        </c15:formulaRef>
                      </c:ext>
                    </c:extLst>
                    <c:strCache>
                      <c:ptCount val="1"/>
                      <c:pt idx="0">
                        <c:v>Date</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th-TH"/>
                    </a:p>
                  </c:txPr>
                  <c:dLblPos val="t"/>
                  <c:showLegendKey val="0"/>
                  <c:showVal val="1"/>
                  <c:showCatName val="0"/>
                  <c:showSerName val="0"/>
                  <c:showPercent val="0"/>
                  <c:showBubbleSize val="0"/>
                  <c:showLeaderLines val="0"/>
                  <c:extLst>
                    <c:ext uri="{CE6537A1-D6FC-4f65-9D91-7224C49458BB}">
                      <c15:showLeaderLines val="1"/>
                      <c15:leaderLines>
                        <c:spPr>
                          <a:ln w="9525">
                            <a:solidFill>
                              <a:schemeClr val="dk1">
                                <a:lumMod val="50000"/>
                                <a:lumOff val="50000"/>
                              </a:schemeClr>
                            </a:solidFill>
                          </a:ln>
                          <a:effectLst/>
                        </c:spPr>
                      </c15:leaderLines>
                    </c:ext>
                  </c:extLst>
                </c:dLbls>
                <c:val>
                  <c:numRef>
                    <c:extLst>
                      <c:ext uri="{02D57815-91ED-43cb-92C2-25804820EDAC}">
                        <c15:formulaRef>
                          <c15:sqref>'💪 Training Program 3.0'!$BJ$100:$BJ$130</c15:sqref>
                        </c15:formulaRef>
                      </c:ext>
                    </c:extLst>
                    <c:numCache>
                      <c:formatCode>[$-409]d/mmm;@</c:formatCode>
                      <c:ptCount val="31"/>
                      <c:pt idx="0">
                        <c:v>46054</c:v>
                      </c:pt>
                      <c:pt idx="1">
                        <c:v>46055</c:v>
                      </c:pt>
                      <c:pt idx="2">
                        <c:v>46056</c:v>
                      </c:pt>
                      <c:pt idx="3">
                        <c:v>46057</c:v>
                      </c:pt>
                      <c:pt idx="4">
                        <c:v>46058</c:v>
                      </c:pt>
                      <c:pt idx="5">
                        <c:v>46059</c:v>
                      </c:pt>
                      <c:pt idx="6">
                        <c:v>46060</c:v>
                      </c:pt>
                      <c:pt idx="7">
                        <c:v>46061</c:v>
                      </c:pt>
                      <c:pt idx="8">
                        <c:v>46062</c:v>
                      </c:pt>
                      <c:pt idx="9">
                        <c:v>46063</c:v>
                      </c:pt>
                      <c:pt idx="10">
                        <c:v>46064</c:v>
                      </c:pt>
                      <c:pt idx="11">
                        <c:v>46065</c:v>
                      </c:pt>
                      <c:pt idx="12">
                        <c:v>46066</c:v>
                      </c:pt>
                      <c:pt idx="13">
                        <c:v>46067</c:v>
                      </c:pt>
                      <c:pt idx="14">
                        <c:v>46068</c:v>
                      </c:pt>
                      <c:pt idx="15">
                        <c:v>46069</c:v>
                      </c:pt>
                      <c:pt idx="16">
                        <c:v>46070</c:v>
                      </c:pt>
                      <c:pt idx="17">
                        <c:v>46071</c:v>
                      </c:pt>
                      <c:pt idx="18">
                        <c:v>46072</c:v>
                      </c:pt>
                      <c:pt idx="19">
                        <c:v>46073</c:v>
                      </c:pt>
                      <c:pt idx="20">
                        <c:v>46074</c:v>
                      </c:pt>
                      <c:pt idx="21">
                        <c:v>46075</c:v>
                      </c:pt>
                      <c:pt idx="22">
                        <c:v>46076</c:v>
                      </c:pt>
                      <c:pt idx="23">
                        <c:v>46077</c:v>
                      </c:pt>
                      <c:pt idx="24">
                        <c:v>46078</c:v>
                      </c:pt>
                      <c:pt idx="25">
                        <c:v>46079</c:v>
                      </c:pt>
                      <c:pt idx="26">
                        <c:v>46080</c:v>
                      </c:pt>
                      <c:pt idx="27">
                        <c:v>46081</c:v>
                      </c:pt>
                    </c:numCache>
                  </c:numRef>
                </c:val>
                <c:smooth val="0"/>
                <c:extLst>
                  <c:ext xmlns:c16="http://schemas.microsoft.com/office/drawing/2014/chart" uri="{C3380CC4-5D6E-409C-BE32-E72D297353CC}">
                    <c16:uniqueId val="{00000002-2B4C-4CDF-9EAC-123DAB227321}"/>
                  </c:ext>
                </c:extLst>
              </c15:ser>
            </c15:filteredLineSeries>
          </c:ext>
        </c:extLst>
      </c:lineChart>
      <c:catAx>
        <c:axId val="933139088"/>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th-TH"/>
          </a:p>
        </c:txPr>
        <c:crossAx val="933122288"/>
        <c:crosses val="autoZero"/>
        <c:auto val="1"/>
        <c:lblAlgn val="ctr"/>
        <c:lblOffset val="100"/>
        <c:noMultiLvlLbl val="0"/>
      </c:catAx>
      <c:valAx>
        <c:axId val="933122288"/>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th-TH"/>
          </a:p>
        </c:txPr>
        <c:crossAx val="933139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65000"/>
      </a:schemeClr>
    </a:solidFill>
    <a:ln w="9525" cap="flat" cmpd="sng" algn="ctr">
      <a:solidFill>
        <a:schemeClr val="dk1">
          <a:lumMod val="25000"/>
          <a:lumOff val="75000"/>
        </a:schemeClr>
      </a:solidFill>
      <a:round/>
    </a:ln>
    <a:effectLst/>
  </c:spPr>
  <c:txPr>
    <a:bodyPr/>
    <a:lstStyle/>
    <a:p>
      <a:pPr>
        <a:defRPr/>
      </a:pPr>
      <a:endParaRPr lang="th-TH"/>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baseline="0"/>
              <a:t>March 2026 </a:t>
            </a:r>
            <a:r>
              <a:rPr lang="en-US"/>
              <a:t>Weight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th-TH"/>
        </a:p>
      </c:txPr>
    </c:title>
    <c:autoTitleDeleted val="0"/>
    <c:plotArea>
      <c:layout/>
      <c:lineChart>
        <c:grouping val="standard"/>
        <c:varyColors val="0"/>
        <c:ser>
          <c:idx val="0"/>
          <c:order val="0"/>
          <c:tx>
            <c:strRef>
              <c:f>'💪 Training Program 3.0'!$CF$99</c:f>
              <c:strCache>
                <c:ptCount val="1"/>
                <c:pt idx="0">
                  <c:v>Weight</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th-TH"/>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trendline>
            <c:spPr>
              <a:ln w="19050" cap="rnd">
                <a:solidFill>
                  <a:schemeClr val="accent1"/>
                </a:solidFill>
              </a:ln>
              <a:effectLst/>
            </c:spPr>
            <c:trendlineType val="linear"/>
            <c:dispRSqr val="0"/>
            <c:dispEq val="0"/>
          </c:trendline>
          <c:val>
            <c:numRef>
              <c:f>'💪 Training Program 3.0'!$CF$100:$CF$130</c:f>
              <c:numCache>
                <c:formatCode>0.0</c:formatCode>
                <c:ptCount val="31"/>
                <c:pt idx="0">
                  <c:v>77.8</c:v>
                </c:pt>
                <c:pt idx="1">
                  <c:v>77.900000000000006</c:v>
                </c:pt>
              </c:numCache>
            </c:numRef>
          </c:val>
          <c:smooth val="0"/>
          <c:extLst>
            <c:ext xmlns:c16="http://schemas.microsoft.com/office/drawing/2014/chart" uri="{C3380CC4-5D6E-409C-BE32-E72D297353CC}">
              <c16:uniqueId val="{00000001-1E67-4BB2-89FB-5DC80E41B372}"/>
            </c:ext>
          </c:extLst>
        </c:ser>
        <c:dLbls>
          <c:dLblPos val="t"/>
          <c:showLegendKey val="0"/>
          <c:showVal val="1"/>
          <c:showCatName val="0"/>
          <c:showSerName val="0"/>
          <c:showPercent val="0"/>
          <c:showBubbleSize val="0"/>
        </c:dLbls>
        <c:marker val="1"/>
        <c:smooth val="0"/>
        <c:axId val="933139088"/>
        <c:axId val="933122288"/>
        <c:extLst>
          <c:ext xmlns:c15="http://schemas.microsoft.com/office/drawing/2012/chart" uri="{02D57815-91ED-43cb-92C2-25804820EDAC}">
            <c15:filteredLineSeries>
              <c15:ser>
                <c:idx val="1"/>
                <c:order val="1"/>
                <c:tx>
                  <c:strRef>
                    <c:extLst>
                      <c:ext uri="{02D57815-91ED-43cb-92C2-25804820EDAC}">
                        <c15:formulaRef>
                          <c15:sqref>'💪 Training Program 3.0'!$CG$99</c15:sqref>
                        </c15:formulaRef>
                      </c:ext>
                    </c:extLst>
                    <c:strCache>
                      <c:ptCount val="1"/>
                      <c:pt idx="0">
                        <c:v>Date</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th-TH"/>
                    </a:p>
                  </c:txPr>
                  <c:dLblPos val="t"/>
                  <c:showLegendKey val="0"/>
                  <c:showVal val="1"/>
                  <c:showCatName val="0"/>
                  <c:showSerName val="0"/>
                  <c:showPercent val="0"/>
                  <c:showBubbleSize val="0"/>
                  <c:showLeaderLines val="0"/>
                  <c:extLst>
                    <c:ext uri="{CE6537A1-D6FC-4f65-9D91-7224C49458BB}">
                      <c15:showLeaderLines val="1"/>
                      <c15:leaderLines>
                        <c:spPr>
                          <a:ln w="9525">
                            <a:solidFill>
                              <a:schemeClr val="dk1">
                                <a:lumMod val="50000"/>
                                <a:lumOff val="50000"/>
                              </a:schemeClr>
                            </a:solidFill>
                          </a:ln>
                          <a:effectLst/>
                        </c:spPr>
                      </c15:leaderLines>
                    </c:ext>
                  </c:extLst>
                </c:dLbls>
                <c:val>
                  <c:numRef>
                    <c:extLst>
                      <c:ext uri="{02D57815-91ED-43cb-92C2-25804820EDAC}">
                        <c15:formulaRef>
                          <c15:sqref>'💪 Training Program 3.0'!$CG$100:$CG$130</c15:sqref>
                        </c15:formulaRef>
                      </c:ext>
                    </c:extLst>
                    <c:numCache>
                      <c:formatCode>[$-409]d/mmm;@</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val>
                <c:smooth val="0"/>
                <c:extLst>
                  <c:ext xmlns:c16="http://schemas.microsoft.com/office/drawing/2014/chart" uri="{C3380CC4-5D6E-409C-BE32-E72D297353CC}">
                    <c16:uniqueId val="{00000002-1E67-4BB2-89FB-5DC80E41B372}"/>
                  </c:ext>
                </c:extLst>
              </c15:ser>
            </c15:filteredLineSeries>
          </c:ext>
        </c:extLst>
      </c:lineChart>
      <c:catAx>
        <c:axId val="933139088"/>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th-TH"/>
          </a:p>
        </c:txPr>
        <c:crossAx val="933122288"/>
        <c:crosses val="autoZero"/>
        <c:auto val="1"/>
        <c:lblAlgn val="ctr"/>
        <c:lblOffset val="100"/>
        <c:noMultiLvlLbl val="0"/>
      </c:catAx>
      <c:valAx>
        <c:axId val="933122288"/>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th-TH"/>
          </a:p>
        </c:txPr>
        <c:crossAx val="933139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65000"/>
      </a:schemeClr>
    </a:solidFill>
    <a:ln w="9525" cap="flat" cmpd="sng" algn="ctr">
      <a:solidFill>
        <a:schemeClr val="dk1">
          <a:lumMod val="25000"/>
          <a:lumOff val="75000"/>
        </a:schemeClr>
      </a:solidFill>
      <a:round/>
    </a:ln>
    <a:effectLst/>
  </c:spPr>
  <c:txPr>
    <a:bodyPr/>
    <a:lstStyle/>
    <a:p>
      <a:pPr>
        <a:defRPr/>
      </a:pPr>
      <a:endParaRPr lang="th-TH"/>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baseline="0"/>
              <a:t>January 2026 Weight</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lineChart>
        <c:grouping val="standard"/>
        <c:varyColors val="0"/>
        <c:ser>
          <c:idx val="0"/>
          <c:order val="0"/>
          <c:tx>
            <c:v>Weight (kg)</c:v>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trendline>
            <c:spPr>
              <a:ln w="19050" cap="rnd">
                <a:solidFill>
                  <a:schemeClr val="accent1"/>
                </a:solidFill>
              </a:ln>
              <a:effectLst/>
            </c:spPr>
            <c:trendlineType val="linear"/>
            <c:dispRSqr val="0"/>
            <c:dispEq val="0"/>
          </c:trendline>
          <c:trendline>
            <c:spPr>
              <a:ln w="19050" cap="rnd">
                <a:solidFill>
                  <a:schemeClr val="accent1"/>
                </a:solidFill>
              </a:ln>
              <a:effectLst/>
            </c:spPr>
            <c:trendlineType val="linear"/>
            <c:dispRSqr val="0"/>
            <c:dispEq val="0"/>
          </c:trendline>
          <c:cat>
            <c:numRef>
              <c:f>'💪 Training Program 4.0'!$R$3:$R$93</c:f>
              <c:numCache>
                <c:formatCode>d\-mmm</c:formatCode>
                <c:ptCount val="91"/>
                <c:pt idx="0">
                  <c:v>46023</c:v>
                </c:pt>
                <c:pt idx="3">
                  <c:v>46024</c:v>
                </c:pt>
                <c:pt idx="6">
                  <c:v>46025</c:v>
                </c:pt>
                <c:pt idx="9">
                  <c:v>46026</c:v>
                </c:pt>
                <c:pt idx="12">
                  <c:v>46027</c:v>
                </c:pt>
                <c:pt idx="15">
                  <c:v>46028</c:v>
                </c:pt>
                <c:pt idx="18">
                  <c:v>46029</c:v>
                </c:pt>
                <c:pt idx="21">
                  <c:v>46030</c:v>
                </c:pt>
                <c:pt idx="24">
                  <c:v>46031</c:v>
                </c:pt>
                <c:pt idx="27">
                  <c:v>46032</c:v>
                </c:pt>
                <c:pt idx="30">
                  <c:v>46033</c:v>
                </c:pt>
                <c:pt idx="33">
                  <c:v>46034</c:v>
                </c:pt>
                <c:pt idx="36">
                  <c:v>46035</c:v>
                </c:pt>
                <c:pt idx="39">
                  <c:v>46036</c:v>
                </c:pt>
                <c:pt idx="42">
                  <c:v>46037</c:v>
                </c:pt>
                <c:pt idx="45">
                  <c:v>46038</c:v>
                </c:pt>
                <c:pt idx="48">
                  <c:v>46039</c:v>
                </c:pt>
                <c:pt idx="51">
                  <c:v>46040</c:v>
                </c:pt>
                <c:pt idx="54">
                  <c:v>46041</c:v>
                </c:pt>
                <c:pt idx="57">
                  <c:v>46042</c:v>
                </c:pt>
                <c:pt idx="60">
                  <c:v>46043</c:v>
                </c:pt>
                <c:pt idx="63">
                  <c:v>46044</c:v>
                </c:pt>
                <c:pt idx="66">
                  <c:v>46045</c:v>
                </c:pt>
                <c:pt idx="69">
                  <c:v>46046</c:v>
                </c:pt>
                <c:pt idx="72">
                  <c:v>46047</c:v>
                </c:pt>
                <c:pt idx="75">
                  <c:v>46048</c:v>
                </c:pt>
                <c:pt idx="78">
                  <c:v>46049</c:v>
                </c:pt>
                <c:pt idx="81">
                  <c:v>46050</c:v>
                </c:pt>
                <c:pt idx="84">
                  <c:v>46051</c:v>
                </c:pt>
                <c:pt idx="87">
                  <c:v>46052</c:v>
                </c:pt>
                <c:pt idx="90">
                  <c:v>46053</c:v>
                </c:pt>
              </c:numCache>
            </c:numRef>
          </c:cat>
          <c:val>
            <c:numRef>
              <c:f>'💪 Training Program 4.0'!$AN$3:$AN$93</c:f>
              <c:numCache>
                <c:formatCode>0.0</c:formatCode>
                <c:ptCount val="91"/>
                <c:pt idx="0">
                  <c:v>76.900000000000006</c:v>
                </c:pt>
                <c:pt idx="3">
                  <c:v>76.900000000000006</c:v>
                </c:pt>
                <c:pt idx="6">
                  <c:v>76.900000000000006</c:v>
                </c:pt>
                <c:pt idx="9">
                  <c:v>76.900000000000006</c:v>
                </c:pt>
                <c:pt idx="12">
                  <c:v>77.400000000000006</c:v>
                </c:pt>
                <c:pt idx="15">
                  <c:v>77.400000000000006</c:v>
                </c:pt>
                <c:pt idx="18">
                  <c:v>77.099999999999994</c:v>
                </c:pt>
                <c:pt idx="21">
                  <c:v>77.099999999999994</c:v>
                </c:pt>
                <c:pt idx="24">
                  <c:v>76.7</c:v>
                </c:pt>
                <c:pt idx="27">
                  <c:v>76.7</c:v>
                </c:pt>
                <c:pt idx="30">
                  <c:v>77</c:v>
                </c:pt>
                <c:pt idx="33">
                  <c:v>76.5</c:v>
                </c:pt>
                <c:pt idx="36">
                  <c:v>76.5</c:v>
                </c:pt>
                <c:pt idx="39">
                  <c:v>77</c:v>
                </c:pt>
                <c:pt idx="42">
                  <c:v>77.3</c:v>
                </c:pt>
                <c:pt idx="45">
                  <c:v>77.5</c:v>
                </c:pt>
                <c:pt idx="48">
                  <c:v>77.5</c:v>
                </c:pt>
                <c:pt idx="51">
                  <c:v>77.400000000000006</c:v>
                </c:pt>
                <c:pt idx="54">
                  <c:v>77.3</c:v>
                </c:pt>
                <c:pt idx="57">
                  <c:v>77.3</c:v>
                </c:pt>
                <c:pt idx="60">
                  <c:v>77.2</c:v>
                </c:pt>
                <c:pt idx="63">
                  <c:v>77.599999999999994</c:v>
                </c:pt>
                <c:pt idx="66">
                  <c:v>78.099999999999994</c:v>
                </c:pt>
                <c:pt idx="69">
                  <c:v>78.099999999999994</c:v>
                </c:pt>
                <c:pt idx="72">
                  <c:v>77</c:v>
                </c:pt>
                <c:pt idx="75">
                  <c:v>77.099999999999994</c:v>
                </c:pt>
                <c:pt idx="78">
                  <c:v>77.2</c:v>
                </c:pt>
                <c:pt idx="81">
                  <c:v>77.3</c:v>
                </c:pt>
                <c:pt idx="84">
                  <c:v>78.099999999999994</c:v>
                </c:pt>
                <c:pt idx="87">
                  <c:v>78.599999999999994</c:v>
                </c:pt>
                <c:pt idx="90">
                  <c:v>78.599999999999994</c:v>
                </c:pt>
              </c:numCache>
            </c:numRef>
          </c:val>
          <c:smooth val="0"/>
          <c:extLst>
            <c:ext xmlns:c16="http://schemas.microsoft.com/office/drawing/2014/chart" uri="{C3380CC4-5D6E-409C-BE32-E72D297353CC}">
              <c16:uniqueId val="{00000001-41B3-436E-A789-23A8A49E0B72}"/>
            </c:ext>
          </c:extLst>
        </c:ser>
        <c:dLbls>
          <c:dLblPos val="t"/>
          <c:showLegendKey val="0"/>
          <c:showVal val="1"/>
          <c:showCatName val="0"/>
          <c:showSerName val="0"/>
          <c:showPercent val="0"/>
          <c:showBubbleSize val="0"/>
        </c:dLbls>
        <c:marker val="1"/>
        <c:smooth val="0"/>
        <c:axId val="933139088"/>
        <c:axId val="933122288"/>
        <c:extLst/>
      </c:lineChart>
      <c:dateAx>
        <c:axId val="933139088"/>
        <c:scaling>
          <c:orientation val="minMax"/>
        </c:scaling>
        <c:delete val="0"/>
        <c:axPos val="b"/>
        <c:numFmt formatCode="d\-mmm"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th-TH"/>
          </a:p>
        </c:txPr>
        <c:crossAx val="933122288"/>
        <c:crosses val="autoZero"/>
        <c:auto val="1"/>
        <c:lblOffset val="100"/>
        <c:baseTimeUnit val="days"/>
      </c:dateAx>
      <c:valAx>
        <c:axId val="933122288"/>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th-TH"/>
          </a:p>
        </c:txPr>
        <c:crossAx val="933139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65000"/>
      </a:schemeClr>
    </a:solidFill>
    <a:ln w="9525" cap="flat" cmpd="sng" algn="ctr">
      <a:solidFill>
        <a:schemeClr val="dk1">
          <a:lumMod val="25000"/>
          <a:lumOff val="75000"/>
        </a:schemeClr>
      </a:solidFill>
      <a:round/>
    </a:ln>
    <a:effectLst/>
  </c:spPr>
  <c:txPr>
    <a:bodyPr/>
    <a:lstStyle/>
    <a:p>
      <a:pPr>
        <a:defRPr/>
      </a:pPr>
      <a:endParaRPr lang="th-TH"/>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baseline="0"/>
              <a:t>February 2026 Weight</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lineChart>
        <c:grouping val="standard"/>
        <c:varyColors val="0"/>
        <c:ser>
          <c:idx val="0"/>
          <c:order val="0"/>
          <c:tx>
            <c:v>Weight (kg)</c:v>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trendline>
            <c:spPr>
              <a:ln w="19050" cap="rnd">
                <a:solidFill>
                  <a:schemeClr val="accent1"/>
                </a:solidFill>
              </a:ln>
              <a:effectLst/>
            </c:spPr>
            <c:trendlineType val="linear"/>
            <c:dispRSqr val="0"/>
            <c:dispEq val="0"/>
          </c:trendline>
          <c:cat>
            <c:numRef>
              <c:f>'💪 Training Program 4.0'!$AP$3:$AP$84</c:f>
              <c:numCache>
                <c:formatCode>d\-mmm</c:formatCode>
                <c:ptCount val="82"/>
                <c:pt idx="0">
                  <c:v>46054</c:v>
                </c:pt>
                <c:pt idx="3">
                  <c:v>46055</c:v>
                </c:pt>
                <c:pt idx="6">
                  <c:v>46056</c:v>
                </c:pt>
                <c:pt idx="9">
                  <c:v>46057</c:v>
                </c:pt>
                <c:pt idx="12">
                  <c:v>46058</c:v>
                </c:pt>
                <c:pt idx="15">
                  <c:v>46059</c:v>
                </c:pt>
                <c:pt idx="18">
                  <c:v>46060</c:v>
                </c:pt>
                <c:pt idx="21">
                  <c:v>46061</c:v>
                </c:pt>
                <c:pt idx="24">
                  <c:v>46062</c:v>
                </c:pt>
                <c:pt idx="27">
                  <c:v>46063</c:v>
                </c:pt>
                <c:pt idx="30">
                  <c:v>46064</c:v>
                </c:pt>
                <c:pt idx="33">
                  <c:v>46065</c:v>
                </c:pt>
                <c:pt idx="36">
                  <c:v>46066</c:v>
                </c:pt>
                <c:pt idx="39">
                  <c:v>46067</c:v>
                </c:pt>
                <c:pt idx="42">
                  <c:v>46068</c:v>
                </c:pt>
                <c:pt idx="45">
                  <c:v>46069</c:v>
                </c:pt>
                <c:pt idx="48">
                  <c:v>46070</c:v>
                </c:pt>
                <c:pt idx="51">
                  <c:v>46071</c:v>
                </c:pt>
                <c:pt idx="54">
                  <c:v>46072</c:v>
                </c:pt>
                <c:pt idx="57">
                  <c:v>46073</c:v>
                </c:pt>
                <c:pt idx="60">
                  <c:v>46074</c:v>
                </c:pt>
                <c:pt idx="63">
                  <c:v>46075</c:v>
                </c:pt>
                <c:pt idx="66">
                  <c:v>46076</c:v>
                </c:pt>
                <c:pt idx="69">
                  <c:v>46077</c:v>
                </c:pt>
                <c:pt idx="72">
                  <c:v>46078</c:v>
                </c:pt>
                <c:pt idx="75">
                  <c:v>46079</c:v>
                </c:pt>
                <c:pt idx="78">
                  <c:v>46080</c:v>
                </c:pt>
                <c:pt idx="81">
                  <c:v>46081</c:v>
                </c:pt>
              </c:numCache>
            </c:numRef>
          </c:cat>
          <c:val>
            <c:numRef>
              <c:f>'💪 Training Program 4.0'!$BL$3:$BL$84</c:f>
              <c:numCache>
                <c:formatCode>0.0</c:formatCode>
                <c:ptCount val="82"/>
                <c:pt idx="0">
                  <c:v>77.7</c:v>
                </c:pt>
                <c:pt idx="3">
                  <c:v>77.7</c:v>
                </c:pt>
                <c:pt idx="6">
                  <c:v>77.5</c:v>
                </c:pt>
                <c:pt idx="9">
                  <c:v>78.7</c:v>
                </c:pt>
                <c:pt idx="12">
                  <c:v>78.8</c:v>
                </c:pt>
                <c:pt idx="15">
                  <c:v>79</c:v>
                </c:pt>
                <c:pt idx="18">
                  <c:v>79</c:v>
                </c:pt>
                <c:pt idx="21">
                  <c:v>77.849999999999994</c:v>
                </c:pt>
                <c:pt idx="24">
                  <c:v>77.650000000000006</c:v>
                </c:pt>
                <c:pt idx="27">
                  <c:v>77.150000000000006</c:v>
                </c:pt>
                <c:pt idx="30">
                  <c:v>77.2</c:v>
                </c:pt>
                <c:pt idx="33">
                  <c:v>77.099999999999994</c:v>
                </c:pt>
                <c:pt idx="36">
                  <c:v>76.900000000000006</c:v>
                </c:pt>
                <c:pt idx="39">
                  <c:v>76.900000000000006</c:v>
                </c:pt>
                <c:pt idx="42">
                  <c:v>76.8</c:v>
                </c:pt>
                <c:pt idx="45">
                  <c:v>77</c:v>
                </c:pt>
                <c:pt idx="48">
                  <c:v>78.599999999999994</c:v>
                </c:pt>
                <c:pt idx="51">
                  <c:v>77.7</c:v>
                </c:pt>
                <c:pt idx="54">
                  <c:v>77.5</c:v>
                </c:pt>
                <c:pt idx="57">
                  <c:v>78.400000000000006</c:v>
                </c:pt>
                <c:pt idx="60">
                  <c:v>78.400000000000006</c:v>
                </c:pt>
                <c:pt idx="63">
                  <c:v>77.75</c:v>
                </c:pt>
                <c:pt idx="66">
                  <c:v>77.8</c:v>
                </c:pt>
                <c:pt idx="69">
                  <c:v>77.8</c:v>
                </c:pt>
                <c:pt idx="72">
                  <c:v>77.55</c:v>
                </c:pt>
                <c:pt idx="75">
                  <c:v>78.5</c:v>
                </c:pt>
                <c:pt idx="78">
                  <c:v>78.7</c:v>
                </c:pt>
                <c:pt idx="81">
                  <c:v>78.7</c:v>
                </c:pt>
              </c:numCache>
            </c:numRef>
          </c:val>
          <c:smooth val="0"/>
          <c:extLst>
            <c:ext xmlns:c16="http://schemas.microsoft.com/office/drawing/2014/chart" uri="{C3380CC4-5D6E-409C-BE32-E72D297353CC}">
              <c16:uniqueId val="{00000001-5790-4D43-A897-FE2DD3DCC186}"/>
            </c:ext>
          </c:extLst>
        </c:ser>
        <c:dLbls>
          <c:dLblPos val="t"/>
          <c:showLegendKey val="0"/>
          <c:showVal val="1"/>
          <c:showCatName val="0"/>
          <c:showSerName val="0"/>
          <c:showPercent val="0"/>
          <c:showBubbleSize val="0"/>
        </c:dLbls>
        <c:marker val="1"/>
        <c:smooth val="0"/>
        <c:axId val="933139088"/>
        <c:axId val="933122288"/>
        <c:extLst/>
      </c:lineChart>
      <c:dateAx>
        <c:axId val="933139088"/>
        <c:scaling>
          <c:orientation val="minMax"/>
        </c:scaling>
        <c:delete val="0"/>
        <c:axPos val="b"/>
        <c:numFmt formatCode="d\-mmm"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th-TH"/>
          </a:p>
        </c:txPr>
        <c:crossAx val="933122288"/>
        <c:crosses val="autoZero"/>
        <c:auto val="1"/>
        <c:lblOffset val="100"/>
        <c:baseTimeUnit val="days"/>
      </c:dateAx>
      <c:valAx>
        <c:axId val="933122288"/>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th-TH"/>
          </a:p>
        </c:txPr>
        <c:crossAx val="933139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65000"/>
      </a:schemeClr>
    </a:solidFill>
    <a:ln w="9525" cap="flat" cmpd="sng" algn="ctr">
      <a:solidFill>
        <a:schemeClr val="dk1">
          <a:lumMod val="25000"/>
          <a:lumOff val="75000"/>
        </a:schemeClr>
      </a:solidFill>
      <a:round/>
    </a:ln>
    <a:effectLst/>
  </c:spPr>
  <c:txPr>
    <a:bodyPr/>
    <a:lstStyle/>
    <a:p>
      <a:pPr>
        <a:defRPr/>
      </a:pPr>
      <a:endParaRPr lang="th-TH"/>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baseline="0"/>
              <a:t>March 2026 Weight</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lineChart>
        <c:grouping val="standard"/>
        <c:varyColors val="0"/>
        <c:ser>
          <c:idx val="0"/>
          <c:order val="0"/>
          <c:tx>
            <c:v>Weight (kg)</c:v>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trendline>
            <c:spPr>
              <a:ln w="19050" cap="rnd">
                <a:solidFill>
                  <a:schemeClr val="accent1"/>
                </a:solidFill>
              </a:ln>
              <a:effectLst/>
            </c:spPr>
            <c:trendlineType val="linear"/>
            <c:dispRSqr val="0"/>
            <c:dispEq val="0"/>
          </c:trendline>
          <c:cat>
            <c:numRef>
              <c:f>'💪 Training Program 4.0'!$BN$3:$BN$93</c:f>
              <c:numCache>
                <c:formatCode>d\-mmm</c:formatCode>
                <c:ptCount val="91"/>
                <c:pt idx="0">
                  <c:v>46082</c:v>
                </c:pt>
                <c:pt idx="3">
                  <c:v>46083</c:v>
                </c:pt>
                <c:pt idx="6">
                  <c:v>46084</c:v>
                </c:pt>
                <c:pt idx="9">
                  <c:v>46085</c:v>
                </c:pt>
                <c:pt idx="12">
                  <c:v>46086</c:v>
                </c:pt>
                <c:pt idx="15">
                  <c:v>46087</c:v>
                </c:pt>
                <c:pt idx="18">
                  <c:v>46088</c:v>
                </c:pt>
                <c:pt idx="21">
                  <c:v>46089</c:v>
                </c:pt>
                <c:pt idx="24">
                  <c:v>46090</c:v>
                </c:pt>
                <c:pt idx="27">
                  <c:v>46091</c:v>
                </c:pt>
                <c:pt idx="30">
                  <c:v>46092</c:v>
                </c:pt>
                <c:pt idx="33">
                  <c:v>46093</c:v>
                </c:pt>
                <c:pt idx="36">
                  <c:v>46094</c:v>
                </c:pt>
                <c:pt idx="39">
                  <c:v>46095</c:v>
                </c:pt>
                <c:pt idx="42">
                  <c:v>46096</c:v>
                </c:pt>
                <c:pt idx="45">
                  <c:v>46097</c:v>
                </c:pt>
                <c:pt idx="48">
                  <c:v>46098</c:v>
                </c:pt>
                <c:pt idx="51">
                  <c:v>46099</c:v>
                </c:pt>
                <c:pt idx="54">
                  <c:v>46100</c:v>
                </c:pt>
                <c:pt idx="57">
                  <c:v>46101</c:v>
                </c:pt>
                <c:pt idx="60">
                  <c:v>46102</c:v>
                </c:pt>
                <c:pt idx="63">
                  <c:v>46103</c:v>
                </c:pt>
                <c:pt idx="66">
                  <c:v>46104</c:v>
                </c:pt>
                <c:pt idx="69">
                  <c:v>46105</c:v>
                </c:pt>
                <c:pt idx="72">
                  <c:v>46106</c:v>
                </c:pt>
                <c:pt idx="75">
                  <c:v>46107</c:v>
                </c:pt>
                <c:pt idx="78">
                  <c:v>46108</c:v>
                </c:pt>
                <c:pt idx="81">
                  <c:v>46109</c:v>
                </c:pt>
                <c:pt idx="84">
                  <c:v>46110</c:v>
                </c:pt>
                <c:pt idx="87">
                  <c:v>46111</c:v>
                </c:pt>
                <c:pt idx="90">
                  <c:v>46112</c:v>
                </c:pt>
              </c:numCache>
            </c:numRef>
          </c:cat>
          <c:val>
            <c:numRef>
              <c:f>'💪 Training Program 4.0'!$CJ$3:$CJ$93</c:f>
              <c:numCache>
                <c:formatCode>0.0</c:formatCode>
                <c:ptCount val="91"/>
                <c:pt idx="0">
                  <c:v>77.8</c:v>
                </c:pt>
                <c:pt idx="3">
                  <c:v>77.900000000000006</c:v>
                </c:pt>
                <c:pt idx="6">
                  <c:v>77</c:v>
                </c:pt>
                <c:pt idx="9">
                  <c:v>77.8</c:v>
                </c:pt>
                <c:pt idx="12">
                  <c:v>78.5</c:v>
                </c:pt>
                <c:pt idx="15">
                  <c:v>78.5</c:v>
                </c:pt>
                <c:pt idx="18">
                  <c:v>76.8</c:v>
                </c:pt>
                <c:pt idx="21">
                  <c:v>76.8</c:v>
                </c:pt>
                <c:pt idx="24">
                  <c:v>79.150000000000006</c:v>
                </c:pt>
                <c:pt idx="27">
                  <c:v>79.3</c:v>
                </c:pt>
                <c:pt idx="30">
                  <c:v>78.599999999999994</c:v>
                </c:pt>
                <c:pt idx="33">
                  <c:v>79.099999999999994</c:v>
                </c:pt>
                <c:pt idx="36">
                  <c:v>78.5</c:v>
                </c:pt>
                <c:pt idx="39">
                  <c:v>78.5</c:v>
                </c:pt>
                <c:pt idx="42">
                  <c:v>77.150000000000006</c:v>
                </c:pt>
                <c:pt idx="45">
                  <c:v>77.3</c:v>
                </c:pt>
                <c:pt idx="48">
                  <c:v>77.95</c:v>
                </c:pt>
                <c:pt idx="51">
                  <c:v>78.05</c:v>
                </c:pt>
                <c:pt idx="54">
                  <c:v>78.05</c:v>
                </c:pt>
                <c:pt idx="57">
                  <c:v>77.8</c:v>
                </c:pt>
                <c:pt idx="60">
                  <c:v>77.8</c:v>
                </c:pt>
                <c:pt idx="63">
                  <c:v>76.3</c:v>
                </c:pt>
                <c:pt idx="66">
                  <c:v>77.25</c:v>
                </c:pt>
                <c:pt idx="69">
                  <c:v>78.099999999999994</c:v>
                </c:pt>
                <c:pt idx="72">
                  <c:v>78.099999999999994</c:v>
                </c:pt>
                <c:pt idx="75">
                  <c:v>78.099999999999994</c:v>
                </c:pt>
                <c:pt idx="78">
                  <c:v>78.3</c:v>
                </c:pt>
                <c:pt idx="81">
                  <c:v>78.3</c:v>
                </c:pt>
                <c:pt idx="84">
                  <c:v>76.8</c:v>
                </c:pt>
                <c:pt idx="87">
                  <c:v>77.3</c:v>
                </c:pt>
                <c:pt idx="90">
                  <c:v>78.599999999999994</c:v>
                </c:pt>
              </c:numCache>
            </c:numRef>
          </c:val>
          <c:smooth val="0"/>
          <c:extLst>
            <c:ext xmlns:c16="http://schemas.microsoft.com/office/drawing/2014/chart" uri="{C3380CC4-5D6E-409C-BE32-E72D297353CC}">
              <c16:uniqueId val="{00000001-C2E3-4F83-B789-549041B21266}"/>
            </c:ext>
          </c:extLst>
        </c:ser>
        <c:dLbls>
          <c:dLblPos val="t"/>
          <c:showLegendKey val="0"/>
          <c:showVal val="1"/>
          <c:showCatName val="0"/>
          <c:showSerName val="0"/>
          <c:showPercent val="0"/>
          <c:showBubbleSize val="0"/>
        </c:dLbls>
        <c:marker val="1"/>
        <c:smooth val="0"/>
        <c:axId val="933139088"/>
        <c:axId val="933122288"/>
        <c:extLst/>
      </c:lineChart>
      <c:dateAx>
        <c:axId val="933139088"/>
        <c:scaling>
          <c:orientation val="minMax"/>
        </c:scaling>
        <c:delete val="0"/>
        <c:axPos val="b"/>
        <c:numFmt formatCode="d\-mmm"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th-TH"/>
          </a:p>
        </c:txPr>
        <c:crossAx val="933122288"/>
        <c:crosses val="autoZero"/>
        <c:auto val="1"/>
        <c:lblOffset val="100"/>
        <c:baseTimeUnit val="days"/>
      </c:dateAx>
      <c:valAx>
        <c:axId val="933122288"/>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th-TH"/>
          </a:p>
        </c:txPr>
        <c:crossAx val="933139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65000"/>
      </a:schemeClr>
    </a:solidFill>
    <a:ln w="9525" cap="flat" cmpd="sng" algn="ctr">
      <a:solidFill>
        <a:schemeClr val="dk1">
          <a:lumMod val="25000"/>
          <a:lumOff val="75000"/>
        </a:schemeClr>
      </a:solidFill>
      <a:round/>
    </a:ln>
    <a:effectLst/>
  </c:spPr>
  <c:txPr>
    <a:bodyPr/>
    <a:lstStyle/>
    <a:p>
      <a:pPr>
        <a:defRPr/>
      </a:pPr>
      <a:endParaRPr lang="th-TH"/>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baseline="0"/>
              <a:t>April 2026 Weight</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lineChart>
        <c:grouping val="standard"/>
        <c:varyColors val="0"/>
        <c:ser>
          <c:idx val="0"/>
          <c:order val="0"/>
          <c:tx>
            <c:v>Weight (kg)</c:v>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trendline>
            <c:spPr>
              <a:ln w="19050" cap="rnd">
                <a:solidFill>
                  <a:schemeClr val="accent1"/>
                </a:solidFill>
              </a:ln>
              <a:effectLst/>
            </c:spPr>
            <c:trendlineType val="linear"/>
            <c:dispRSqr val="0"/>
            <c:dispEq val="0"/>
          </c:trendline>
          <c:cat>
            <c:numRef>
              <c:f>'💪 Training Program 4.0'!$CL$3:$CL$90</c:f>
              <c:numCache>
                <c:formatCode>d\-mmm</c:formatCode>
                <c:ptCount val="88"/>
                <c:pt idx="0">
                  <c:v>46113</c:v>
                </c:pt>
                <c:pt idx="3">
                  <c:v>46114</c:v>
                </c:pt>
                <c:pt idx="6">
                  <c:v>46115</c:v>
                </c:pt>
                <c:pt idx="9">
                  <c:v>46116</c:v>
                </c:pt>
                <c:pt idx="12">
                  <c:v>46117</c:v>
                </c:pt>
                <c:pt idx="15">
                  <c:v>46118</c:v>
                </c:pt>
                <c:pt idx="18">
                  <c:v>46119</c:v>
                </c:pt>
                <c:pt idx="21">
                  <c:v>46120</c:v>
                </c:pt>
                <c:pt idx="24">
                  <c:v>46121</c:v>
                </c:pt>
                <c:pt idx="27">
                  <c:v>46122</c:v>
                </c:pt>
                <c:pt idx="30">
                  <c:v>46123</c:v>
                </c:pt>
                <c:pt idx="33">
                  <c:v>46124</c:v>
                </c:pt>
                <c:pt idx="36">
                  <c:v>46125</c:v>
                </c:pt>
                <c:pt idx="39">
                  <c:v>46126</c:v>
                </c:pt>
                <c:pt idx="42">
                  <c:v>46127</c:v>
                </c:pt>
                <c:pt idx="45">
                  <c:v>46128</c:v>
                </c:pt>
                <c:pt idx="48">
                  <c:v>46129</c:v>
                </c:pt>
                <c:pt idx="51">
                  <c:v>46130</c:v>
                </c:pt>
                <c:pt idx="54">
                  <c:v>46131</c:v>
                </c:pt>
                <c:pt idx="57">
                  <c:v>46132</c:v>
                </c:pt>
                <c:pt idx="60">
                  <c:v>46133</c:v>
                </c:pt>
                <c:pt idx="63">
                  <c:v>46134</c:v>
                </c:pt>
                <c:pt idx="66">
                  <c:v>46135</c:v>
                </c:pt>
                <c:pt idx="69">
                  <c:v>46136</c:v>
                </c:pt>
                <c:pt idx="72">
                  <c:v>46137</c:v>
                </c:pt>
                <c:pt idx="75">
                  <c:v>46138</c:v>
                </c:pt>
                <c:pt idx="78">
                  <c:v>46139</c:v>
                </c:pt>
                <c:pt idx="81">
                  <c:v>46140</c:v>
                </c:pt>
                <c:pt idx="84">
                  <c:v>46141</c:v>
                </c:pt>
                <c:pt idx="87">
                  <c:v>46142</c:v>
                </c:pt>
              </c:numCache>
            </c:numRef>
          </c:cat>
          <c:val>
            <c:numRef>
              <c:f>'💪 Training Program 4.0'!$DH$3:$DH$90</c:f>
              <c:numCache>
                <c:formatCode>0.0</c:formatCode>
                <c:ptCount val="88"/>
                <c:pt idx="0">
                  <c:v>78.599999999999994</c:v>
                </c:pt>
                <c:pt idx="3">
                  <c:v>77.7</c:v>
                </c:pt>
                <c:pt idx="6">
                  <c:v>77.150000000000006</c:v>
                </c:pt>
                <c:pt idx="9">
                  <c:v>77.150000000000006</c:v>
                </c:pt>
                <c:pt idx="12">
                  <c:v>76.25</c:v>
                </c:pt>
                <c:pt idx="15">
                  <c:v>77.400000000000006</c:v>
                </c:pt>
                <c:pt idx="18">
                  <c:v>77.900000000000006</c:v>
                </c:pt>
                <c:pt idx="21">
                  <c:v>77.900000000000006</c:v>
                </c:pt>
                <c:pt idx="24">
                  <c:v>77.900000000000006</c:v>
                </c:pt>
                <c:pt idx="27">
                  <c:v>77.900000000000006</c:v>
                </c:pt>
                <c:pt idx="30">
                  <c:v>77.900000000000006</c:v>
                </c:pt>
                <c:pt idx="33">
                  <c:v>77.900000000000006</c:v>
                </c:pt>
                <c:pt idx="36">
                  <c:v>76.3</c:v>
                </c:pt>
                <c:pt idx="39">
                  <c:v>76.3</c:v>
                </c:pt>
                <c:pt idx="42">
                  <c:v>76.3</c:v>
                </c:pt>
                <c:pt idx="45">
                  <c:v>76.3</c:v>
                </c:pt>
                <c:pt idx="48">
                  <c:v>78.3</c:v>
                </c:pt>
              </c:numCache>
            </c:numRef>
          </c:val>
          <c:smooth val="0"/>
          <c:extLst>
            <c:ext xmlns:c16="http://schemas.microsoft.com/office/drawing/2014/chart" uri="{C3380CC4-5D6E-409C-BE32-E72D297353CC}">
              <c16:uniqueId val="{00000001-EAA7-4A1F-AD80-72397C10D305}"/>
            </c:ext>
          </c:extLst>
        </c:ser>
        <c:dLbls>
          <c:dLblPos val="t"/>
          <c:showLegendKey val="0"/>
          <c:showVal val="1"/>
          <c:showCatName val="0"/>
          <c:showSerName val="0"/>
          <c:showPercent val="0"/>
          <c:showBubbleSize val="0"/>
        </c:dLbls>
        <c:marker val="1"/>
        <c:smooth val="0"/>
        <c:axId val="933139088"/>
        <c:axId val="933122288"/>
        <c:extLst/>
      </c:lineChart>
      <c:dateAx>
        <c:axId val="933139088"/>
        <c:scaling>
          <c:orientation val="minMax"/>
        </c:scaling>
        <c:delete val="0"/>
        <c:axPos val="b"/>
        <c:numFmt formatCode="d\-mmm"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th-TH"/>
          </a:p>
        </c:txPr>
        <c:crossAx val="933122288"/>
        <c:crosses val="autoZero"/>
        <c:auto val="1"/>
        <c:lblOffset val="100"/>
        <c:baseTimeUnit val="days"/>
      </c:dateAx>
      <c:valAx>
        <c:axId val="933122288"/>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th-TH"/>
          </a:p>
        </c:txPr>
        <c:crossAx val="933139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65000"/>
      </a:schemeClr>
    </a:solidFill>
    <a:ln w="9525" cap="flat" cmpd="sng" algn="ctr">
      <a:solidFill>
        <a:schemeClr val="dk1">
          <a:lumMod val="25000"/>
          <a:lumOff val="75000"/>
        </a:schemeClr>
      </a:solidFill>
      <a:round/>
    </a:ln>
    <a:effectLst/>
  </c:spPr>
  <c:txPr>
    <a:bodyPr/>
    <a:lstStyle/>
    <a:p>
      <a:pPr>
        <a:defRPr/>
      </a:pPr>
      <a:endParaRPr lang="th-TH"/>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baseline="0"/>
              <a:t>May 2026 Weight</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lineChart>
        <c:grouping val="standard"/>
        <c:varyColors val="0"/>
        <c:ser>
          <c:idx val="0"/>
          <c:order val="0"/>
          <c:tx>
            <c:v>Weight (kg)</c:v>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trendline>
            <c:spPr>
              <a:ln w="19050" cap="rnd">
                <a:solidFill>
                  <a:schemeClr val="accent1"/>
                </a:solidFill>
              </a:ln>
              <a:effectLst/>
            </c:spPr>
            <c:trendlineType val="linear"/>
            <c:dispRSqr val="0"/>
            <c:dispEq val="0"/>
          </c:trendline>
          <c:cat>
            <c:numRef>
              <c:f>'💪 Training Program 4.0'!$DJ$3:$DJ$93</c:f>
              <c:numCache>
                <c:formatCode>d\-mmm</c:formatCode>
                <c:ptCount val="91"/>
                <c:pt idx="0">
                  <c:v>46143</c:v>
                </c:pt>
                <c:pt idx="3">
                  <c:v>46144</c:v>
                </c:pt>
                <c:pt idx="6">
                  <c:v>46145</c:v>
                </c:pt>
                <c:pt idx="9">
                  <c:v>46146</c:v>
                </c:pt>
                <c:pt idx="12">
                  <c:v>46147</c:v>
                </c:pt>
                <c:pt idx="15">
                  <c:v>46148</c:v>
                </c:pt>
                <c:pt idx="18">
                  <c:v>46149</c:v>
                </c:pt>
                <c:pt idx="21">
                  <c:v>46150</c:v>
                </c:pt>
                <c:pt idx="24">
                  <c:v>46151</c:v>
                </c:pt>
                <c:pt idx="27">
                  <c:v>46152</c:v>
                </c:pt>
                <c:pt idx="30">
                  <c:v>46153</c:v>
                </c:pt>
                <c:pt idx="33">
                  <c:v>46154</c:v>
                </c:pt>
                <c:pt idx="36">
                  <c:v>46155</c:v>
                </c:pt>
                <c:pt idx="39">
                  <c:v>46156</c:v>
                </c:pt>
                <c:pt idx="42">
                  <c:v>46157</c:v>
                </c:pt>
                <c:pt idx="45">
                  <c:v>46158</c:v>
                </c:pt>
                <c:pt idx="48">
                  <c:v>46159</c:v>
                </c:pt>
                <c:pt idx="51">
                  <c:v>46160</c:v>
                </c:pt>
                <c:pt idx="54">
                  <c:v>46161</c:v>
                </c:pt>
                <c:pt idx="57">
                  <c:v>46162</c:v>
                </c:pt>
                <c:pt idx="60">
                  <c:v>46163</c:v>
                </c:pt>
                <c:pt idx="63">
                  <c:v>46164</c:v>
                </c:pt>
                <c:pt idx="66">
                  <c:v>46165</c:v>
                </c:pt>
                <c:pt idx="69">
                  <c:v>46166</c:v>
                </c:pt>
                <c:pt idx="72">
                  <c:v>46167</c:v>
                </c:pt>
                <c:pt idx="75">
                  <c:v>46168</c:v>
                </c:pt>
                <c:pt idx="78">
                  <c:v>46169</c:v>
                </c:pt>
                <c:pt idx="81">
                  <c:v>46170</c:v>
                </c:pt>
                <c:pt idx="84">
                  <c:v>46171</c:v>
                </c:pt>
                <c:pt idx="87">
                  <c:v>46172</c:v>
                </c:pt>
                <c:pt idx="90">
                  <c:v>46173</c:v>
                </c:pt>
              </c:numCache>
            </c:numRef>
          </c:cat>
          <c:val>
            <c:numRef>
              <c:f>'💪 Training Program 4.0'!$EF$3:$EF$93</c:f>
              <c:numCache>
                <c:formatCode>0.0</c:formatCode>
                <c:ptCount val="91"/>
              </c:numCache>
            </c:numRef>
          </c:val>
          <c:smooth val="0"/>
          <c:extLst>
            <c:ext xmlns:c16="http://schemas.microsoft.com/office/drawing/2014/chart" uri="{C3380CC4-5D6E-409C-BE32-E72D297353CC}">
              <c16:uniqueId val="{00000001-1EAD-4F75-9B02-2E7FA2615400}"/>
            </c:ext>
          </c:extLst>
        </c:ser>
        <c:dLbls>
          <c:dLblPos val="t"/>
          <c:showLegendKey val="0"/>
          <c:showVal val="1"/>
          <c:showCatName val="0"/>
          <c:showSerName val="0"/>
          <c:showPercent val="0"/>
          <c:showBubbleSize val="0"/>
        </c:dLbls>
        <c:marker val="1"/>
        <c:smooth val="0"/>
        <c:axId val="933139088"/>
        <c:axId val="933122288"/>
        <c:extLst/>
      </c:lineChart>
      <c:dateAx>
        <c:axId val="933139088"/>
        <c:scaling>
          <c:orientation val="minMax"/>
        </c:scaling>
        <c:delete val="0"/>
        <c:axPos val="b"/>
        <c:numFmt formatCode="d\-mmm"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th-TH"/>
          </a:p>
        </c:txPr>
        <c:crossAx val="933122288"/>
        <c:crosses val="autoZero"/>
        <c:auto val="1"/>
        <c:lblOffset val="100"/>
        <c:baseTimeUnit val="days"/>
      </c:dateAx>
      <c:valAx>
        <c:axId val="933122288"/>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th-TH"/>
          </a:p>
        </c:txPr>
        <c:crossAx val="933139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65000"/>
      </a:schemeClr>
    </a:solidFill>
    <a:ln w="9525" cap="flat" cmpd="sng" algn="ctr">
      <a:solidFill>
        <a:schemeClr val="dk1">
          <a:lumMod val="25000"/>
          <a:lumOff val="75000"/>
        </a:schemeClr>
      </a:solidFill>
      <a:round/>
    </a:ln>
    <a:effectLst/>
  </c:spPr>
  <c:txPr>
    <a:bodyPr/>
    <a:lstStyle/>
    <a:p>
      <a:pPr>
        <a:defRPr/>
      </a:pPr>
      <a:endParaRPr lang="th-TH"/>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baseline="0"/>
              <a:t>June 2026 Weight</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lineChart>
        <c:grouping val="standard"/>
        <c:varyColors val="0"/>
        <c:ser>
          <c:idx val="0"/>
          <c:order val="0"/>
          <c:tx>
            <c:v>Weight (kg)</c:v>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trendline>
            <c:spPr>
              <a:ln w="19050" cap="rnd">
                <a:solidFill>
                  <a:schemeClr val="accent1"/>
                </a:solidFill>
              </a:ln>
              <a:effectLst/>
            </c:spPr>
            <c:trendlineType val="linear"/>
            <c:dispRSqr val="0"/>
            <c:dispEq val="0"/>
          </c:trendline>
          <c:cat>
            <c:numRef>
              <c:f>'💪 Training Program 4.0'!$EH$3:$EH$90</c:f>
              <c:numCache>
                <c:formatCode>d\-mmm</c:formatCode>
                <c:ptCount val="88"/>
                <c:pt idx="0">
                  <c:v>46174</c:v>
                </c:pt>
                <c:pt idx="3">
                  <c:v>46175</c:v>
                </c:pt>
                <c:pt idx="6">
                  <c:v>46176</c:v>
                </c:pt>
                <c:pt idx="9">
                  <c:v>46177</c:v>
                </c:pt>
                <c:pt idx="12">
                  <c:v>46178</c:v>
                </c:pt>
                <c:pt idx="15">
                  <c:v>46179</c:v>
                </c:pt>
                <c:pt idx="18">
                  <c:v>46180</c:v>
                </c:pt>
                <c:pt idx="21">
                  <c:v>46181</c:v>
                </c:pt>
                <c:pt idx="24">
                  <c:v>46182</c:v>
                </c:pt>
                <c:pt idx="27">
                  <c:v>46183</c:v>
                </c:pt>
                <c:pt idx="30">
                  <c:v>46184</c:v>
                </c:pt>
                <c:pt idx="33">
                  <c:v>46185</c:v>
                </c:pt>
                <c:pt idx="36">
                  <c:v>46186</c:v>
                </c:pt>
                <c:pt idx="39">
                  <c:v>46187</c:v>
                </c:pt>
                <c:pt idx="42">
                  <c:v>46188</c:v>
                </c:pt>
                <c:pt idx="45">
                  <c:v>46189</c:v>
                </c:pt>
                <c:pt idx="48">
                  <c:v>46190</c:v>
                </c:pt>
                <c:pt idx="51">
                  <c:v>46191</c:v>
                </c:pt>
                <c:pt idx="54">
                  <c:v>46192</c:v>
                </c:pt>
                <c:pt idx="57">
                  <c:v>46193</c:v>
                </c:pt>
                <c:pt idx="60">
                  <c:v>46194</c:v>
                </c:pt>
                <c:pt idx="63">
                  <c:v>46195</c:v>
                </c:pt>
                <c:pt idx="66">
                  <c:v>46196</c:v>
                </c:pt>
                <c:pt idx="69">
                  <c:v>46197</c:v>
                </c:pt>
                <c:pt idx="72">
                  <c:v>46198</c:v>
                </c:pt>
                <c:pt idx="75">
                  <c:v>46199</c:v>
                </c:pt>
                <c:pt idx="78">
                  <c:v>46200</c:v>
                </c:pt>
                <c:pt idx="81">
                  <c:v>46201</c:v>
                </c:pt>
                <c:pt idx="84">
                  <c:v>46202</c:v>
                </c:pt>
                <c:pt idx="87">
                  <c:v>46203</c:v>
                </c:pt>
              </c:numCache>
            </c:numRef>
          </c:cat>
          <c:val>
            <c:numRef>
              <c:f>'💪 Training Program 4.0'!$FD$3:$FD$90</c:f>
              <c:numCache>
                <c:formatCode>0.0</c:formatCode>
                <c:ptCount val="88"/>
              </c:numCache>
            </c:numRef>
          </c:val>
          <c:smooth val="0"/>
          <c:extLst>
            <c:ext xmlns:c16="http://schemas.microsoft.com/office/drawing/2014/chart" uri="{C3380CC4-5D6E-409C-BE32-E72D297353CC}">
              <c16:uniqueId val="{00000001-0993-40F8-B03D-43DEFF5A6FD7}"/>
            </c:ext>
          </c:extLst>
        </c:ser>
        <c:dLbls>
          <c:dLblPos val="t"/>
          <c:showLegendKey val="0"/>
          <c:showVal val="1"/>
          <c:showCatName val="0"/>
          <c:showSerName val="0"/>
          <c:showPercent val="0"/>
          <c:showBubbleSize val="0"/>
        </c:dLbls>
        <c:marker val="1"/>
        <c:smooth val="0"/>
        <c:axId val="933139088"/>
        <c:axId val="933122288"/>
        <c:extLst/>
      </c:lineChart>
      <c:dateAx>
        <c:axId val="933139088"/>
        <c:scaling>
          <c:orientation val="minMax"/>
        </c:scaling>
        <c:delete val="0"/>
        <c:axPos val="b"/>
        <c:numFmt formatCode="d\-mmm"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th-TH"/>
          </a:p>
        </c:txPr>
        <c:crossAx val="933122288"/>
        <c:crosses val="autoZero"/>
        <c:auto val="1"/>
        <c:lblOffset val="100"/>
        <c:baseTimeUnit val="days"/>
      </c:dateAx>
      <c:valAx>
        <c:axId val="933122288"/>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th-TH"/>
          </a:p>
        </c:txPr>
        <c:crossAx val="933139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65000"/>
      </a:schemeClr>
    </a:solidFill>
    <a:ln w="9525" cap="flat" cmpd="sng" algn="ctr">
      <a:solidFill>
        <a:schemeClr val="dk1">
          <a:lumMod val="25000"/>
          <a:lumOff val="75000"/>
        </a:schemeClr>
      </a:solidFill>
      <a:round/>
    </a:ln>
    <a:effectLst/>
  </c:spPr>
  <c:txPr>
    <a:bodyPr/>
    <a:lstStyle/>
    <a:p>
      <a:pPr>
        <a:defRPr/>
      </a:pPr>
      <a:endParaRPr lang="th-TH"/>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baseline="0"/>
              <a:t>July 2026 Weight</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lineChart>
        <c:grouping val="standard"/>
        <c:varyColors val="0"/>
        <c:ser>
          <c:idx val="0"/>
          <c:order val="0"/>
          <c:tx>
            <c:v>Weight (kg)</c:v>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trendline>
            <c:spPr>
              <a:ln w="19050" cap="rnd">
                <a:solidFill>
                  <a:schemeClr val="accent1"/>
                </a:solidFill>
              </a:ln>
              <a:effectLst/>
            </c:spPr>
            <c:trendlineType val="linear"/>
            <c:dispRSqr val="0"/>
            <c:dispEq val="0"/>
          </c:trendline>
          <c:cat>
            <c:numRef>
              <c:f>'💪 Training Program 4.0'!$FF$3:$FF$93</c:f>
              <c:numCache>
                <c:formatCode>d\-mmm</c:formatCode>
                <c:ptCount val="91"/>
                <c:pt idx="0">
                  <c:v>46204</c:v>
                </c:pt>
                <c:pt idx="3">
                  <c:v>46205</c:v>
                </c:pt>
                <c:pt idx="6">
                  <c:v>46206</c:v>
                </c:pt>
                <c:pt idx="9">
                  <c:v>46207</c:v>
                </c:pt>
                <c:pt idx="12">
                  <c:v>46208</c:v>
                </c:pt>
                <c:pt idx="15">
                  <c:v>46209</c:v>
                </c:pt>
                <c:pt idx="18">
                  <c:v>46210</c:v>
                </c:pt>
                <c:pt idx="21">
                  <c:v>46211</c:v>
                </c:pt>
                <c:pt idx="24">
                  <c:v>46212</c:v>
                </c:pt>
                <c:pt idx="27">
                  <c:v>46213</c:v>
                </c:pt>
                <c:pt idx="30">
                  <c:v>46214</c:v>
                </c:pt>
                <c:pt idx="33">
                  <c:v>46215</c:v>
                </c:pt>
                <c:pt idx="36">
                  <c:v>46216</c:v>
                </c:pt>
                <c:pt idx="39">
                  <c:v>46217</c:v>
                </c:pt>
                <c:pt idx="42">
                  <c:v>46218</c:v>
                </c:pt>
                <c:pt idx="45">
                  <c:v>46219</c:v>
                </c:pt>
                <c:pt idx="48">
                  <c:v>46220</c:v>
                </c:pt>
                <c:pt idx="51">
                  <c:v>46221</c:v>
                </c:pt>
                <c:pt idx="54">
                  <c:v>46222</c:v>
                </c:pt>
                <c:pt idx="57">
                  <c:v>46223</c:v>
                </c:pt>
                <c:pt idx="60">
                  <c:v>46224</c:v>
                </c:pt>
                <c:pt idx="63">
                  <c:v>46225</c:v>
                </c:pt>
                <c:pt idx="66">
                  <c:v>46226</c:v>
                </c:pt>
                <c:pt idx="69">
                  <c:v>46227</c:v>
                </c:pt>
                <c:pt idx="72">
                  <c:v>46228</c:v>
                </c:pt>
                <c:pt idx="75">
                  <c:v>46229</c:v>
                </c:pt>
                <c:pt idx="78">
                  <c:v>46230</c:v>
                </c:pt>
                <c:pt idx="81">
                  <c:v>46231</c:v>
                </c:pt>
                <c:pt idx="84">
                  <c:v>46232</c:v>
                </c:pt>
                <c:pt idx="87">
                  <c:v>46233</c:v>
                </c:pt>
                <c:pt idx="90">
                  <c:v>46234</c:v>
                </c:pt>
              </c:numCache>
            </c:numRef>
          </c:cat>
          <c:val>
            <c:numRef>
              <c:f>'💪 Training Program 4.0'!$GB$3:$GB$93</c:f>
              <c:numCache>
                <c:formatCode>0.0</c:formatCode>
                <c:ptCount val="91"/>
              </c:numCache>
            </c:numRef>
          </c:val>
          <c:smooth val="0"/>
          <c:extLst>
            <c:ext xmlns:c16="http://schemas.microsoft.com/office/drawing/2014/chart" uri="{C3380CC4-5D6E-409C-BE32-E72D297353CC}">
              <c16:uniqueId val="{00000001-95EF-440D-9E21-971AD4AF979F}"/>
            </c:ext>
          </c:extLst>
        </c:ser>
        <c:dLbls>
          <c:dLblPos val="t"/>
          <c:showLegendKey val="0"/>
          <c:showVal val="1"/>
          <c:showCatName val="0"/>
          <c:showSerName val="0"/>
          <c:showPercent val="0"/>
          <c:showBubbleSize val="0"/>
        </c:dLbls>
        <c:marker val="1"/>
        <c:smooth val="0"/>
        <c:axId val="933139088"/>
        <c:axId val="933122288"/>
        <c:extLst/>
      </c:lineChart>
      <c:dateAx>
        <c:axId val="933139088"/>
        <c:scaling>
          <c:orientation val="minMax"/>
        </c:scaling>
        <c:delete val="0"/>
        <c:axPos val="b"/>
        <c:numFmt formatCode="d\-mmm"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th-TH"/>
          </a:p>
        </c:txPr>
        <c:crossAx val="933122288"/>
        <c:crosses val="autoZero"/>
        <c:auto val="1"/>
        <c:lblOffset val="100"/>
        <c:baseTimeUnit val="days"/>
      </c:dateAx>
      <c:valAx>
        <c:axId val="933122288"/>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th-TH"/>
          </a:p>
        </c:txPr>
        <c:crossAx val="933139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65000"/>
      </a:schemeClr>
    </a:solidFill>
    <a:ln w="9525" cap="flat" cmpd="sng" algn="ctr">
      <a:solidFill>
        <a:schemeClr val="dk1">
          <a:lumMod val="25000"/>
          <a:lumOff val="75000"/>
        </a:schemeClr>
      </a:solidFill>
      <a:round/>
    </a:ln>
    <a:effectLst/>
  </c:spPr>
  <c:txPr>
    <a:bodyPr/>
    <a:lstStyle/>
    <a:p>
      <a:pPr>
        <a:defRPr/>
      </a:pPr>
      <a:endParaRPr lang="th-TH"/>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baseline="0"/>
              <a:t>August 2026 Weight</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lineChart>
        <c:grouping val="standard"/>
        <c:varyColors val="0"/>
        <c:ser>
          <c:idx val="0"/>
          <c:order val="0"/>
          <c:tx>
            <c:v>Weight (kg)</c:v>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trendline>
            <c:spPr>
              <a:ln w="19050" cap="rnd">
                <a:solidFill>
                  <a:schemeClr val="accent1"/>
                </a:solidFill>
              </a:ln>
              <a:effectLst/>
            </c:spPr>
            <c:trendlineType val="linear"/>
            <c:dispRSqr val="0"/>
            <c:dispEq val="0"/>
          </c:trendline>
          <c:cat>
            <c:numRef>
              <c:f>'💪 Training Program 4.0'!$GD$3:$GD$93</c:f>
              <c:numCache>
                <c:formatCode>d\-mmm</c:formatCode>
                <c:ptCount val="91"/>
                <c:pt idx="0">
                  <c:v>46235</c:v>
                </c:pt>
                <c:pt idx="3">
                  <c:v>46236</c:v>
                </c:pt>
                <c:pt idx="6">
                  <c:v>46237</c:v>
                </c:pt>
                <c:pt idx="9">
                  <c:v>46238</c:v>
                </c:pt>
                <c:pt idx="12">
                  <c:v>46239</c:v>
                </c:pt>
                <c:pt idx="15">
                  <c:v>46240</c:v>
                </c:pt>
                <c:pt idx="18">
                  <c:v>46241</c:v>
                </c:pt>
                <c:pt idx="21">
                  <c:v>46242</c:v>
                </c:pt>
                <c:pt idx="24">
                  <c:v>46243</c:v>
                </c:pt>
                <c:pt idx="27">
                  <c:v>46244</c:v>
                </c:pt>
                <c:pt idx="30">
                  <c:v>46245</c:v>
                </c:pt>
                <c:pt idx="33">
                  <c:v>46246</c:v>
                </c:pt>
                <c:pt idx="36">
                  <c:v>46247</c:v>
                </c:pt>
                <c:pt idx="39">
                  <c:v>46248</c:v>
                </c:pt>
                <c:pt idx="42">
                  <c:v>46249</c:v>
                </c:pt>
                <c:pt idx="45">
                  <c:v>46250</c:v>
                </c:pt>
                <c:pt idx="48">
                  <c:v>46251</c:v>
                </c:pt>
                <c:pt idx="51">
                  <c:v>46252</c:v>
                </c:pt>
                <c:pt idx="54">
                  <c:v>46253</c:v>
                </c:pt>
                <c:pt idx="57">
                  <c:v>46254</c:v>
                </c:pt>
                <c:pt idx="60">
                  <c:v>46255</c:v>
                </c:pt>
                <c:pt idx="63">
                  <c:v>46256</c:v>
                </c:pt>
                <c:pt idx="66">
                  <c:v>46257</c:v>
                </c:pt>
                <c:pt idx="69">
                  <c:v>46258</c:v>
                </c:pt>
                <c:pt idx="72">
                  <c:v>46259</c:v>
                </c:pt>
                <c:pt idx="75">
                  <c:v>46260</c:v>
                </c:pt>
                <c:pt idx="78">
                  <c:v>46261</c:v>
                </c:pt>
                <c:pt idx="81">
                  <c:v>46262</c:v>
                </c:pt>
                <c:pt idx="84">
                  <c:v>46263</c:v>
                </c:pt>
                <c:pt idx="87">
                  <c:v>46264</c:v>
                </c:pt>
                <c:pt idx="90">
                  <c:v>46265</c:v>
                </c:pt>
              </c:numCache>
            </c:numRef>
          </c:cat>
          <c:val>
            <c:numRef>
              <c:f>'💪 Training Program 4.0'!$GZ$3:$GZ$93</c:f>
              <c:numCache>
                <c:formatCode>0.0</c:formatCode>
                <c:ptCount val="91"/>
              </c:numCache>
            </c:numRef>
          </c:val>
          <c:smooth val="0"/>
          <c:extLst>
            <c:ext xmlns:c16="http://schemas.microsoft.com/office/drawing/2014/chart" uri="{C3380CC4-5D6E-409C-BE32-E72D297353CC}">
              <c16:uniqueId val="{00000001-8132-4609-ACDF-AE1A93042AEF}"/>
            </c:ext>
          </c:extLst>
        </c:ser>
        <c:dLbls>
          <c:dLblPos val="t"/>
          <c:showLegendKey val="0"/>
          <c:showVal val="1"/>
          <c:showCatName val="0"/>
          <c:showSerName val="0"/>
          <c:showPercent val="0"/>
          <c:showBubbleSize val="0"/>
        </c:dLbls>
        <c:marker val="1"/>
        <c:smooth val="0"/>
        <c:axId val="933139088"/>
        <c:axId val="933122288"/>
        <c:extLst/>
      </c:lineChart>
      <c:dateAx>
        <c:axId val="933139088"/>
        <c:scaling>
          <c:orientation val="minMax"/>
        </c:scaling>
        <c:delete val="0"/>
        <c:axPos val="b"/>
        <c:numFmt formatCode="d\-mmm"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th-TH"/>
          </a:p>
        </c:txPr>
        <c:crossAx val="933122288"/>
        <c:crosses val="autoZero"/>
        <c:auto val="1"/>
        <c:lblOffset val="100"/>
        <c:baseTimeUnit val="days"/>
      </c:dateAx>
      <c:valAx>
        <c:axId val="933122288"/>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th-TH"/>
          </a:p>
        </c:txPr>
        <c:crossAx val="933139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65000"/>
      </a:schemeClr>
    </a:solidFill>
    <a:ln w="9525" cap="flat" cmpd="sng" algn="ctr">
      <a:solidFill>
        <a:schemeClr val="dk1">
          <a:lumMod val="25000"/>
          <a:lumOff val="75000"/>
        </a:schemeClr>
      </a:solidFill>
      <a:round/>
    </a:ln>
    <a:effectLst/>
  </c:spPr>
  <c:txPr>
    <a:bodyPr/>
    <a:lstStyle/>
    <a:p>
      <a:pPr>
        <a:defRPr/>
      </a:pPr>
      <a:endParaRPr lang="th-TH"/>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baseline="0"/>
              <a:t>September 2026 Weight</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lineChart>
        <c:grouping val="standard"/>
        <c:varyColors val="0"/>
        <c:ser>
          <c:idx val="0"/>
          <c:order val="0"/>
          <c:tx>
            <c:v>Weight (kg)</c:v>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trendline>
            <c:spPr>
              <a:ln w="19050" cap="rnd">
                <a:solidFill>
                  <a:schemeClr val="accent1"/>
                </a:solidFill>
              </a:ln>
              <a:effectLst/>
            </c:spPr>
            <c:trendlineType val="linear"/>
            <c:dispRSqr val="0"/>
            <c:dispEq val="0"/>
          </c:trendline>
          <c:cat>
            <c:numRef>
              <c:f>'💪 Training Program 4.0'!$HB$3:$HB$90</c:f>
              <c:numCache>
                <c:formatCode>d\-mmm</c:formatCode>
                <c:ptCount val="88"/>
                <c:pt idx="0">
                  <c:v>46266</c:v>
                </c:pt>
                <c:pt idx="3">
                  <c:v>46267</c:v>
                </c:pt>
                <c:pt idx="6">
                  <c:v>46268</c:v>
                </c:pt>
                <c:pt idx="9">
                  <c:v>46269</c:v>
                </c:pt>
                <c:pt idx="12">
                  <c:v>46270</c:v>
                </c:pt>
                <c:pt idx="15">
                  <c:v>46271</c:v>
                </c:pt>
                <c:pt idx="18">
                  <c:v>46272</c:v>
                </c:pt>
                <c:pt idx="21">
                  <c:v>46273</c:v>
                </c:pt>
                <c:pt idx="24">
                  <c:v>46274</c:v>
                </c:pt>
                <c:pt idx="27">
                  <c:v>46275</c:v>
                </c:pt>
                <c:pt idx="30">
                  <c:v>46276</c:v>
                </c:pt>
                <c:pt idx="33">
                  <c:v>46277</c:v>
                </c:pt>
                <c:pt idx="36">
                  <c:v>46278</c:v>
                </c:pt>
                <c:pt idx="39">
                  <c:v>46279</c:v>
                </c:pt>
                <c:pt idx="42">
                  <c:v>46280</c:v>
                </c:pt>
                <c:pt idx="45">
                  <c:v>46281</c:v>
                </c:pt>
                <c:pt idx="48">
                  <c:v>46282</c:v>
                </c:pt>
                <c:pt idx="51">
                  <c:v>46283</c:v>
                </c:pt>
                <c:pt idx="54">
                  <c:v>46284</c:v>
                </c:pt>
                <c:pt idx="57">
                  <c:v>46285</c:v>
                </c:pt>
                <c:pt idx="60">
                  <c:v>46286</c:v>
                </c:pt>
                <c:pt idx="63">
                  <c:v>46287</c:v>
                </c:pt>
                <c:pt idx="66">
                  <c:v>46288</c:v>
                </c:pt>
                <c:pt idx="69">
                  <c:v>46289</c:v>
                </c:pt>
                <c:pt idx="72">
                  <c:v>46290</c:v>
                </c:pt>
                <c:pt idx="75">
                  <c:v>46291</c:v>
                </c:pt>
                <c:pt idx="78">
                  <c:v>46292</c:v>
                </c:pt>
                <c:pt idx="81">
                  <c:v>46293</c:v>
                </c:pt>
                <c:pt idx="84">
                  <c:v>46294</c:v>
                </c:pt>
                <c:pt idx="87">
                  <c:v>46295</c:v>
                </c:pt>
              </c:numCache>
            </c:numRef>
          </c:cat>
          <c:val>
            <c:numRef>
              <c:f>'💪 Training Program 4.0'!$HX$3:$HX$90</c:f>
              <c:numCache>
                <c:formatCode>0.0</c:formatCode>
                <c:ptCount val="88"/>
              </c:numCache>
            </c:numRef>
          </c:val>
          <c:smooth val="0"/>
          <c:extLst>
            <c:ext xmlns:c16="http://schemas.microsoft.com/office/drawing/2014/chart" uri="{C3380CC4-5D6E-409C-BE32-E72D297353CC}">
              <c16:uniqueId val="{00000001-E6DF-4584-9F72-577F040F6294}"/>
            </c:ext>
          </c:extLst>
        </c:ser>
        <c:dLbls>
          <c:dLblPos val="t"/>
          <c:showLegendKey val="0"/>
          <c:showVal val="1"/>
          <c:showCatName val="0"/>
          <c:showSerName val="0"/>
          <c:showPercent val="0"/>
          <c:showBubbleSize val="0"/>
        </c:dLbls>
        <c:marker val="1"/>
        <c:smooth val="0"/>
        <c:axId val="933139088"/>
        <c:axId val="933122288"/>
        <c:extLst/>
      </c:lineChart>
      <c:dateAx>
        <c:axId val="933139088"/>
        <c:scaling>
          <c:orientation val="minMax"/>
        </c:scaling>
        <c:delete val="0"/>
        <c:axPos val="b"/>
        <c:numFmt formatCode="d\-mmm"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th-TH"/>
          </a:p>
        </c:txPr>
        <c:crossAx val="933122288"/>
        <c:crosses val="autoZero"/>
        <c:auto val="1"/>
        <c:lblOffset val="100"/>
        <c:baseTimeUnit val="days"/>
      </c:dateAx>
      <c:valAx>
        <c:axId val="933122288"/>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th-TH"/>
          </a:p>
        </c:txPr>
        <c:crossAx val="933139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65000"/>
      </a:schemeClr>
    </a:solidFill>
    <a:ln w="9525" cap="flat" cmpd="sng" algn="ctr">
      <a:solidFill>
        <a:schemeClr val="dk1">
          <a:lumMod val="25000"/>
          <a:lumOff val="75000"/>
        </a:schemeClr>
      </a:solidFill>
      <a:round/>
    </a:ln>
    <a:effectLst/>
  </c:spPr>
  <c:txPr>
    <a:bodyPr/>
    <a:lstStyle/>
    <a:p>
      <a:pPr>
        <a:defRPr/>
      </a:pPr>
      <a:endParaRPr lang="th-TH"/>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baseline="0"/>
              <a:t>October 2026 Weight</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lineChart>
        <c:grouping val="standard"/>
        <c:varyColors val="0"/>
        <c:ser>
          <c:idx val="0"/>
          <c:order val="0"/>
          <c:tx>
            <c:v>Weight (kg)</c:v>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trendline>
            <c:spPr>
              <a:ln w="19050" cap="rnd">
                <a:solidFill>
                  <a:schemeClr val="accent1"/>
                </a:solidFill>
              </a:ln>
              <a:effectLst/>
            </c:spPr>
            <c:trendlineType val="linear"/>
            <c:dispRSqr val="0"/>
            <c:dispEq val="0"/>
          </c:trendline>
          <c:cat>
            <c:numRef>
              <c:f>'💪 Training Program 4.0'!$HZ$3:$HZ$93</c:f>
              <c:numCache>
                <c:formatCode>d\-mmm</c:formatCode>
                <c:ptCount val="91"/>
                <c:pt idx="0">
                  <c:v>46296</c:v>
                </c:pt>
                <c:pt idx="3">
                  <c:v>46297</c:v>
                </c:pt>
                <c:pt idx="6">
                  <c:v>46298</c:v>
                </c:pt>
                <c:pt idx="9">
                  <c:v>46299</c:v>
                </c:pt>
                <c:pt idx="12">
                  <c:v>46300</c:v>
                </c:pt>
                <c:pt idx="15">
                  <c:v>46301</c:v>
                </c:pt>
                <c:pt idx="18">
                  <c:v>46302</c:v>
                </c:pt>
                <c:pt idx="21">
                  <c:v>46303</c:v>
                </c:pt>
                <c:pt idx="24">
                  <c:v>46304</c:v>
                </c:pt>
                <c:pt idx="27">
                  <c:v>46305</c:v>
                </c:pt>
                <c:pt idx="30">
                  <c:v>46306</c:v>
                </c:pt>
                <c:pt idx="33">
                  <c:v>46307</c:v>
                </c:pt>
                <c:pt idx="36">
                  <c:v>46308</c:v>
                </c:pt>
                <c:pt idx="39">
                  <c:v>46309</c:v>
                </c:pt>
                <c:pt idx="42">
                  <c:v>46310</c:v>
                </c:pt>
                <c:pt idx="45">
                  <c:v>46311</c:v>
                </c:pt>
                <c:pt idx="48">
                  <c:v>46312</c:v>
                </c:pt>
                <c:pt idx="51">
                  <c:v>46313</c:v>
                </c:pt>
                <c:pt idx="54">
                  <c:v>46314</c:v>
                </c:pt>
                <c:pt idx="57">
                  <c:v>46315</c:v>
                </c:pt>
                <c:pt idx="60">
                  <c:v>46316</c:v>
                </c:pt>
                <c:pt idx="63">
                  <c:v>46317</c:v>
                </c:pt>
                <c:pt idx="66">
                  <c:v>46318</c:v>
                </c:pt>
                <c:pt idx="69">
                  <c:v>46319</c:v>
                </c:pt>
                <c:pt idx="72">
                  <c:v>46320</c:v>
                </c:pt>
                <c:pt idx="75">
                  <c:v>46321</c:v>
                </c:pt>
                <c:pt idx="78">
                  <c:v>46322</c:v>
                </c:pt>
                <c:pt idx="81">
                  <c:v>46323</c:v>
                </c:pt>
                <c:pt idx="84">
                  <c:v>46324</c:v>
                </c:pt>
                <c:pt idx="87">
                  <c:v>46325</c:v>
                </c:pt>
                <c:pt idx="90">
                  <c:v>46326</c:v>
                </c:pt>
              </c:numCache>
            </c:numRef>
          </c:cat>
          <c:val>
            <c:numRef>
              <c:f>'💪 Training Program 4.0'!$IV$3:$IV$93</c:f>
              <c:numCache>
                <c:formatCode>0.0</c:formatCode>
                <c:ptCount val="91"/>
              </c:numCache>
            </c:numRef>
          </c:val>
          <c:smooth val="0"/>
          <c:extLst>
            <c:ext xmlns:c16="http://schemas.microsoft.com/office/drawing/2014/chart" uri="{C3380CC4-5D6E-409C-BE32-E72D297353CC}">
              <c16:uniqueId val="{00000001-7CBF-4B3D-BE11-D5B7165E12EF}"/>
            </c:ext>
          </c:extLst>
        </c:ser>
        <c:dLbls>
          <c:dLblPos val="t"/>
          <c:showLegendKey val="0"/>
          <c:showVal val="1"/>
          <c:showCatName val="0"/>
          <c:showSerName val="0"/>
          <c:showPercent val="0"/>
          <c:showBubbleSize val="0"/>
        </c:dLbls>
        <c:marker val="1"/>
        <c:smooth val="0"/>
        <c:axId val="933139088"/>
        <c:axId val="933122288"/>
        <c:extLst/>
      </c:lineChart>
      <c:dateAx>
        <c:axId val="933139088"/>
        <c:scaling>
          <c:orientation val="minMax"/>
        </c:scaling>
        <c:delete val="0"/>
        <c:axPos val="b"/>
        <c:numFmt formatCode="d\-mmm"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th-TH"/>
          </a:p>
        </c:txPr>
        <c:crossAx val="933122288"/>
        <c:crosses val="autoZero"/>
        <c:auto val="1"/>
        <c:lblOffset val="100"/>
        <c:baseTimeUnit val="days"/>
      </c:dateAx>
      <c:valAx>
        <c:axId val="933122288"/>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th-TH"/>
          </a:p>
        </c:txPr>
        <c:crossAx val="933139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65000"/>
      </a:schemeClr>
    </a:solidFill>
    <a:ln w="9525" cap="flat" cmpd="sng" algn="ctr">
      <a:solidFill>
        <a:schemeClr val="dk1">
          <a:lumMod val="25000"/>
          <a:lumOff val="75000"/>
        </a:schemeClr>
      </a:solidFill>
      <a:round/>
    </a:ln>
    <a:effectLst/>
  </c:spPr>
  <c:txPr>
    <a:bodyPr/>
    <a:lstStyle/>
    <a:p>
      <a:pPr>
        <a:defRPr/>
      </a:pPr>
      <a:endParaRPr lang="th-TH"/>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baseline="0"/>
              <a:t>November 2026 Weight</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lineChart>
        <c:grouping val="standard"/>
        <c:varyColors val="0"/>
        <c:ser>
          <c:idx val="0"/>
          <c:order val="0"/>
          <c:tx>
            <c:v>Weight (kg)</c:v>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trendline>
            <c:spPr>
              <a:ln w="19050" cap="rnd">
                <a:solidFill>
                  <a:schemeClr val="accent1"/>
                </a:solidFill>
              </a:ln>
              <a:effectLst/>
            </c:spPr>
            <c:trendlineType val="linear"/>
            <c:dispRSqr val="0"/>
            <c:dispEq val="0"/>
          </c:trendline>
          <c:cat>
            <c:numRef>
              <c:f>'💪 Training Program 4.0'!$IX$3:$IX$90</c:f>
              <c:numCache>
                <c:formatCode>d\-mmm</c:formatCode>
                <c:ptCount val="88"/>
                <c:pt idx="0">
                  <c:v>46327</c:v>
                </c:pt>
                <c:pt idx="3">
                  <c:v>46328</c:v>
                </c:pt>
                <c:pt idx="6">
                  <c:v>46329</c:v>
                </c:pt>
                <c:pt idx="9">
                  <c:v>46330</c:v>
                </c:pt>
                <c:pt idx="12">
                  <c:v>46331</c:v>
                </c:pt>
                <c:pt idx="15">
                  <c:v>46332</c:v>
                </c:pt>
                <c:pt idx="18">
                  <c:v>46333</c:v>
                </c:pt>
                <c:pt idx="21">
                  <c:v>46334</c:v>
                </c:pt>
                <c:pt idx="24">
                  <c:v>46335</c:v>
                </c:pt>
                <c:pt idx="27">
                  <c:v>46336</c:v>
                </c:pt>
                <c:pt idx="30">
                  <c:v>46337</c:v>
                </c:pt>
                <c:pt idx="33">
                  <c:v>46338</c:v>
                </c:pt>
                <c:pt idx="36">
                  <c:v>46339</c:v>
                </c:pt>
                <c:pt idx="39">
                  <c:v>46340</c:v>
                </c:pt>
                <c:pt idx="42">
                  <c:v>46341</c:v>
                </c:pt>
                <c:pt idx="45">
                  <c:v>46342</c:v>
                </c:pt>
                <c:pt idx="48">
                  <c:v>46343</c:v>
                </c:pt>
                <c:pt idx="51">
                  <c:v>46344</c:v>
                </c:pt>
                <c:pt idx="54">
                  <c:v>46345</c:v>
                </c:pt>
                <c:pt idx="57">
                  <c:v>46346</c:v>
                </c:pt>
                <c:pt idx="60">
                  <c:v>46347</c:v>
                </c:pt>
                <c:pt idx="63">
                  <c:v>46348</c:v>
                </c:pt>
                <c:pt idx="66">
                  <c:v>46349</c:v>
                </c:pt>
                <c:pt idx="69">
                  <c:v>46350</c:v>
                </c:pt>
                <c:pt idx="72">
                  <c:v>46351</c:v>
                </c:pt>
                <c:pt idx="75">
                  <c:v>46352</c:v>
                </c:pt>
                <c:pt idx="78">
                  <c:v>46353</c:v>
                </c:pt>
                <c:pt idx="81">
                  <c:v>46354</c:v>
                </c:pt>
                <c:pt idx="84">
                  <c:v>46355</c:v>
                </c:pt>
                <c:pt idx="87">
                  <c:v>46356</c:v>
                </c:pt>
              </c:numCache>
            </c:numRef>
          </c:cat>
          <c:val>
            <c:numRef>
              <c:f>'💪 Training Program 4.0'!$JT$3:$JT$90</c:f>
              <c:numCache>
                <c:formatCode>0.0</c:formatCode>
                <c:ptCount val="88"/>
              </c:numCache>
            </c:numRef>
          </c:val>
          <c:smooth val="0"/>
          <c:extLst>
            <c:ext xmlns:c16="http://schemas.microsoft.com/office/drawing/2014/chart" uri="{C3380CC4-5D6E-409C-BE32-E72D297353CC}">
              <c16:uniqueId val="{00000001-E855-42B9-ABD0-A5104AE7CBD2}"/>
            </c:ext>
          </c:extLst>
        </c:ser>
        <c:dLbls>
          <c:dLblPos val="t"/>
          <c:showLegendKey val="0"/>
          <c:showVal val="1"/>
          <c:showCatName val="0"/>
          <c:showSerName val="0"/>
          <c:showPercent val="0"/>
          <c:showBubbleSize val="0"/>
        </c:dLbls>
        <c:marker val="1"/>
        <c:smooth val="0"/>
        <c:axId val="933139088"/>
        <c:axId val="933122288"/>
        <c:extLst/>
      </c:lineChart>
      <c:dateAx>
        <c:axId val="933139088"/>
        <c:scaling>
          <c:orientation val="minMax"/>
        </c:scaling>
        <c:delete val="0"/>
        <c:axPos val="b"/>
        <c:numFmt formatCode="d\-mmm"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th-TH"/>
          </a:p>
        </c:txPr>
        <c:crossAx val="933122288"/>
        <c:crosses val="autoZero"/>
        <c:auto val="1"/>
        <c:lblOffset val="100"/>
        <c:baseTimeUnit val="days"/>
      </c:dateAx>
      <c:valAx>
        <c:axId val="933122288"/>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th-TH"/>
          </a:p>
        </c:txPr>
        <c:crossAx val="933139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65000"/>
      </a:schemeClr>
    </a:solidFill>
    <a:ln w="9525" cap="flat" cmpd="sng" algn="ctr">
      <a:solidFill>
        <a:schemeClr val="dk1">
          <a:lumMod val="25000"/>
          <a:lumOff val="75000"/>
        </a:schemeClr>
      </a:solidFill>
      <a:round/>
    </a:ln>
    <a:effectLst/>
  </c:spPr>
  <c:txPr>
    <a:bodyPr/>
    <a:lstStyle/>
    <a:p>
      <a:pPr>
        <a:defRPr/>
      </a:pPr>
      <a:endParaRPr lang="th-TH"/>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baseline="0"/>
              <a:t>December 2026 Weight</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lineChart>
        <c:grouping val="standard"/>
        <c:varyColors val="0"/>
        <c:ser>
          <c:idx val="0"/>
          <c:order val="0"/>
          <c:tx>
            <c:v>Weight (kg)</c:v>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trendline>
            <c:spPr>
              <a:ln w="19050" cap="rnd">
                <a:solidFill>
                  <a:schemeClr val="accent1"/>
                </a:solidFill>
              </a:ln>
              <a:effectLst/>
            </c:spPr>
            <c:trendlineType val="linear"/>
            <c:dispRSqr val="0"/>
            <c:dispEq val="0"/>
          </c:trendline>
          <c:cat>
            <c:numRef>
              <c:f>'💪 Training Program 4.0'!$JV$3:$JV$93</c:f>
              <c:numCache>
                <c:formatCode>d\-mmm</c:formatCode>
                <c:ptCount val="91"/>
                <c:pt idx="0">
                  <c:v>46357</c:v>
                </c:pt>
                <c:pt idx="3">
                  <c:v>46358</c:v>
                </c:pt>
                <c:pt idx="6">
                  <c:v>46359</c:v>
                </c:pt>
                <c:pt idx="9">
                  <c:v>46360</c:v>
                </c:pt>
                <c:pt idx="12">
                  <c:v>46361</c:v>
                </c:pt>
                <c:pt idx="15">
                  <c:v>46362</c:v>
                </c:pt>
                <c:pt idx="18">
                  <c:v>46363</c:v>
                </c:pt>
                <c:pt idx="21">
                  <c:v>46364</c:v>
                </c:pt>
                <c:pt idx="24">
                  <c:v>46365</c:v>
                </c:pt>
                <c:pt idx="27">
                  <c:v>46366</c:v>
                </c:pt>
                <c:pt idx="30">
                  <c:v>46367</c:v>
                </c:pt>
                <c:pt idx="33">
                  <c:v>46368</c:v>
                </c:pt>
                <c:pt idx="36">
                  <c:v>46369</c:v>
                </c:pt>
                <c:pt idx="39">
                  <c:v>46370</c:v>
                </c:pt>
                <c:pt idx="42">
                  <c:v>46371</c:v>
                </c:pt>
                <c:pt idx="45">
                  <c:v>46372</c:v>
                </c:pt>
                <c:pt idx="48">
                  <c:v>46373</c:v>
                </c:pt>
                <c:pt idx="51">
                  <c:v>46374</c:v>
                </c:pt>
                <c:pt idx="54">
                  <c:v>46375</c:v>
                </c:pt>
                <c:pt idx="57">
                  <c:v>46376</c:v>
                </c:pt>
                <c:pt idx="60">
                  <c:v>46377</c:v>
                </c:pt>
                <c:pt idx="63">
                  <c:v>46378</c:v>
                </c:pt>
                <c:pt idx="66">
                  <c:v>46379</c:v>
                </c:pt>
                <c:pt idx="69">
                  <c:v>46380</c:v>
                </c:pt>
                <c:pt idx="72">
                  <c:v>46381</c:v>
                </c:pt>
                <c:pt idx="75">
                  <c:v>46382</c:v>
                </c:pt>
                <c:pt idx="78">
                  <c:v>46383</c:v>
                </c:pt>
                <c:pt idx="81">
                  <c:v>46384</c:v>
                </c:pt>
                <c:pt idx="84">
                  <c:v>46385</c:v>
                </c:pt>
                <c:pt idx="87">
                  <c:v>46386</c:v>
                </c:pt>
                <c:pt idx="90">
                  <c:v>46387</c:v>
                </c:pt>
              </c:numCache>
            </c:numRef>
          </c:cat>
          <c:val>
            <c:numRef>
              <c:f>'💪 Training Program 4.0'!$KR$3:$KR$93</c:f>
              <c:numCache>
                <c:formatCode>0.0</c:formatCode>
                <c:ptCount val="91"/>
              </c:numCache>
            </c:numRef>
          </c:val>
          <c:smooth val="0"/>
          <c:extLst>
            <c:ext xmlns:c16="http://schemas.microsoft.com/office/drawing/2014/chart" uri="{C3380CC4-5D6E-409C-BE32-E72D297353CC}">
              <c16:uniqueId val="{00000001-1E6F-4EBA-8DCB-5C0A12B1206E}"/>
            </c:ext>
          </c:extLst>
        </c:ser>
        <c:dLbls>
          <c:dLblPos val="t"/>
          <c:showLegendKey val="0"/>
          <c:showVal val="1"/>
          <c:showCatName val="0"/>
          <c:showSerName val="0"/>
          <c:showPercent val="0"/>
          <c:showBubbleSize val="0"/>
        </c:dLbls>
        <c:marker val="1"/>
        <c:smooth val="0"/>
        <c:axId val="933139088"/>
        <c:axId val="933122288"/>
        <c:extLst/>
      </c:lineChart>
      <c:dateAx>
        <c:axId val="933139088"/>
        <c:scaling>
          <c:orientation val="minMax"/>
        </c:scaling>
        <c:delete val="0"/>
        <c:axPos val="b"/>
        <c:numFmt formatCode="d\-mmm"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th-TH"/>
          </a:p>
        </c:txPr>
        <c:crossAx val="933122288"/>
        <c:crosses val="autoZero"/>
        <c:auto val="1"/>
        <c:lblOffset val="100"/>
        <c:baseTimeUnit val="days"/>
      </c:dateAx>
      <c:valAx>
        <c:axId val="933122288"/>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th-TH"/>
          </a:p>
        </c:txPr>
        <c:crossAx val="933139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65000"/>
      </a:schemeClr>
    </a:solidFill>
    <a:ln w="9525" cap="flat" cmpd="sng" algn="ctr">
      <a:solidFill>
        <a:schemeClr val="dk1">
          <a:lumMod val="25000"/>
          <a:lumOff val="75000"/>
        </a:schemeClr>
      </a:solidFill>
      <a:round/>
    </a:ln>
    <a:effectLst/>
  </c:spPr>
  <c:txPr>
    <a:bodyPr/>
    <a:lstStyle/>
    <a:p>
      <a:pPr>
        <a:defRPr/>
      </a:pPr>
      <a:endParaRPr lang="th-TH"/>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baseline="0"/>
              <a:t>January 2027 Weight</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lineChart>
        <c:grouping val="standard"/>
        <c:varyColors val="0"/>
        <c:ser>
          <c:idx val="0"/>
          <c:order val="0"/>
          <c:tx>
            <c:v>Weight (kg)</c:v>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trendline>
            <c:spPr>
              <a:ln w="19050" cap="rnd">
                <a:solidFill>
                  <a:schemeClr val="accent1"/>
                </a:solidFill>
              </a:ln>
              <a:effectLst/>
            </c:spPr>
            <c:trendlineType val="linear"/>
            <c:dispRSqr val="0"/>
            <c:dispEq val="0"/>
          </c:trendline>
          <c:cat>
            <c:numRef>
              <c:f>'💪 Training Program 4.0'!$KT$3:$KT$93</c:f>
              <c:numCache>
                <c:formatCode>d\-mmm</c:formatCode>
                <c:ptCount val="91"/>
                <c:pt idx="0">
                  <c:v>46388</c:v>
                </c:pt>
                <c:pt idx="3">
                  <c:v>46389</c:v>
                </c:pt>
                <c:pt idx="6">
                  <c:v>46390</c:v>
                </c:pt>
                <c:pt idx="9">
                  <c:v>46391</c:v>
                </c:pt>
                <c:pt idx="12">
                  <c:v>46392</c:v>
                </c:pt>
                <c:pt idx="15">
                  <c:v>46393</c:v>
                </c:pt>
                <c:pt idx="18">
                  <c:v>46394</c:v>
                </c:pt>
                <c:pt idx="21">
                  <c:v>46395</c:v>
                </c:pt>
                <c:pt idx="24">
                  <c:v>46396</c:v>
                </c:pt>
                <c:pt idx="27">
                  <c:v>46397</c:v>
                </c:pt>
                <c:pt idx="30">
                  <c:v>46398</c:v>
                </c:pt>
                <c:pt idx="33">
                  <c:v>46399</c:v>
                </c:pt>
                <c:pt idx="36">
                  <c:v>46400</c:v>
                </c:pt>
                <c:pt idx="39">
                  <c:v>46401</c:v>
                </c:pt>
                <c:pt idx="42">
                  <c:v>46402</c:v>
                </c:pt>
                <c:pt idx="45">
                  <c:v>46403</c:v>
                </c:pt>
                <c:pt idx="48">
                  <c:v>46404</c:v>
                </c:pt>
                <c:pt idx="51">
                  <c:v>46405</c:v>
                </c:pt>
                <c:pt idx="54">
                  <c:v>46406</c:v>
                </c:pt>
                <c:pt idx="57">
                  <c:v>46407</c:v>
                </c:pt>
                <c:pt idx="60">
                  <c:v>46408</c:v>
                </c:pt>
                <c:pt idx="63">
                  <c:v>46409</c:v>
                </c:pt>
                <c:pt idx="66">
                  <c:v>46410</c:v>
                </c:pt>
                <c:pt idx="69">
                  <c:v>46411</c:v>
                </c:pt>
                <c:pt idx="72">
                  <c:v>46412</c:v>
                </c:pt>
                <c:pt idx="75">
                  <c:v>46413</c:v>
                </c:pt>
                <c:pt idx="78">
                  <c:v>46414</c:v>
                </c:pt>
                <c:pt idx="81">
                  <c:v>46415</c:v>
                </c:pt>
                <c:pt idx="84">
                  <c:v>46416</c:v>
                </c:pt>
                <c:pt idx="87">
                  <c:v>46417</c:v>
                </c:pt>
                <c:pt idx="90">
                  <c:v>46418</c:v>
                </c:pt>
              </c:numCache>
            </c:numRef>
          </c:cat>
          <c:val>
            <c:numRef>
              <c:f>'💪 Training Program 4.0'!$LP$3:$LP$93</c:f>
              <c:numCache>
                <c:formatCode>0.0</c:formatCode>
                <c:ptCount val="91"/>
              </c:numCache>
            </c:numRef>
          </c:val>
          <c:smooth val="0"/>
          <c:extLst>
            <c:ext xmlns:c16="http://schemas.microsoft.com/office/drawing/2014/chart" uri="{C3380CC4-5D6E-409C-BE32-E72D297353CC}">
              <c16:uniqueId val="{00000001-1AC3-417E-8621-5488B13E93C6}"/>
            </c:ext>
          </c:extLst>
        </c:ser>
        <c:dLbls>
          <c:dLblPos val="t"/>
          <c:showLegendKey val="0"/>
          <c:showVal val="1"/>
          <c:showCatName val="0"/>
          <c:showSerName val="0"/>
          <c:showPercent val="0"/>
          <c:showBubbleSize val="0"/>
        </c:dLbls>
        <c:marker val="1"/>
        <c:smooth val="0"/>
        <c:axId val="933139088"/>
        <c:axId val="933122288"/>
        <c:extLst/>
      </c:lineChart>
      <c:dateAx>
        <c:axId val="933139088"/>
        <c:scaling>
          <c:orientation val="minMax"/>
        </c:scaling>
        <c:delete val="0"/>
        <c:axPos val="b"/>
        <c:numFmt formatCode="d\-mmm"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th-TH"/>
          </a:p>
        </c:txPr>
        <c:crossAx val="933122288"/>
        <c:crosses val="autoZero"/>
        <c:auto val="1"/>
        <c:lblOffset val="100"/>
        <c:baseTimeUnit val="days"/>
      </c:dateAx>
      <c:valAx>
        <c:axId val="933122288"/>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th-TH"/>
          </a:p>
        </c:txPr>
        <c:crossAx val="933139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65000"/>
      </a:schemeClr>
    </a:solidFill>
    <a:ln w="9525" cap="flat" cmpd="sng" algn="ctr">
      <a:solidFill>
        <a:schemeClr val="dk1">
          <a:lumMod val="25000"/>
          <a:lumOff val="75000"/>
        </a:schemeClr>
      </a:solidFill>
      <a:round/>
    </a:ln>
    <a:effectLst/>
  </c:spPr>
  <c:txPr>
    <a:bodyPr/>
    <a:lstStyle/>
    <a:p>
      <a:pPr>
        <a:defRPr/>
      </a:pPr>
      <a:endParaRPr lang="th-TH"/>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1.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2.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3.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4.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5.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6.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7.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8.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9.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6.xml"/><Relationship Id="rId2" Type="http://schemas.openxmlformats.org/officeDocument/2006/relationships/chart" Target="../charts/chart15.xml"/><Relationship Id="rId1" Type="http://schemas.openxmlformats.org/officeDocument/2006/relationships/chart" Target="../charts/chart14.xml"/></Relationships>
</file>

<file path=xl/drawings/_rels/drawing3.xml.rels><?xml version="1.0" encoding="UTF-8" standalone="yes"?>
<Relationships xmlns="http://schemas.openxmlformats.org/package/2006/relationships"><Relationship Id="rId8" Type="http://schemas.openxmlformats.org/officeDocument/2006/relationships/chart" Target="../charts/chart24.xml"/><Relationship Id="rId13" Type="http://schemas.openxmlformats.org/officeDocument/2006/relationships/chart" Target="../charts/chart29.xml"/><Relationship Id="rId3" Type="http://schemas.openxmlformats.org/officeDocument/2006/relationships/chart" Target="../charts/chart19.xml"/><Relationship Id="rId7" Type="http://schemas.openxmlformats.org/officeDocument/2006/relationships/chart" Target="../charts/chart23.xml"/><Relationship Id="rId12" Type="http://schemas.openxmlformats.org/officeDocument/2006/relationships/chart" Target="../charts/chart28.xml"/><Relationship Id="rId2" Type="http://schemas.openxmlformats.org/officeDocument/2006/relationships/chart" Target="../charts/chart18.xml"/><Relationship Id="rId1" Type="http://schemas.openxmlformats.org/officeDocument/2006/relationships/chart" Target="../charts/chart17.xml"/><Relationship Id="rId6" Type="http://schemas.openxmlformats.org/officeDocument/2006/relationships/chart" Target="../charts/chart22.xml"/><Relationship Id="rId11" Type="http://schemas.openxmlformats.org/officeDocument/2006/relationships/chart" Target="../charts/chart27.xml"/><Relationship Id="rId5" Type="http://schemas.openxmlformats.org/officeDocument/2006/relationships/chart" Target="../charts/chart21.xml"/><Relationship Id="rId10" Type="http://schemas.openxmlformats.org/officeDocument/2006/relationships/chart" Target="../charts/chart26.xml"/><Relationship Id="rId4" Type="http://schemas.openxmlformats.org/officeDocument/2006/relationships/chart" Target="../charts/chart20.xml"/><Relationship Id="rId9" Type="http://schemas.openxmlformats.org/officeDocument/2006/relationships/chart" Target="../charts/chart25.xml"/></Relationships>
</file>

<file path=xl/drawings/drawing1.xml><?xml version="1.0" encoding="utf-8"?>
<xdr:wsDr xmlns:xdr="http://schemas.openxmlformats.org/drawingml/2006/spreadsheetDrawing" xmlns:a="http://schemas.openxmlformats.org/drawingml/2006/main">
  <xdr:twoCellAnchor>
    <xdr:from>
      <xdr:col>44</xdr:col>
      <xdr:colOff>228600</xdr:colOff>
      <xdr:row>97</xdr:row>
      <xdr:rowOff>19050</xdr:rowOff>
    </xdr:from>
    <xdr:to>
      <xdr:col>60</xdr:col>
      <xdr:colOff>533400</xdr:colOff>
      <xdr:row>113</xdr:row>
      <xdr:rowOff>219075</xdr:rowOff>
    </xdr:to>
    <xdr:graphicFrame macro="">
      <xdr:nvGraphicFramePr>
        <xdr:cNvPr id="3" name="Chart 2">
          <a:extLst>
            <a:ext uri="{FF2B5EF4-FFF2-40B4-BE49-F238E27FC236}">
              <a16:creationId xmlns:a16="http://schemas.microsoft.com/office/drawing/2014/main" id="{0E8B7CB8-EF3F-18C2-339C-FF5031A23A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24</xdr:col>
      <xdr:colOff>190501</xdr:colOff>
      <xdr:row>89</xdr:row>
      <xdr:rowOff>95251</xdr:rowOff>
    </xdr:from>
    <xdr:to>
      <xdr:col>41</xdr:col>
      <xdr:colOff>219075</xdr:colOff>
      <xdr:row>104</xdr:row>
      <xdr:rowOff>57150</xdr:rowOff>
    </xdr:to>
    <xdr:graphicFrame macro="">
      <xdr:nvGraphicFramePr>
        <xdr:cNvPr id="4" name="Chart 3">
          <a:extLst>
            <a:ext uri="{FF2B5EF4-FFF2-40B4-BE49-F238E27FC236}">
              <a16:creationId xmlns:a16="http://schemas.microsoft.com/office/drawing/2014/main" id="{57BE6D2A-066A-0433-9F61-CAA491BAD6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142875</xdr:colOff>
      <xdr:row>37</xdr:row>
      <xdr:rowOff>114301</xdr:rowOff>
    </xdr:from>
    <xdr:to>
      <xdr:col>22</xdr:col>
      <xdr:colOff>457200</xdr:colOff>
      <xdr:row>54</xdr:row>
      <xdr:rowOff>52388</xdr:rowOff>
    </xdr:to>
    <xdr:graphicFrame macro="">
      <xdr:nvGraphicFramePr>
        <xdr:cNvPr id="5" name="Chart 4">
          <a:extLst>
            <a:ext uri="{FF2B5EF4-FFF2-40B4-BE49-F238E27FC236}">
              <a16:creationId xmlns:a16="http://schemas.microsoft.com/office/drawing/2014/main" id="{D291C89F-5F53-6E06-6BE3-19C3008349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63</xdr:col>
      <xdr:colOff>76199</xdr:colOff>
      <xdr:row>97</xdr:row>
      <xdr:rowOff>95250</xdr:rowOff>
    </xdr:from>
    <xdr:to>
      <xdr:col>79</xdr:col>
      <xdr:colOff>542925</xdr:colOff>
      <xdr:row>113</xdr:row>
      <xdr:rowOff>133350</xdr:rowOff>
    </xdr:to>
    <xdr:graphicFrame macro="">
      <xdr:nvGraphicFramePr>
        <xdr:cNvPr id="2" name="Chart 1">
          <a:extLst>
            <a:ext uri="{FF2B5EF4-FFF2-40B4-BE49-F238E27FC236}">
              <a16:creationId xmlns:a16="http://schemas.microsoft.com/office/drawing/2014/main" id="{DB8F1443-4EF8-4892-9ACA-45941B8BA5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82</xdr:col>
      <xdr:colOff>76199</xdr:colOff>
      <xdr:row>97</xdr:row>
      <xdr:rowOff>95250</xdr:rowOff>
    </xdr:from>
    <xdr:to>
      <xdr:col>98</xdr:col>
      <xdr:colOff>542925</xdr:colOff>
      <xdr:row>113</xdr:row>
      <xdr:rowOff>133350</xdr:rowOff>
    </xdr:to>
    <xdr:graphicFrame macro="">
      <xdr:nvGraphicFramePr>
        <xdr:cNvPr id="6" name="Chart 5">
          <a:extLst>
            <a:ext uri="{FF2B5EF4-FFF2-40B4-BE49-F238E27FC236}">
              <a16:creationId xmlns:a16="http://schemas.microsoft.com/office/drawing/2014/main" id="{E5F34B37-313B-4E92-AE42-BE8E3DE813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101</xdr:col>
      <xdr:colOff>76199</xdr:colOff>
      <xdr:row>97</xdr:row>
      <xdr:rowOff>95250</xdr:rowOff>
    </xdr:from>
    <xdr:to>
      <xdr:col>117</xdr:col>
      <xdr:colOff>542925</xdr:colOff>
      <xdr:row>113</xdr:row>
      <xdr:rowOff>133350</xdr:rowOff>
    </xdr:to>
    <xdr:graphicFrame macro="">
      <xdr:nvGraphicFramePr>
        <xdr:cNvPr id="7" name="Chart 6">
          <a:extLst>
            <a:ext uri="{FF2B5EF4-FFF2-40B4-BE49-F238E27FC236}">
              <a16:creationId xmlns:a16="http://schemas.microsoft.com/office/drawing/2014/main" id="{0B3D5B7D-9B4F-4851-AFBD-D9BBB19252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120</xdr:col>
      <xdr:colOff>76199</xdr:colOff>
      <xdr:row>97</xdr:row>
      <xdr:rowOff>95250</xdr:rowOff>
    </xdr:from>
    <xdr:to>
      <xdr:col>136</xdr:col>
      <xdr:colOff>542925</xdr:colOff>
      <xdr:row>113</xdr:row>
      <xdr:rowOff>133350</xdr:rowOff>
    </xdr:to>
    <xdr:graphicFrame macro="">
      <xdr:nvGraphicFramePr>
        <xdr:cNvPr id="8" name="Chart 7">
          <a:extLst>
            <a:ext uri="{FF2B5EF4-FFF2-40B4-BE49-F238E27FC236}">
              <a16:creationId xmlns:a16="http://schemas.microsoft.com/office/drawing/2014/main" id="{06DC4AF8-4F6E-45C3-9172-B083718708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139</xdr:col>
      <xdr:colOff>76199</xdr:colOff>
      <xdr:row>97</xdr:row>
      <xdr:rowOff>95250</xdr:rowOff>
    </xdr:from>
    <xdr:to>
      <xdr:col>155</xdr:col>
      <xdr:colOff>542925</xdr:colOff>
      <xdr:row>113</xdr:row>
      <xdr:rowOff>133350</xdr:rowOff>
    </xdr:to>
    <xdr:graphicFrame macro="">
      <xdr:nvGraphicFramePr>
        <xdr:cNvPr id="9" name="Chart 8">
          <a:extLst>
            <a:ext uri="{FF2B5EF4-FFF2-40B4-BE49-F238E27FC236}">
              <a16:creationId xmlns:a16="http://schemas.microsoft.com/office/drawing/2014/main" id="{2CEE3163-C9FB-45F9-8AE5-284ED04EC2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158</xdr:col>
      <xdr:colOff>76199</xdr:colOff>
      <xdr:row>97</xdr:row>
      <xdr:rowOff>95250</xdr:rowOff>
    </xdr:from>
    <xdr:to>
      <xdr:col>174</xdr:col>
      <xdr:colOff>542925</xdr:colOff>
      <xdr:row>113</xdr:row>
      <xdr:rowOff>133350</xdr:rowOff>
    </xdr:to>
    <xdr:graphicFrame macro="">
      <xdr:nvGraphicFramePr>
        <xdr:cNvPr id="10" name="Chart 9">
          <a:extLst>
            <a:ext uri="{FF2B5EF4-FFF2-40B4-BE49-F238E27FC236}">
              <a16:creationId xmlns:a16="http://schemas.microsoft.com/office/drawing/2014/main" id="{FE67CAB9-46A3-4C42-9ECB-BCEA5C8950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177</xdr:col>
      <xdr:colOff>76199</xdr:colOff>
      <xdr:row>97</xdr:row>
      <xdr:rowOff>95249</xdr:rowOff>
    </xdr:from>
    <xdr:to>
      <xdr:col>196</xdr:col>
      <xdr:colOff>523875</xdr:colOff>
      <xdr:row>115</xdr:row>
      <xdr:rowOff>180974</xdr:rowOff>
    </xdr:to>
    <xdr:graphicFrame macro="">
      <xdr:nvGraphicFramePr>
        <xdr:cNvPr id="12" name="Chart 11">
          <a:extLst>
            <a:ext uri="{FF2B5EF4-FFF2-40B4-BE49-F238E27FC236}">
              <a16:creationId xmlns:a16="http://schemas.microsoft.com/office/drawing/2014/main" id="{EF41E17C-1C95-425A-8427-5F47F43721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199</xdr:col>
      <xdr:colOff>76199</xdr:colOff>
      <xdr:row>97</xdr:row>
      <xdr:rowOff>95250</xdr:rowOff>
    </xdr:from>
    <xdr:to>
      <xdr:col>218</xdr:col>
      <xdr:colOff>542925</xdr:colOff>
      <xdr:row>116</xdr:row>
      <xdr:rowOff>142875</xdr:rowOff>
    </xdr:to>
    <xdr:graphicFrame macro="">
      <xdr:nvGraphicFramePr>
        <xdr:cNvPr id="11" name="Chart 10">
          <a:extLst>
            <a:ext uri="{FF2B5EF4-FFF2-40B4-BE49-F238E27FC236}">
              <a16:creationId xmlns:a16="http://schemas.microsoft.com/office/drawing/2014/main" id="{7918FA9E-2471-4A3D-B9DA-2FC4E7F49C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221</xdr:col>
      <xdr:colOff>76199</xdr:colOff>
      <xdr:row>97</xdr:row>
      <xdr:rowOff>95250</xdr:rowOff>
    </xdr:from>
    <xdr:to>
      <xdr:col>240</xdr:col>
      <xdr:colOff>542925</xdr:colOff>
      <xdr:row>116</xdr:row>
      <xdr:rowOff>9525</xdr:rowOff>
    </xdr:to>
    <xdr:graphicFrame macro="">
      <xdr:nvGraphicFramePr>
        <xdr:cNvPr id="13" name="Chart 12">
          <a:extLst>
            <a:ext uri="{FF2B5EF4-FFF2-40B4-BE49-F238E27FC236}">
              <a16:creationId xmlns:a16="http://schemas.microsoft.com/office/drawing/2014/main" id="{F8BB863B-651A-48FD-8B82-B88780E739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243</xdr:col>
      <xdr:colOff>76199</xdr:colOff>
      <xdr:row>97</xdr:row>
      <xdr:rowOff>95250</xdr:rowOff>
    </xdr:from>
    <xdr:to>
      <xdr:col>262</xdr:col>
      <xdr:colOff>542925</xdr:colOff>
      <xdr:row>116</xdr:row>
      <xdr:rowOff>9525</xdr:rowOff>
    </xdr:to>
    <xdr:graphicFrame macro="">
      <xdr:nvGraphicFramePr>
        <xdr:cNvPr id="14" name="Chart 13">
          <a:extLst>
            <a:ext uri="{FF2B5EF4-FFF2-40B4-BE49-F238E27FC236}">
              <a16:creationId xmlns:a16="http://schemas.microsoft.com/office/drawing/2014/main" id="{4F857D8F-72D6-4398-85EB-91B22469B5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16</xdr:col>
      <xdr:colOff>76199</xdr:colOff>
      <xdr:row>97</xdr:row>
      <xdr:rowOff>95250</xdr:rowOff>
    </xdr:from>
    <xdr:to>
      <xdr:col>35</xdr:col>
      <xdr:colOff>542925</xdr:colOff>
      <xdr:row>116</xdr:row>
      <xdr:rowOff>9525</xdr:rowOff>
    </xdr:to>
    <xdr:graphicFrame macro="">
      <xdr:nvGraphicFramePr>
        <xdr:cNvPr id="7" name="Chart 1">
          <a:extLst>
            <a:ext uri="{FF2B5EF4-FFF2-40B4-BE49-F238E27FC236}">
              <a16:creationId xmlns:a16="http://schemas.microsoft.com/office/drawing/2014/main" id="{49C71D76-7386-4D84-92D0-A03EBFA819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39</xdr:col>
      <xdr:colOff>76199</xdr:colOff>
      <xdr:row>97</xdr:row>
      <xdr:rowOff>95250</xdr:rowOff>
    </xdr:from>
    <xdr:to>
      <xdr:col>58</xdr:col>
      <xdr:colOff>542925</xdr:colOff>
      <xdr:row>116</xdr:row>
      <xdr:rowOff>9525</xdr:rowOff>
    </xdr:to>
    <xdr:graphicFrame macro="">
      <xdr:nvGraphicFramePr>
        <xdr:cNvPr id="11" name="Chart 2">
          <a:extLst>
            <a:ext uri="{FF2B5EF4-FFF2-40B4-BE49-F238E27FC236}">
              <a16:creationId xmlns:a16="http://schemas.microsoft.com/office/drawing/2014/main" id="{8DE8724F-0FCC-471D-95EA-33B0D769F0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62</xdr:col>
      <xdr:colOff>76199</xdr:colOff>
      <xdr:row>97</xdr:row>
      <xdr:rowOff>95250</xdr:rowOff>
    </xdr:from>
    <xdr:to>
      <xdr:col>81</xdr:col>
      <xdr:colOff>542925</xdr:colOff>
      <xdr:row>116</xdr:row>
      <xdr:rowOff>9525</xdr:rowOff>
    </xdr:to>
    <xdr:graphicFrame macro="">
      <xdr:nvGraphicFramePr>
        <xdr:cNvPr id="3" name="Chart 2">
          <a:extLst>
            <a:ext uri="{FF2B5EF4-FFF2-40B4-BE49-F238E27FC236}">
              <a16:creationId xmlns:a16="http://schemas.microsoft.com/office/drawing/2014/main" id="{6D9612F5-6C4C-4226-A29B-922995DE11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17</xdr:col>
      <xdr:colOff>123824</xdr:colOff>
      <xdr:row>99</xdr:row>
      <xdr:rowOff>123825</xdr:rowOff>
    </xdr:from>
    <xdr:to>
      <xdr:col>36</xdr:col>
      <xdr:colOff>285750</xdr:colOff>
      <xdr:row>118</xdr:row>
      <xdr:rowOff>38100</xdr:rowOff>
    </xdr:to>
    <xdr:graphicFrame macro="">
      <xdr:nvGraphicFramePr>
        <xdr:cNvPr id="2" name="Chart 1">
          <a:extLst>
            <a:ext uri="{FF2B5EF4-FFF2-40B4-BE49-F238E27FC236}">
              <a16:creationId xmlns:a16="http://schemas.microsoft.com/office/drawing/2014/main" id="{8FA336FE-EBE3-4DE8-BB55-B10ED71A47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41</xdr:col>
      <xdr:colOff>200024</xdr:colOff>
      <xdr:row>99</xdr:row>
      <xdr:rowOff>95250</xdr:rowOff>
    </xdr:from>
    <xdr:to>
      <xdr:col>60</xdr:col>
      <xdr:colOff>361950</xdr:colOff>
      <xdr:row>118</xdr:row>
      <xdr:rowOff>9525</xdr:rowOff>
    </xdr:to>
    <xdr:graphicFrame macro="">
      <xdr:nvGraphicFramePr>
        <xdr:cNvPr id="3" name="Chart 2">
          <a:extLst>
            <a:ext uri="{FF2B5EF4-FFF2-40B4-BE49-F238E27FC236}">
              <a16:creationId xmlns:a16="http://schemas.microsoft.com/office/drawing/2014/main" id="{3BA404B3-68D5-49ED-9C84-3B1C4AD737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64</xdr:col>
      <xdr:colOff>76199</xdr:colOff>
      <xdr:row>99</xdr:row>
      <xdr:rowOff>104775</xdr:rowOff>
    </xdr:from>
    <xdr:to>
      <xdr:col>83</xdr:col>
      <xdr:colOff>542925</xdr:colOff>
      <xdr:row>118</xdr:row>
      <xdr:rowOff>19050</xdr:rowOff>
    </xdr:to>
    <xdr:graphicFrame macro="">
      <xdr:nvGraphicFramePr>
        <xdr:cNvPr id="6" name="Chart 3">
          <a:extLst>
            <a:ext uri="{FF2B5EF4-FFF2-40B4-BE49-F238E27FC236}">
              <a16:creationId xmlns:a16="http://schemas.microsoft.com/office/drawing/2014/main" id="{73554495-D8DB-40BB-89EC-17786DD88B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89</xdr:col>
      <xdr:colOff>285749</xdr:colOff>
      <xdr:row>100</xdr:row>
      <xdr:rowOff>47625</xdr:rowOff>
    </xdr:from>
    <xdr:to>
      <xdr:col>108</xdr:col>
      <xdr:colOff>447675</xdr:colOff>
      <xdr:row>118</xdr:row>
      <xdr:rowOff>200025</xdr:rowOff>
    </xdr:to>
    <xdr:graphicFrame macro="">
      <xdr:nvGraphicFramePr>
        <xdr:cNvPr id="24" name="Chart 4">
          <a:extLst>
            <a:ext uri="{FF2B5EF4-FFF2-40B4-BE49-F238E27FC236}">
              <a16:creationId xmlns:a16="http://schemas.microsoft.com/office/drawing/2014/main" id="{13BAD5A1-A1D5-400B-8751-9D71778CF4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113</xdr:col>
      <xdr:colOff>285749</xdr:colOff>
      <xdr:row>100</xdr:row>
      <xdr:rowOff>47625</xdr:rowOff>
    </xdr:from>
    <xdr:to>
      <xdr:col>132</xdr:col>
      <xdr:colOff>447675</xdr:colOff>
      <xdr:row>118</xdr:row>
      <xdr:rowOff>200025</xdr:rowOff>
    </xdr:to>
    <xdr:graphicFrame macro="">
      <xdr:nvGraphicFramePr>
        <xdr:cNvPr id="9" name="Chart 5">
          <a:extLst>
            <a:ext uri="{FF2B5EF4-FFF2-40B4-BE49-F238E27FC236}">
              <a16:creationId xmlns:a16="http://schemas.microsoft.com/office/drawing/2014/main" id="{785D63D5-6E71-47EE-804A-CD6AD8AF09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137</xdr:col>
      <xdr:colOff>285749</xdr:colOff>
      <xdr:row>100</xdr:row>
      <xdr:rowOff>47625</xdr:rowOff>
    </xdr:from>
    <xdr:to>
      <xdr:col>156</xdr:col>
      <xdr:colOff>447675</xdr:colOff>
      <xdr:row>118</xdr:row>
      <xdr:rowOff>200025</xdr:rowOff>
    </xdr:to>
    <xdr:graphicFrame macro="">
      <xdr:nvGraphicFramePr>
        <xdr:cNvPr id="11" name="Chart 6">
          <a:extLst>
            <a:ext uri="{FF2B5EF4-FFF2-40B4-BE49-F238E27FC236}">
              <a16:creationId xmlns:a16="http://schemas.microsoft.com/office/drawing/2014/main" id="{626F8411-C41D-4E22-9054-C4C2783071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161</xdr:col>
      <xdr:colOff>285749</xdr:colOff>
      <xdr:row>100</xdr:row>
      <xdr:rowOff>47625</xdr:rowOff>
    </xdr:from>
    <xdr:to>
      <xdr:col>180</xdr:col>
      <xdr:colOff>447675</xdr:colOff>
      <xdr:row>118</xdr:row>
      <xdr:rowOff>200025</xdr:rowOff>
    </xdr:to>
    <xdr:graphicFrame macro="">
      <xdr:nvGraphicFramePr>
        <xdr:cNvPr id="13" name="Chart 7">
          <a:extLst>
            <a:ext uri="{FF2B5EF4-FFF2-40B4-BE49-F238E27FC236}">
              <a16:creationId xmlns:a16="http://schemas.microsoft.com/office/drawing/2014/main" id="{29F82996-06A9-4EBE-87C6-7AE6C61355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185</xdr:col>
      <xdr:colOff>285749</xdr:colOff>
      <xdr:row>100</xdr:row>
      <xdr:rowOff>47625</xdr:rowOff>
    </xdr:from>
    <xdr:to>
      <xdr:col>204</xdr:col>
      <xdr:colOff>447675</xdr:colOff>
      <xdr:row>118</xdr:row>
      <xdr:rowOff>200025</xdr:rowOff>
    </xdr:to>
    <xdr:graphicFrame macro="">
      <xdr:nvGraphicFramePr>
        <xdr:cNvPr id="15" name="Chart 8">
          <a:extLst>
            <a:ext uri="{FF2B5EF4-FFF2-40B4-BE49-F238E27FC236}">
              <a16:creationId xmlns:a16="http://schemas.microsoft.com/office/drawing/2014/main" id="{BEE9DA34-3667-4946-9038-216DB2255E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209</xdr:col>
      <xdr:colOff>285749</xdr:colOff>
      <xdr:row>100</xdr:row>
      <xdr:rowOff>47625</xdr:rowOff>
    </xdr:from>
    <xdr:to>
      <xdr:col>228</xdr:col>
      <xdr:colOff>447675</xdr:colOff>
      <xdr:row>118</xdr:row>
      <xdr:rowOff>200025</xdr:rowOff>
    </xdr:to>
    <xdr:graphicFrame macro="">
      <xdr:nvGraphicFramePr>
        <xdr:cNvPr id="17" name="Chart 9">
          <a:extLst>
            <a:ext uri="{FF2B5EF4-FFF2-40B4-BE49-F238E27FC236}">
              <a16:creationId xmlns:a16="http://schemas.microsoft.com/office/drawing/2014/main" id="{B65685A6-9A7A-42B1-8755-A4CF995F44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233</xdr:col>
      <xdr:colOff>285749</xdr:colOff>
      <xdr:row>100</xdr:row>
      <xdr:rowOff>47625</xdr:rowOff>
    </xdr:from>
    <xdr:to>
      <xdr:col>252</xdr:col>
      <xdr:colOff>447675</xdr:colOff>
      <xdr:row>118</xdr:row>
      <xdr:rowOff>200025</xdr:rowOff>
    </xdr:to>
    <xdr:graphicFrame macro="">
      <xdr:nvGraphicFramePr>
        <xdr:cNvPr id="19" name="Chart 10">
          <a:extLst>
            <a:ext uri="{FF2B5EF4-FFF2-40B4-BE49-F238E27FC236}">
              <a16:creationId xmlns:a16="http://schemas.microsoft.com/office/drawing/2014/main" id="{4B672EA6-2FE8-411A-B50A-38082EA264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257</xdr:col>
      <xdr:colOff>285749</xdr:colOff>
      <xdr:row>100</xdr:row>
      <xdr:rowOff>47625</xdr:rowOff>
    </xdr:from>
    <xdr:to>
      <xdr:col>276</xdr:col>
      <xdr:colOff>447675</xdr:colOff>
      <xdr:row>118</xdr:row>
      <xdr:rowOff>200025</xdr:rowOff>
    </xdr:to>
    <xdr:graphicFrame macro="">
      <xdr:nvGraphicFramePr>
        <xdr:cNvPr id="21" name="Chart 11">
          <a:extLst>
            <a:ext uri="{FF2B5EF4-FFF2-40B4-BE49-F238E27FC236}">
              <a16:creationId xmlns:a16="http://schemas.microsoft.com/office/drawing/2014/main" id="{4CEB00A6-2B7F-4B37-9641-3B3C20D6EB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281</xdr:col>
      <xdr:colOff>285749</xdr:colOff>
      <xdr:row>100</xdr:row>
      <xdr:rowOff>47625</xdr:rowOff>
    </xdr:from>
    <xdr:to>
      <xdr:col>300</xdr:col>
      <xdr:colOff>447675</xdr:colOff>
      <xdr:row>118</xdr:row>
      <xdr:rowOff>200025</xdr:rowOff>
    </xdr:to>
    <xdr:graphicFrame macro="">
      <xdr:nvGraphicFramePr>
        <xdr:cNvPr id="26" name="Chart 12">
          <a:extLst>
            <a:ext uri="{FF2B5EF4-FFF2-40B4-BE49-F238E27FC236}">
              <a16:creationId xmlns:a16="http://schemas.microsoft.com/office/drawing/2014/main" id="{45787401-59EC-4A47-9129-F19FFB200D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305</xdr:col>
      <xdr:colOff>285749</xdr:colOff>
      <xdr:row>100</xdr:row>
      <xdr:rowOff>47625</xdr:rowOff>
    </xdr:from>
    <xdr:to>
      <xdr:col>324</xdr:col>
      <xdr:colOff>447675</xdr:colOff>
      <xdr:row>118</xdr:row>
      <xdr:rowOff>200025</xdr:rowOff>
    </xdr:to>
    <xdr:graphicFrame macro="">
      <xdr:nvGraphicFramePr>
        <xdr:cNvPr id="25" name="Chart 13">
          <a:extLst>
            <a:ext uri="{FF2B5EF4-FFF2-40B4-BE49-F238E27FC236}">
              <a16:creationId xmlns:a16="http://schemas.microsoft.com/office/drawing/2014/main" id="{45D231EF-2E74-420E-842E-10A598FD22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37D03EF-6629-4B94-9E4A-42753B49CFCB}">
  <we:reference id="wa200009404" version="1.0.0.5" store="en-US" storeType="OMEX"/>
  <we:alternateReferences>
    <we:reference id="WA200009404" version="1.0.0.5" store="" storeType="OMEX"/>
  </we:alternateReferences>
  <we:properties>
    <we:property name="claude.fileId" value="&quot;6c284618-ab60-4484-ac67-b203ddaacd70&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39"/>
  <sheetViews>
    <sheetView workbookViewId="0">
      <pane ySplit="2" topLeftCell="A3" activePane="bottomLeft" state="frozen"/>
      <selection pane="bottomLeft" activeCell="C7" sqref="C7"/>
    </sheetView>
  </sheetViews>
  <sheetFormatPr defaultRowHeight="15"/>
  <cols>
    <col min="2" max="2" width="11.85546875" customWidth="1"/>
    <col min="3" max="3" width="17.7109375" style="38" bestFit="1" customWidth="1"/>
    <col min="4" max="4" width="17.140625" customWidth="1"/>
    <col min="5" max="6" width="11.85546875" customWidth="1"/>
    <col min="7" max="7" width="19.7109375" bestFit="1" customWidth="1"/>
    <col min="11" max="17" width="19.42578125" customWidth="1"/>
  </cols>
  <sheetData>
    <row r="1" spans="1:6">
      <c r="A1" s="776" t="s">
        <v>0</v>
      </c>
      <c r="B1" s="776" t="s">
        <v>1</v>
      </c>
      <c r="C1" s="773" t="s">
        <v>2</v>
      </c>
      <c r="D1" s="774"/>
      <c r="E1" s="774"/>
      <c r="F1" s="775"/>
    </row>
    <row r="2" spans="1:6" ht="15.75" thickBot="1">
      <c r="A2" s="795"/>
      <c r="B2" s="777"/>
      <c r="C2" s="33" t="s">
        <v>3</v>
      </c>
      <c r="D2" s="9" t="s">
        <v>4</v>
      </c>
      <c r="E2" s="9" t="s">
        <v>5</v>
      </c>
      <c r="F2" s="10" t="s">
        <v>6</v>
      </c>
    </row>
    <row r="3" spans="1:6">
      <c r="A3" s="796" t="s">
        <v>7</v>
      </c>
      <c r="B3" s="778">
        <v>45124</v>
      </c>
      <c r="C3" s="34" t="s">
        <v>8</v>
      </c>
      <c r="D3" s="3" t="s">
        <v>9</v>
      </c>
      <c r="E3" s="3" t="s">
        <v>9</v>
      </c>
      <c r="F3" s="4">
        <v>7157</v>
      </c>
    </row>
    <row r="4" spans="1:6">
      <c r="A4" s="797"/>
      <c r="B4" s="779"/>
      <c r="C4" s="31" t="s">
        <v>10</v>
      </c>
      <c r="D4" s="2">
        <f>1+(0.5*2)+(1.25*4)</f>
        <v>7</v>
      </c>
      <c r="E4" s="1">
        <v>5</v>
      </c>
      <c r="F4" s="5">
        <v>12</v>
      </c>
    </row>
    <row r="5" spans="1:6">
      <c r="A5" s="797"/>
      <c r="B5" s="779"/>
      <c r="C5" s="31" t="s">
        <v>11</v>
      </c>
      <c r="D5" s="1" t="s">
        <v>12</v>
      </c>
      <c r="E5" s="1">
        <v>5</v>
      </c>
      <c r="F5" s="5">
        <v>12</v>
      </c>
    </row>
    <row r="6" spans="1:6" ht="30.75" thickBot="1">
      <c r="A6" s="797"/>
      <c r="B6" s="780"/>
      <c r="C6" s="30" t="s">
        <v>13</v>
      </c>
      <c r="D6" s="6">
        <f>1+(0.5*2)+(1.25*4)</f>
        <v>7</v>
      </c>
      <c r="E6" s="7">
        <v>5</v>
      </c>
      <c r="F6" s="8">
        <v>12</v>
      </c>
    </row>
    <row r="7" spans="1:6">
      <c r="A7" s="797"/>
      <c r="B7" s="762">
        <v>45125</v>
      </c>
      <c r="C7" s="34" t="s">
        <v>8</v>
      </c>
      <c r="D7" s="3" t="s">
        <v>9</v>
      </c>
      <c r="E7" s="3" t="s">
        <v>9</v>
      </c>
      <c r="F7" s="4">
        <v>5756</v>
      </c>
    </row>
    <row r="8" spans="1:6">
      <c r="A8" s="797"/>
      <c r="B8" s="763"/>
      <c r="C8" s="31" t="s">
        <v>10</v>
      </c>
      <c r="D8" s="2">
        <f>1+(0.5*2)+(1.25*4)</f>
        <v>7</v>
      </c>
      <c r="E8" s="1">
        <v>5</v>
      </c>
      <c r="F8" s="5">
        <v>12</v>
      </c>
    </row>
    <row r="9" spans="1:6">
      <c r="A9" s="797"/>
      <c r="B9" s="763"/>
      <c r="C9" s="31" t="s">
        <v>11</v>
      </c>
      <c r="D9" s="1" t="s">
        <v>12</v>
      </c>
      <c r="E9" s="1">
        <v>5</v>
      </c>
      <c r="F9" s="5">
        <v>12</v>
      </c>
    </row>
    <row r="10" spans="1:6" ht="15.75" thickBot="1">
      <c r="A10" s="797"/>
      <c r="B10" s="769"/>
      <c r="C10" s="30" t="s">
        <v>14</v>
      </c>
      <c r="D10" s="6">
        <f>1+(0.5*2)+(1.25*4)</f>
        <v>7</v>
      </c>
      <c r="E10" s="7">
        <v>5</v>
      </c>
      <c r="F10" s="8">
        <v>12</v>
      </c>
    </row>
    <row r="11" spans="1:6">
      <c r="A11" s="797"/>
      <c r="B11" s="781">
        <v>45126</v>
      </c>
      <c r="C11" s="34" t="s">
        <v>8</v>
      </c>
      <c r="D11" s="3" t="s">
        <v>9</v>
      </c>
      <c r="E11" s="3" t="s">
        <v>9</v>
      </c>
      <c r="F11" s="4">
        <v>3876</v>
      </c>
    </row>
    <row r="12" spans="1:6">
      <c r="A12" s="797"/>
      <c r="B12" s="782"/>
      <c r="C12" s="31" t="s">
        <v>10</v>
      </c>
      <c r="D12" s="2">
        <f>1+(0.5*2)+(1.25*4)</f>
        <v>7</v>
      </c>
      <c r="E12" s="1">
        <v>5</v>
      </c>
      <c r="F12" s="5">
        <v>16</v>
      </c>
    </row>
    <row r="13" spans="1:6">
      <c r="A13" s="797"/>
      <c r="B13" s="782"/>
      <c r="C13" s="31" t="s">
        <v>11</v>
      </c>
      <c r="D13" s="1" t="s">
        <v>12</v>
      </c>
      <c r="E13" s="1">
        <v>5</v>
      </c>
      <c r="F13" s="5">
        <v>16</v>
      </c>
    </row>
    <row r="14" spans="1:6" ht="15.75" thickBot="1">
      <c r="A14" s="797"/>
      <c r="B14" s="783"/>
      <c r="C14" s="131" t="s">
        <v>15</v>
      </c>
      <c r="D14" s="14">
        <v>7</v>
      </c>
      <c r="E14" s="14">
        <v>5</v>
      </c>
      <c r="F14" s="15">
        <v>20</v>
      </c>
    </row>
    <row r="15" spans="1:6" ht="15.75" thickBot="1">
      <c r="A15" s="797"/>
      <c r="B15" s="227">
        <v>45127</v>
      </c>
      <c r="C15" s="34" t="s">
        <v>8</v>
      </c>
      <c r="D15" s="18" t="s">
        <v>9</v>
      </c>
      <c r="E15" s="18" t="s">
        <v>9</v>
      </c>
      <c r="F15" s="19">
        <v>6160</v>
      </c>
    </row>
    <row r="16" spans="1:6">
      <c r="A16" s="797"/>
      <c r="B16" s="808">
        <v>45128</v>
      </c>
      <c r="C16" s="34" t="s">
        <v>8</v>
      </c>
      <c r="D16" s="18" t="s">
        <v>9</v>
      </c>
      <c r="E16" s="18" t="s">
        <v>9</v>
      </c>
      <c r="F16" s="19">
        <v>6019</v>
      </c>
    </row>
    <row r="17" spans="1:6">
      <c r="A17" s="797"/>
      <c r="B17" s="809"/>
      <c r="C17" s="31" t="s">
        <v>10</v>
      </c>
      <c r="D17" s="17">
        <f>1+(0.5*2)+(1.25*4)</f>
        <v>7</v>
      </c>
      <c r="E17" s="16">
        <v>5</v>
      </c>
      <c r="F17" s="20">
        <v>16</v>
      </c>
    </row>
    <row r="18" spans="1:6">
      <c r="A18" s="797"/>
      <c r="B18" s="809"/>
      <c r="C18" s="31" t="s">
        <v>11</v>
      </c>
      <c r="D18" s="16" t="s">
        <v>12</v>
      </c>
      <c r="E18" s="16">
        <v>5</v>
      </c>
      <c r="F18" s="20">
        <v>16</v>
      </c>
    </row>
    <row r="19" spans="1:6" ht="15.75" thickBot="1">
      <c r="A19" s="797"/>
      <c r="B19" s="810"/>
      <c r="C19" s="30" t="s">
        <v>16</v>
      </c>
      <c r="D19" s="21">
        <f>1+(0.5*2)+(1.25*4)</f>
        <v>7</v>
      </c>
      <c r="E19" s="22">
        <v>5</v>
      </c>
      <c r="F19" s="23">
        <v>16</v>
      </c>
    </row>
    <row r="20" spans="1:6" ht="15.75" thickBot="1">
      <c r="A20" s="797"/>
      <c r="B20" s="228">
        <v>45129</v>
      </c>
      <c r="C20" s="34" t="s">
        <v>8</v>
      </c>
      <c r="D20" s="18" t="s">
        <v>9</v>
      </c>
      <c r="E20" s="18" t="s">
        <v>9</v>
      </c>
      <c r="F20" s="19">
        <v>5568</v>
      </c>
    </row>
    <row r="21" spans="1:6">
      <c r="A21" s="797"/>
      <c r="B21" s="745">
        <v>45130</v>
      </c>
      <c r="C21" s="34" t="s">
        <v>8</v>
      </c>
      <c r="D21" s="18" t="s">
        <v>9</v>
      </c>
      <c r="E21" s="18" t="s">
        <v>9</v>
      </c>
      <c r="F21" s="19">
        <v>422</v>
      </c>
    </row>
    <row r="22" spans="1:6">
      <c r="A22" s="797"/>
      <c r="B22" s="746"/>
      <c r="C22" s="31" t="s">
        <v>10</v>
      </c>
      <c r="D22" s="17">
        <f>1+(0.5*2)+(1.25*4)</f>
        <v>7</v>
      </c>
      <c r="E22" s="16">
        <v>5</v>
      </c>
      <c r="F22" s="20">
        <v>16</v>
      </c>
    </row>
    <row r="23" spans="1:6">
      <c r="A23" s="797"/>
      <c r="B23" s="746"/>
      <c r="C23" s="31" t="s">
        <v>11</v>
      </c>
      <c r="D23" s="16" t="s">
        <v>12</v>
      </c>
      <c r="E23" s="16">
        <v>5</v>
      </c>
      <c r="F23" s="20">
        <v>20</v>
      </c>
    </row>
    <row r="24" spans="1:6" ht="15.75" thickBot="1">
      <c r="A24" s="797"/>
      <c r="B24" s="747"/>
      <c r="C24" s="30" t="s">
        <v>17</v>
      </c>
      <c r="D24" s="24" t="s">
        <v>9</v>
      </c>
      <c r="E24" s="22">
        <v>5</v>
      </c>
      <c r="F24" s="23">
        <v>6</v>
      </c>
    </row>
    <row r="25" spans="1:6">
      <c r="A25" s="797"/>
      <c r="B25" s="778">
        <v>45131</v>
      </c>
      <c r="C25" s="34" t="s">
        <v>8</v>
      </c>
      <c r="D25" s="18" t="s">
        <v>9</v>
      </c>
      <c r="E25" s="18" t="s">
        <v>9</v>
      </c>
      <c r="F25" s="19">
        <v>7530</v>
      </c>
    </row>
    <row r="26" spans="1:6">
      <c r="A26" s="797"/>
      <c r="B26" s="779"/>
      <c r="C26" s="31" t="s">
        <v>10</v>
      </c>
      <c r="D26" s="17">
        <f>1+(0.5*2)+(1.25*4)</f>
        <v>7</v>
      </c>
      <c r="E26" s="16">
        <v>5</v>
      </c>
      <c r="F26" s="20">
        <v>16</v>
      </c>
    </row>
    <row r="27" spans="1:6">
      <c r="A27" s="797"/>
      <c r="B27" s="779"/>
      <c r="C27" s="31" t="s">
        <v>11</v>
      </c>
      <c r="D27" s="16" t="s">
        <v>12</v>
      </c>
      <c r="E27" s="16">
        <v>5</v>
      </c>
      <c r="F27" s="20">
        <v>20</v>
      </c>
    </row>
    <row r="28" spans="1:6" ht="30.75" thickBot="1">
      <c r="A28" s="797"/>
      <c r="B28" s="780"/>
      <c r="C28" s="30" t="s">
        <v>13</v>
      </c>
      <c r="D28" s="6">
        <f>1+(0.5*2)+(1.25*4)</f>
        <v>7</v>
      </c>
      <c r="E28" s="7">
        <v>5</v>
      </c>
      <c r="F28" s="8">
        <v>12</v>
      </c>
    </row>
    <row r="29" spans="1:6">
      <c r="A29" s="797"/>
      <c r="B29" s="803">
        <v>45136</v>
      </c>
      <c r="C29" s="34" t="s">
        <v>8</v>
      </c>
      <c r="D29" s="18" t="s">
        <v>9</v>
      </c>
      <c r="E29" s="18" t="s">
        <v>9</v>
      </c>
      <c r="F29" s="19"/>
    </row>
    <row r="30" spans="1:6">
      <c r="A30" s="797"/>
      <c r="B30" s="804"/>
      <c r="C30" s="31" t="s">
        <v>10</v>
      </c>
      <c r="D30" s="17">
        <f>1+(0.5*2)+(1.25*4)</f>
        <v>7</v>
      </c>
      <c r="E30" s="16">
        <v>5</v>
      </c>
      <c r="F30" s="20">
        <v>16</v>
      </c>
    </row>
    <row r="31" spans="1:6">
      <c r="A31" s="797"/>
      <c r="B31" s="804"/>
      <c r="C31" s="31" t="s">
        <v>11</v>
      </c>
      <c r="D31" s="16" t="s">
        <v>12</v>
      </c>
      <c r="E31" s="16">
        <v>5</v>
      </c>
      <c r="F31" s="20">
        <v>20</v>
      </c>
    </row>
    <row r="32" spans="1:6" ht="15.75" thickBot="1">
      <c r="A32" s="798"/>
      <c r="B32" s="805"/>
      <c r="C32" s="30" t="s">
        <v>16</v>
      </c>
      <c r="D32" s="21">
        <f>1+(0.5*2)+(1.25*4)</f>
        <v>7</v>
      </c>
      <c r="E32" s="22">
        <v>5</v>
      </c>
      <c r="F32" s="23">
        <v>20</v>
      </c>
    </row>
    <row r="33" spans="1:6">
      <c r="A33" s="796" t="s">
        <v>18</v>
      </c>
      <c r="B33" s="800">
        <v>45140</v>
      </c>
      <c r="C33" s="34" t="s">
        <v>8</v>
      </c>
      <c r="D33" s="18" t="s">
        <v>9</v>
      </c>
      <c r="E33" s="18" t="s">
        <v>9</v>
      </c>
      <c r="F33" s="19"/>
    </row>
    <row r="34" spans="1:6">
      <c r="A34" s="797"/>
      <c r="B34" s="801"/>
      <c r="C34" s="31" t="s">
        <v>11</v>
      </c>
      <c r="D34" s="16" t="s">
        <v>12</v>
      </c>
      <c r="E34" s="16">
        <v>5</v>
      </c>
      <c r="F34" s="20">
        <v>20</v>
      </c>
    </row>
    <row r="35" spans="1:6" ht="15.75" thickBot="1">
      <c r="A35" s="797"/>
      <c r="B35" s="802"/>
      <c r="C35" s="30" t="s">
        <v>17</v>
      </c>
      <c r="D35" s="24" t="s">
        <v>9</v>
      </c>
      <c r="E35" s="22">
        <v>5</v>
      </c>
      <c r="F35" s="23">
        <v>5</v>
      </c>
    </row>
    <row r="36" spans="1:6">
      <c r="A36" s="797"/>
      <c r="B36" s="790">
        <v>45145</v>
      </c>
      <c r="C36" s="34" t="s">
        <v>8</v>
      </c>
      <c r="D36" s="18" t="s">
        <v>9</v>
      </c>
      <c r="E36" s="18" t="s">
        <v>9</v>
      </c>
      <c r="F36" s="19"/>
    </row>
    <row r="37" spans="1:6">
      <c r="A37" s="797"/>
      <c r="B37" s="791"/>
      <c r="C37" s="31" t="s">
        <v>11</v>
      </c>
      <c r="D37" s="16" t="s">
        <v>12</v>
      </c>
      <c r="E37" s="16">
        <v>5</v>
      </c>
      <c r="F37" s="20">
        <v>20</v>
      </c>
    </row>
    <row r="38" spans="1:6">
      <c r="A38" s="797"/>
      <c r="B38" s="792"/>
      <c r="C38" s="31" t="s">
        <v>10</v>
      </c>
      <c r="D38" s="17">
        <v>10</v>
      </c>
      <c r="E38" s="16">
        <v>5</v>
      </c>
      <c r="F38" s="20">
        <v>6</v>
      </c>
    </row>
    <row r="39" spans="1:6" ht="15.75" thickBot="1">
      <c r="A39" s="797"/>
      <c r="B39" s="793"/>
      <c r="C39" s="30" t="s">
        <v>15</v>
      </c>
      <c r="D39" s="21">
        <v>10</v>
      </c>
      <c r="E39" s="22">
        <v>5</v>
      </c>
      <c r="F39" s="23">
        <v>12</v>
      </c>
    </row>
    <row r="40" spans="1:6">
      <c r="A40" s="797"/>
      <c r="B40" s="759">
        <v>45146</v>
      </c>
      <c r="C40" s="34" t="s">
        <v>8</v>
      </c>
      <c r="D40" s="18" t="s">
        <v>9</v>
      </c>
      <c r="E40" s="18" t="s">
        <v>9</v>
      </c>
      <c r="F40" s="19"/>
    </row>
    <row r="41" spans="1:6">
      <c r="A41" s="797"/>
      <c r="B41" s="760"/>
      <c r="C41" s="31" t="s">
        <v>11</v>
      </c>
      <c r="D41" s="16" t="s">
        <v>12</v>
      </c>
      <c r="E41" s="16">
        <v>5</v>
      </c>
      <c r="F41" s="20">
        <v>20</v>
      </c>
    </row>
    <row r="42" spans="1:6">
      <c r="A42" s="797"/>
      <c r="B42" s="761"/>
      <c r="C42" s="31" t="s">
        <v>10</v>
      </c>
      <c r="D42" s="17">
        <v>10</v>
      </c>
      <c r="E42" s="16">
        <v>5</v>
      </c>
      <c r="F42" s="20">
        <v>6</v>
      </c>
    </row>
    <row r="43" spans="1:6" ht="30.75" thickBot="1">
      <c r="A43" s="797"/>
      <c r="B43" s="768"/>
      <c r="C43" s="30" t="s">
        <v>13</v>
      </c>
      <c r="D43" s="6">
        <v>10</v>
      </c>
      <c r="E43" s="7">
        <v>5</v>
      </c>
      <c r="F43" s="8">
        <v>8</v>
      </c>
    </row>
    <row r="44" spans="1:6">
      <c r="A44" s="797"/>
      <c r="B44" s="770">
        <v>45149</v>
      </c>
      <c r="C44" s="34" t="s">
        <v>8</v>
      </c>
      <c r="D44" s="18" t="s">
        <v>9</v>
      </c>
      <c r="E44" s="18" t="s">
        <v>9</v>
      </c>
      <c r="F44" s="19"/>
    </row>
    <row r="45" spans="1:6" ht="15.75" thickBot="1">
      <c r="A45" s="797"/>
      <c r="B45" s="772"/>
      <c r="C45" s="30" t="s">
        <v>10</v>
      </c>
      <c r="D45" s="21">
        <v>10</v>
      </c>
      <c r="E45" s="22">
        <v>5</v>
      </c>
      <c r="F45" s="23">
        <v>8</v>
      </c>
    </row>
    <row r="46" spans="1:6">
      <c r="A46" s="797"/>
      <c r="B46" s="759">
        <v>45152</v>
      </c>
      <c r="C46" s="34" t="s">
        <v>8</v>
      </c>
      <c r="D46" s="18" t="s">
        <v>9</v>
      </c>
      <c r="E46" s="18" t="s">
        <v>9</v>
      </c>
      <c r="F46" s="19"/>
    </row>
    <row r="47" spans="1:6" ht="15.75" thickBot="1">
      <c r="A47" s="797"/>
      <c r="B47" s="761"/>
      <c r="C47" s="131" t="s">
        <v>10</v>
      </c>
      <c r="D47" s="25">
        <v>10</v>
      </c>
      <c r="E47" s="26">
        <v>5</v>
      </c>
      <c r="F47" s="27">
        <v>8</v>
      </c>
    </row>
    <row r="48" spans="1:6">
      <c r="A48" s="797"/>
      <c r="B48" s="762">
        <v>45153</v>
      </c>
      <c r="C48" s="34" t="s">
        <v>8</v>
      </c>
      <c r="D48" s="18" t="s">
        <v>9</v>
      </c>
      <c r="E48" s="18" t="s">
        <v>9</v>
      </c>
      <c r="F48" s="19"/>
    </row>
    <row r="49" spans="1:6">
      <c r="A49" s="797"/>
      <c r="B49" s="763"/>
      <c r="C49" s="31" t="s">
        <v>10</v>
      </c>
      <c r="D49" s="17">
        <v>10</v>
      </c>
      <c r="E49" s="16">
        <v>5</v>
      </c>
      <c r="F49" s="20">
        <v>8</v>
      </c>
    </row>
    <row r="50" spans="1:6" ht="15.75" thickBot="1">
      <c r="A50" s="797"/>
      <c r="B50" s="764"/>
      <c r="C50" s="30" t="s">
        <v>16</v>
      </c>
      <c r="D50" s="21">
        <v>11</v>
      </c>
      <c r="E50" s="22">
        <v>5</v>
      </c>
      <c r="F50" s="23">
        <v>12</v>
      </c>
    </row>
    <row r="51" spans="1:6">
      <c r="A51" s="797"/>
      <c r="B51" s="762">
        <v>45160</v>
      </c>
      <c r="C51" s="34" t="s">
        <v>8</v>
      </c>
      <c r="D51" s="18" t="s">
        <v>9</v>
      </c>
      <c r="E51" s="18" t="s">
        <v>9</v>
      </c>
      <c r="F51" s="19"/>
    </row>
    <row r="52" spans="1:6">
      <c r="A52" s="797"/>
      <c r="B52" s="763"/>
      <c r="C52" s="31" t="s">
        <v>10</v>
      </c>
      <c r="D52" s="17">
        <v>10</v>
      </c>
      <c r="E52" s="16">
        <v>5</v>
      </c>
      <c r="F52" s="20">
        <v>12</v>
      </c>
    </row>
    <row r="53" spans="1:6" ht="30.75" thickBot="1">
      <c r="A53" s="797"/>
      <c r="B53" s="769"/>
      <c r="C53" s="30" t="s">
        <v>13</v>
      </c>
      <c r="D53" s="6">
        <v>10</v>
      </c>
      <c r="E53" s="7">
        <v>5</v>
      </c>
      <c r="F53" s="8">
        <v>10</v>
      </c>
    </row>
    <row r="54" spans="1:6">
      <c r="A54" s="797"/>
      <c r="B54" s="762">
        <v>45160</v>
      </c>
      <c r="C54" s="34" t="s">
        <v>8</v>
      </c>
      <c r="D54" s="18" t="s">
        <v>9</v>
      </c>
      <c r="E54" s="18" t="s">
        <v>9</v>
      </c>
      <c r="F54" s="19"/>
    </row>
    <row r="55" spans="1:6">
      <c r="A55" s="797"/>
      <c r="B55" s="763"/>
      <c r="C55" s="31" t="s">
        <v>10</v>
      </c>
      <c r="D55" s="17">
        <v>10</v>
      </c>
      <c r="E55" s="16">
        <v>5</v>
      </c>
      <c r="F55" s="20">
        <v>12</v>
      </c>
    </row>
    <row r="56" spans="1:6">
      <c r="A56" s="797"/>
      <c r="B56" s="764"/>
      <c r="C56" s="31" t="s">
        <v>11</v>
      </c>
      <c r="D56" s="16" t="s">
        <v>12</v>
      </c>
      <c r="E56" s="16">
        <v>5</v>
      </c>
      <c r="F56" s="20">
        <v>20</v>
      </c>
    </row>
    <row r="57" spans="1:6" ht="15.75" thickBot="1">
      <c r="A57" s="797"/>
      <c r="B57" s="769"/>
      <c r="C57" s="30" t="s">
        <v>17</v>
      </c>
      <c r="D57" s="24" t="s">
        <v>9</v>
      </c>
      <c r="E57" s="22">
        <v>5</v>
      </c>
      <c r="F57" s="23">
        <v>6</v>
      </c>
    </row>
    <row r="58" spans="1:6">
      <c r="A58" s="797"/>
      <c r="B58" s="781">
        <v>45167</v>
      </c>
      <c r="C58" s="34" t="s">
        <v>8</v>
      </c>
      <c r="D58" s="18" t="s">
        <v>9</v>
      </c>
      <c r="E58" s="18" t="s">
        <v>9</v>
      </c>
      <c r="F58" s="19"/>
    </row>
    <row r="59" spans="1:6" ht="15.75" thickBot="1">
      <c r="A59" s="798"/>
      <c r="B59" s="794"/>
      <c r="C59" s="131" t="s">
        <v>17</v>
      </c>
      <c r="D59" s="28" t="s">
        <v>9</v>
      </c>
      <c r="E59" s="26">
        <v>5</v>
      </c>
      <c r="F59" s="27">
        <v>5</v>
      </c>
    </row>
    <row r="60" spans="1:6">
      <c r="A60" s="796" t="s">
        <v>19</v>
      </c>
      <c r="B60" s="756">
        <v>45175</v>
      </c>
      <c r="C60" s="36" t="s">
        <v>8</v>
      </c>
      <c r="D60" s="18" t="s">
        <v>9</v>
      </c>
      <c r="E60" s="18" t="s">
        <v>9</v>
      </c>
      <c r="F60" s="19"/>
    </row>
    <row r="61" spans="1:6">
      <c r="A61" s="797"/>
      <c r="B61" s="757"/>
      <c r="C61" s="32" t="s">
        <v>17</v>
      </c>
      <c r="D61" s="29" t="s">
        <v>9</v>
      </c>
      <c r="E61" s="1">
        <v>5</v>
      </c>
      <c r="F61" s="5">
        <v>6</v>
      </c>
    </row>
    <row r="62" spans="1:6" ht="15.75" thickBot="1">
      <c r="A62" s="797"/>
      <c r="B62" s="758"/>
      <c r="C62" s="37" t="s">
        <v>20</v>
      </c>
      <c r="D62" s="24" t="s">
        <v>9</v>
      </c>
      <c r="E62" s="133">
        <v>5</v>
      </c>
      <c r="F62" s="11">
        <v>10</v>
      </c>
    </row>
    <row r="63" spans="1:6">
      <c r="A63" s="797"/>
      <c r="B63" s="784">
        <v>45176</v>
      </c>
      <c r="C63" s="36" t="s">
        <v>8</v>
      </c>
      <c r="D63" s="18" t="s">
        <v>9</v>
      </c>
      <c r="E63" s="18" t="s">
        <v>9</v>
      </c>
      <c r="F63" s="19"/>
    </row>
    <row r="64" spans="1:6">
      <c r="A64" s="797"/>
      <c r="B64" s="785"/>
      <c r="C64" s="32" t="s">
        <v>17</v>
      </c>
      <c r="D64" s="29" t="s">
        <v>9</v>
      </c>
      <c r="E64" s="1">
        <v>5</v>
      </c>
      <c r="F64" s="5">
        <v>6</v>
      </c>
    </row>
    <row r="65" spans="1:6" ht="15.75" thickBot="1">
      <c r="A65" s="797"/>
      <c r="B65" s="786"/>
      <c r="C65" s="37" t="s">
        <v>20</v>
      </c>
      <c r="D65" s="24" t="s">
        <v>9</v>
      </c>
      <c r="E65" s="133">
        <v>5</v>
      </c>
      <c r="F65" s="11">
        <v>10</v>
      </c>
    </row>
    <row r="66" spans="1:6">
      <c r="A66" s="797"/>
      <c r="B66" s="806">
        <v>45177</v>
      </c>
      <c r="C66" s="36" t="s">
        <v>8</v>
      </c>
      <c r="D66" s="18" t="s">
        <v>9</v>
      </c>
      <c r="E66" s="18" t="s">
        <v>9</v>
      </c>
      <c r="F66" s="19"/>
    </row>
    <row r="67" spans="1:6">
      <c r="A67" s="797"/>
      <c r="B67" s="807"/>
      <c r="C67" s="32" t="s">
        <v>17</v>
      </c>
      <c r="D67" s="29" t="s">
        <v>9</v>
      </c>
      <c r="E67" s="1">
        <v>5</v>
      </c>
      <c r="F67" s="5">
        <v>6</v>
      </c>
    </row>
    <row r="68" spans="1:6" ht="15.75" thickBot="1">
      <c r="A68" s="797"/>
      <c r="B68" s="807"/>
      <c r="C68" s="35" t="s">
        <v>20</v>
      </c>
      <c r="D68" s="28" t="s">
        <v>9</v>
      </c>
      <c r="E68" s="14">
        <v>5</v>
      </c>
      <c r="F68" s="15">
        <v>10</v>
      </c>
    </row>
    <row r="69" spans="1:6">
      <c r="A69" s="797"/>
      <c r="B69" s="745">
        <v>45179</v>
      </c>
      <c r="C69" s="34" t="s">
        <v>8</v>
      </c>
      <c r="D69" s="18" t="s">
        <v>9</v>
      </c>
      <c r="E69" s="18" t="s">
        <v>9</v>
      </c>
      <c r="F69" s="19"/>
    </row>
    <row r="70" spans="1:6">
      <c r="A70" s="797"/>
      <c r="B70" s="746"/>
      <c r="C70" s="31" t="s">
        <v>17</v>
      </c>
      <c r="D70" s="29" t="s">
        <v>9</v>
      </c>
      <c r="E70" s="1">
        <v>5</v>
      </c>
      <c r="F70" s="5">
        <v>6</v>
      </c>
    </row>
    <row r="71" spans="1:6">
      <c r="A71" s="797"/>
      <c r="B71" s="746"/>
      <c r="C71" s="31" t="s">
        <v>20</v>
      </c>
      <c r="D71" s="29" t="s">
        <v>9</v>
      </c>
      <c r="E71" s="231">
        <v>5</v>
      </c>
      <c r="F71" s="13">
        <v>10</v>
      </c>
    </row>
    <row r="72" spans="1:6" ht="15.75" thickBot="1">
      <c r="A72" s="797"/>
      <c r="B72" s="747"/>
      <c r="C72" s="30" t="s">
        <v>15</v>
      </c>
      <c r="D72" s="133">
        <v>10</v>
      </c>
      <c r="E72" s="133">
        <v>5</v>
      </c>
      <c r="F72" s="11">
        <v>20</v>
      </c>
    </row>
    <row r="73" spans="1:6">
      <c r="A73" s="797"/>
      <c r="B73" s="759">
        <v>45180</v>
      </c>
      <c r="C73" s="34" t="s">
        <v>8</v>
      </c>
      <c r="D73" s="18" t="s">
        <v>9</v>
      </c>
      <c r="E73" s="18" t="s">
        <v>9</v>
      </c>
      <c r="F73" s="19"/>
    </row>
    <row r="74" spans="1:6">
      <c r="A74" s="797"/>
      <c r="B74" s="760"/>
      <c r="C74" s="31" t="s">
        <v>17</v>
      </c>
      <c r="D74" s="29" t="s">
        <v>9</v>
      </c>
      <c r="E74" s="1">
        <v>5</v>
      </c>
      <c r="F74" s="5">
        <v>6</v>
      </c>
    </row>
    <row r="75" spans="1:6">
      <c r="A75" s="797"/>
      <c r="B75" s="760"/>
      <c r="C75" s="31" t="s">
        <v>20</v>
      </c>
      <c r="D75" s="29" t="s">
        <v>9</v>
      </c>
      <c r="E75" s="231">
        <v>5</v>
      </c>
      <c r="F75" s="13">
        <v>10</v>
      </c>
    </row>
    <row r="76" spans="1:6" ht="15.75" thickBot="1">
      <c r="A76" s="797"/>
      <c r="B76" s="768"/>
      <c r="C76" s="131" t="s">
        <v>15</v>
      </c>
      <c r="D76" s="14">
        <v>10</v>
      </c>
      <c r="E76" s="14">
        <v>5</v>
      </c>
      <c r="F76" s="15">
        <v>20</v>
      </c>
    </row>
    <row r="77" spans="1:6">
      <c r="A77" s="797"/>
      <c r="B77" s="787">
        <v>45183</v>
      </c>
      <c r="C77" s="36" t="s">
        <v>8</v>
      </c>
      <c r="D77" s="18" t="s">
        <v>9</v>
      </c>
      <c r="E77" s="18" t="s">
        <v>9</v>
      </c>
      <c r="F77" s="19"/>
    </row>
    <row r="78" spans="1:6">
      <c r="A78" s="797"/>
      <c r="B78" s="788"/>
      <c r="C78" s="32" t="s">
        <v>10</v>
      </c>
      <c r="D78" s="17">
        <v>10</v>
      </c>
      <c r="E78" s="16">
        <v>5</v>
      </c>
      <c r="F78" s="20">
        <v>6</v>
      </c>
    </row>
    <row r="79" spans="1:6">
      <c r="A79" s="797"/>
      <c r="B79" s="788"/>
      <c r="C79" s="32" t="s">
        <v>14</v>
      </c>
      <c r="D79" s="17">
        <v>10</v>
      </c>
      <c r="E79" s="1">
        <v>5</v>
      </c>
      <c r="F79" s="5">
        <v>6</v>
      </c>
    </row>
    <row r="80" spans="1:6">
      <c r="A80" s="797"/>
      <c r="B80" s="788"/>
      <c r="C80" s="32" t="s">
        <v>17</v>
      </c>
      <c r="D80" s="29" t="s">
        <v>9</v>
      </c>
      <c r="E80" s="1">
        <v>5</v>
      </c>
      <c r="F80" s="5">
        <v>6</v>
      </c>
    </row>
    <row r="81" spans="1:6" ht="15.75" thickBot="1">
      <c r="A81" s="797"/>
      <c r="B81" s="789"/>
      <c r="C81" s="37" t="s">
        <v>20</v>
      </c>
      <c r="D81" s="24" t="s">
        <v>9</v>
      </c>
      <c r="E81" s="133">
        <v>5</v>
      </c>
      <c r="F81" s="11">
        <v>10</v>
      </c>
    </row>
    <row r="82" spans="1:6">
      <c r="A82" s="797"/>
      <c r="B82" s="784">
        <v>45190</v>
      </c>
      <c r="C82" s="36" t="s">
        <v>8</v>
      </c>
      <c r="D82" s="18" t="s">
        <v>9</v>
      </c>
      <c r="E82" s="18" t="s">
        <v>9</v>
      </c>
      <c r="F82" s="19"/>
    </row>
    <row r="83" spans="1:6">
      <c r="A83" s="797"/>
      <c r="B83" s="785"/>
      <c r="C83" s="32" t="s">
        <v>17</v>
      </c>
      <c r="D83" s="29" t="s">
        <v>9</v>
      </c>
      <c r="E83" s="1">
        <v>5</v>
      </c>
      <c r="F83" s="5">
        <v>6</v>
      </c>
    </row>
    <row r="84" spans="1:6" ht="15.75" thickBot="1">
      <c r="A84" s="797"/>
      <c r="B84" s="785"/>
      <c r="C84" s="35" t="s">
        <v>20</v>
      </c>
      <c r="D84" s="28" t="s">
        <v>9</v>
      </c>
      <c r="E84" s="14">
        <v>5</v>
      </c>
      <c r="F84" s="15">
        <v>10</v>
      </c>
    </row>
    <row r="85" spans="1:6">
      <c r="A85" s="797"/>
      <c r="B85" s="745">
        <v>45193</v>
      </c>
      <c r="C85" s="36" t="s">
        <v>8</v>
      </c>
      <c r="D85" s="18" t="s">
        <v>9</v>
      </c>
      <c r="E85" s="18" t="s">
        <v>9</v>
      </c>
      <c r="F85" s="19"/>
    </row>
    <row r="86" spans="1:6" ht="30">
      <c r="A86" s="797"/>
      <c r="B86" s="746"/>
      <c r="C86" s="32" t="s">
        <v>13</v>
      </c>
      <c r="D86" s="2">
        <v>10</v>
      </c>
      <c r="E86" s="1">
        <v>5</v>
      </c>
      <c r="F86" s="5">
        <v>10</v>
      </c>
    </row>
    <row r="87" spans="1:6">
      <c r="A87" s="797"/>
      <c r="B87" s="746"/>
      <c r="C87" s="32" t="s">
        <v>15</v>
      </c>
      <c r="D87" s="231">
        <v>10</v>
      </c>
      <c r="E87" s="231">
        <v>5</v>
      </c>
      <c r="F87" s="13">
        <v>10</v>
      </c>
    </row>
    <row r="88" spans="1:6">
      <c r="A88" s="797"/>
      <c r="B88" s="746"/>
      <c r="C88" s="32" t="s">
        <v>17</v>
      </c>
      <c r="D88" s="29" t="s">
        <v>9</v>
      </c>
      <c r="E88" s="1">
        <v>5</v>
      </c>
      <c r="F88" s="5">
        <v>14</v>
      </c>
    </row>
    <row r="89" spans="1:6" ht="15.75" thickBot="1">
      <c r="A89" s="797"/>
      <c r="B89" s="799"/>
      <c r="C89" s="35" t="s">
        <v>20</v>
      </c>
      <c r="D89" s="28" t="s">
        <v>9</v>
      </c>
      <c r="E89" s="14">
        <v>5</v>
      </c>
      <c r="F89" s="15">
        <v>18</v>
      </c>
    </row>
    <row r="90" spans="1:6">
      <c r="A90" s="797"/>
      <c r="B90" s="770">
        <v>45197</v>
      </c>
      <c r="C90" s="36" t="s">
        <v>8</v>
      </c>
      <c r="D90" s="18" t="s">
        <v>9</v>
      </c>
      <c r="E90" s="18" t="s">
        <v>9</v>
      </c>
      <c r="F90" s="19"/>
    </row>
    <row r="91" spans="1:6">
      <c r="A91" s="797"/>
      <c r="B91" s="771"/>
      <c r="C91" s="32" t="s">
        <v>10</v>
      </c>
      <c r="D91" s="17">
        <v>10</v>
      </c>
      <c r="E91" s="16">
        <v>5</v>
      </c>
      <c r="F91" s="20">
        <v>6</v>
      </c>
    </row>
    <row r="92" spans="1:6">
      <c r="A92" s="797"/>
      <c r="B92" s="771"/>
      <c r="C92" s="32" t="s">
        <v>20</v>
      </c>
      <c r="D92" s="29">
        <v>5</v>
      </c>
      <c r="E92" s="231">
        <v>5</v>
      </c>
      <c r="F92" s="13">
        <v>10</v>
      </c>
    </row>
    <row r="93" spans="1:6">
      <c r="A93" s="797"/>
      <c r="B93" s="771"/>
      <c r="C93" s="32" t="s">
        <v>14</v>
      </c>
      <c r="D93" s="17">
        <v>10</v>
      </c>
      <c r="E93" s="1">
        <v>5</v>
      </c>
      <c r="F93" s="5">
        <v>6</v>
      </c>
    </row>
    <row r="94" spans="1:6" ht="15.75" thickBot="1">
      <c r="A94" s="798"/>
      <c r="B94" s="772"/>
      <c r="C94" s="37" t="s">
        <v>17</v>
      </c>
      <c r="D94" s="24" t="s">
        <v>9</v>
      </c>
      <c r="E94" s="7">
        <v>5</v>
      </c>
      <c r="F94" s="8">
        <v>6</v>
      </c>
    </row>
    <row r="95" spans="1:6">
      <c r="A95" s="748" t="s">
        <v>21</v>
      </c>
      <c r="B95" s="745">
        <v>45200</v>
      </c>
      <c r="C95" s="36" t="s">
        <v>8</v>
      </c>
      <c r="D95" s="18" t="s">
        <v>9</v>
      </c>
      <c r="E95" s="18" t="s">
        <v>9</v>
      </c>
      <c r="F95" s="19"/>
    </row>
    <row r="96" spans="1:6" ht="30">
      <c r="A96" s="749"/>
      <c r="B96" s="746"/>
      <c r="C96" s="32" t="s">
        <v>13</v>
      </c>
      <c r="D96" s="2">
        <v>10</v>
      </c>
      <c r="E96" s="1">
        <v>5</v>
      </c>
      <c r="F96" s="5">
        <v>10</v>
      </c>
    </row>
    <row r="97" spans="1:6">
      <c r="A97" s="749"/>
      <c r="B97" s="746"/>
      <c r="C97" s="32" t="s">
        <v>15</v>
      </c>
      <c r="D97" s="231">
        <v>10</v>
      </c>
      <c r="E97" s="231">
        <v>5</v>
      </c>
      <c r="F97" s="13">
        <v>10</v>
      </c>
    </row>
    <row r="98" spans="1:6">
      <c r="A98" s="749"/>
      <c r="B98" s="746"/>
      <c r="C98" s="32" t="s">
        <v>17</v>
      </c>
      <c r="D98" s="29" t="s">
        <v>9</v>
      </c>
      <c r="E98" s="1">
        <v>5</v>
      </c>
      <c r="F98" s="5">
        <v>14</v>
      </c>
    </row>
    <row r="99" spans="1:6" ht="15.75" thickBot="1">
      <c r="A99" s="749"/>
      <c r="B99" s="799"/>
      <c r="C99" s="35" t="s">
        <v>20</v>
      </c>
      <c r="D99" s="28" t="s">
        <v>9</v>
      </c>
      <c r="E99" s="14">
        <v>5</v>
      </c>
      <c r="F99" s="15">
        <v>18</v>
      </c>
    </row>
    <row r="100" spans="1:6">
      <c r="A100" s="749"/>
      <c r="B100" s="770">
        <v>45204</v>
      </c>
      <c r="C100" s="34" t="s">
        <v>8</v>
      </c>
      <c r="D100" s="18" t="s">
        <v>9</v>
      </c>
      <c r="E100" s="18" t="s">
        <v>9</v>
      </c>
      <c r="F100" s="19"/>
    </row>
    <row r="101" spans="1:6">
      <c r="A101" s="749"/>
      <c r="B101" s="771"/>
      <c r="C101" s="31" t="s">
        <v>10</v>
      </c>
      <c r="D101" s="17">
        <v>10</v>
      </c>
      <c r="E101" s="16">
        <v>5</v>
      </c>
      <c r="F101" s="20">
        <v>6</v>
      </c>
    </row>
    <row r="102" spans="1:6">
      <c r="A102" s="749"/>
      <c r="B102" s="771"/>
      <c r="C102" s="31" t="s">
        <v>20</v>
      </c>
      <c r="D102" s="29">
        <v>10</v>
      </c>
      <c r="E102" s="231">
        <v>5</v>
      </c>
      <c r="F102" s="13">
        <v>10</v>
      </c>
    </row>
    <row r="103" spans="1:6">
      <c r="A103" s="749"/>
      <c r="B103" s="771"/>
      <c r="C103" s="31" t="s">
        <v>17</v>
      </c>
      <c r="D103" s="29" t="s">
        <v>9</v>
      </c>
      <c r="E103" s="1">
        <v>5</v>
      </c>
      <c r="F103" s="5">
        <v>6</v>
      </c>
    </row>
    <row r="104" spans="1:6" ht="15.75" thickBot="1">
      <c r="A104" s="749"/>
      <c r="B104" s="772"/>
      <c r="C104" s="30" t="s">
        <v>14</v>
      </c>
      <c r="D104" s="21">
        <v>10</v>
      </c>
      <c r="E104" s="7">
        <v>5</v>
      </c>
      <c r="F104" s="8">
        <v>6</v>
      </c>
    </row>
    <row r="105" spans="1:6">
      <c r="A105" s="749"/>
      <c r="B105" s="759">
        <v>45208</v>
      </c>
      <c r="C105" s="34" t="s">
        <v>8</v>
      </c>
      <c r="D105" s="18" t="s">
        <v>9</v>
      </c>
      <c r="E105" s="18" t="s">
        <v>9</v>
      </c>
      <c r="F105" s="19"/>
    </row>
    <row r="106" spans="1:6">
      <c r="A106" s="749"/>
      <c r="B106" s="760"/>
      <c r="C106" s="31" t="s">
        <v>17</v>
      </c>
      <c r="D106" s="29" t="s">
        <v>9</v>
      </c>
      <c r="E106" s="1">
        <v>5</v>
      </c>
      <c r="F106" s="5">
        <v>8</v>
      </c>
    </row>
    <row r="107" spans="1:6" ht="15.75" thickBot="1">
      <c r="A107" s="749"/>
      <c r="B107" s="761"/>
      <c r="C107" s="131" t="s">
        <v>20</v>
      </c>
      <c r="D107" s="28" t="s">
        <v>9</v>
      </c>
      <c r="E107" s="14">
        <v>5</v>
      </c>
      <c r="F107" s="15">
        <v>10</v>
      </c>
    </row>
    <row r="108" spans="1:6">
      <c r="A108" s="749"/>
      <c r="B108" s="762">
        <v>45209</v>
      </c>
      <c r="C108" s="36" t="s">
        <v>8</v>
      </c>
      <c r="D108" s="18" t="s">
        <v>9</v>
      </c>
      <c r="E108" s="18" t="s">
        <v>9</v>
      </c>
      <c r="F108" s="19"/>
    </row>
    <row r="109" spans="1:6" ht="30">
      <c r="A109" s="749"/>
      <c r="B109" s="763"/>
      <c r="C109" s="32" t="s">
        <v>13</v>
      </c>
      <c r="D109" s="2">
        <v>10</v>
      </c>
      <c r="E109" s="1">
        <v>5</v>
      </c>
      <c r="F109" s="5">
        <v>10</v>
      </c>
    </row>
    <row r="110" spans="1:6" ht="15.75" thickBot="1">
      <c r="A110" s="749"/>
      <c r="B110" s="764"/>
      <c r="C110" s="35" t="s">
        <v>15</v>
      </c>
      <c r="D110" s="14">
        <v>10</v>
      </c>
      <c r="E110" s="14">
        <v>5</v>
      </c>
      <c r="F110" s="15">
        <v>10</v>
      </c>
    </row>
    <row r="111" spans="1:6">
      <c r="A111" s="749"/>
      <c r="B111" s="745">
        <v>45214</v>
      </c>
      <c r="C111" s="34" t="s">
        <v>8</v>
      </c>
      <c r="D111" s="18" t="s">
        <v>9</v>
      </c>
      <c r="E111" s="18" t="s">
        <v>9</v>
      </c>
      <c r="F111" s="19"/>
    </row>
    <row r="112" spans="1:6">
      <c r="A112" s="749"/>
      <c r="B112" s="746"/>
      <c r="C112" s="31" t="s">
        <v>17</v>
      </c>
      <c r="D112" s="29" t="s">
        <v>22</v>
      </c>
      <c r="E112" s="1">
        <v>5</v>
      </c>
      <c r="F112" s="5">
        <v>6</v>
      </c>
    </row>
    <row r="113" spans="1:17">
      <c r="A113" s="749"/>
      <c r="B113" s="746"/>
      <c r="C113" s="31" t="s">
        <v>23</v>
      </c>
      <c r="D113" s="29" t="s">
        <v>22</v>
      </c>
      <c r="E113" s="1">
        <v>5</v>
      </c>
      <c r="F113" s="5">
        <v>6</v>
      </c>
    </row>
    <row r="114" spans="1:17" ht="15.75" thickBot="1">
      <c r="A114" s="749"/>
      <c r="B114" s="747"/>
      <c r="C114" s="30" t="s">
        <v>20</v>
      </c>
      <c r="D114" s="24" t="s">
        <v>22</v>
      </c>
      <c r="E114" s="133">
        <v>5</v>
      </c>
      <c r="F114" s="11">
        <v>20</v>
      </c>
    </row>
    <row r="115" spans="1:17">
      <c r="A115" s="749"/>
      <c r="B115" s="759">
        <v>45215</v>
      </c>
      <c r="C115" s="34" t="s">
        <v>8</v>
      </c>
      <c r="D115" s="18" t="s">
        <v>9</v>
      </c>
      <c r="E115" s="18" t="s">
        <v>9</v>
      </c>
      <c r="F115" s="19"/>
    </row>
    <row r="116" spans="1:17">
      <c r="A116" s="749"/>
      <c r="B116" s="760"/>
      <c r="C116" s="31" t="s">
        <v>17</v>
      </c>
      <c r="D116" s="29" t="s">
        <v>22</v>
      </c>
      <c r="E116" s="1">
        <v>5</v>
      </c>
      <c r="F116" s="5">
        <v>6</v>
      </c>
    </row>
    <row r="117" spans="1:17">
      <c r="A117" s="749"/>
      <c r="B117" s="760"/>
      <c r="C117" s="31" t="s">
        <v>23</v>
      </c>
      <c r="D117" s="29" t="s">
        <v>22</v>
      </c>
      <c r="E117" s="1">
        <v>5</v>
      </c>
      <c r="F117" s="5">
        <v>6</v>
      </c>
    </row>
    <row r="118" spans="1:17" ht="15.75" thickBot="1">
      <c r="A118" s="749"/>
      <c r="B118" s="768"/>
      <c r="C118" s="131" t="s">
        <v>20</v>
      </c>
      <c r="D118" s="28" t="s">
        <v>22</v>
      </c>
      <c r="E118" s="14">
        <v>5</v>
      </c>
      <c r="F118" s="15">
        <v>20</v>
      </c>
    </row>
    <row r="119" spans="1:17">
      <c r="A119" s="749"/>
      <c r="B119" s="762">
        <v>45216</v>
      </c>
      <c r="C119" s="36" t="s">
        <v>8</v>
      </c>
      <c r="D119" s="18" t="s">
        <v>9</v>
      </c>
      <c r="E119" s="18" t="s">
        <v>9</v>
      </c>
      <c r="F119" s="19"/>
      <c r="G119" s="753" t="s">
        <v>24</v>
      </c>
    </row>
    <row r="120" spans="1:17" ht="30">
      <c r="A120" s="749"/>
      <c r="B120" s="763"/>
      <c r="C120" s="32" t="s">
        <v>25</v>
      </c>
      <c r="D120" s="231">
        <v>10</v>
      </c>
      <c r="E120" s="231">
        <v>5</v>
      </c>
      <c r="F120" s="13">
        <v>10</v>
      </c>
      <c r="G120" s="751"/>
    </row>
    <row r="121" spans="1:17" ht="30">
      <c r="A121" s="749"/>
      <c r="B121" s="763"/>
      <c r="C121" s="32" t="s">
        <v>26</v>
      </c>
      <c r="D121" s="231">
        <v>10</v>
      </c>
      <c r="E121" s="231">
        <v>5</v>
      </c>
      <c r="F121" s="13">
        <v>10</v>
      </c>
      <c r="G121" s="751"/>
    </row>
    <row r="122" spans="1:17">
      <c r="A122" s="749"/>
      <c r="B122" s="763"/>
      <c r="C122" s="32" t="s">
        <v>27</v>
      </c>
      <c r="D122" s="231">
        <v>10</v>
      </c>
      <c r="E122" s="231">
        <v>5</v>
      </c>
      <c r="F122" s="13">
        <v>10</v>
      </c>
      <c r="G122" s="751"/>
    </row>
    <row r="123" spans="1:17" ht="30.75" thickBot="1">
      <c r="A123" s="749"/>
      <c r="B123" s="769"/>
      <c r="C123" s="37" t="s">
        <v>13</v>
      </c>
      <c r="D123" s="6">
        <v>10</v>
      </c>
      <c r="E123" s="7">
        <v>5</v>
      </c>
      <c r="F123" s="8">
        <v>10</v>
      </c>
      <c r="G123" s="752"/>
    </row>
    <row r="124" spans="1:17">
      <c r="A124" s="749"/>
      <c r="B124" s="756">
        <v>45217</v>
      </c>
      <c r="C124" s="34" t="s">
        <v>8</v>
      </c>
      <c r="D124" s="18" t="s">
        <v>9</v>
      </c>
      <c r="E124" s="18" t="s">
        <v>9</v>
      </c>
      <c r="F124" s="19"/>
      <c r="G124" s="754" t="s">
        <v>28</v>
      </c>
    </row>
    <row r="125" spans="1:17">
      <c r="A125" s="749"/>
      <c r="B125" s="757"/>
      <c r="C125" s="31" t="s">
        <v>10</v>
      </c>
      <c r="D125" s="17">
        <v>10</v>
      </c>
      <c r="E125" s="16">
        <v>5</v>
      </c>
      <c r="F125" s="20">
        <v>6</v>
      </c>
      <c r="G125" s="755"/>
    </row>
    <row r="126" spans="1:17">
      <c r="A126" s="749"/>
      <c r="B126" s="757"/>
      <c r="C126" s="31" t="s">
        <v>14</v>
      </c>
      <c r="D126" s="17">
        <v>10</v>
      </c>
      <c r="E126" s="1">
        <v>5</v>
      </c>
      <c r="F126" s="5">
        <v>6</v>
      </c>
      <c r="G126" s="755"/>
    </row>
    <row r="127" spans="1:17">
      <c r="A127" s="749"/>
      <c r="B127" s="757"/>
      <c r="C127" s="31" t="s">
        <v>17</v>
      </c>
      <c r="D127" s="29" t="s">
        <v>22</v>
      </c>
      <c r="E127" s="1">
        <v>5</v>
      </c>
      <c r="F127" s="5">
        <v>6</v>
      </c>
      <c r="G127" s="755"/>
    </row>
    <row r="128" spans="1:17">
      <c r="A128" s="749"/>
      <c r="B128" s="757"/>
      <c r="C128" s="31" t="s">
        <v>23</v>
      </c>
      <c r="D128" s="29" t="s">
        <v>22</v>
      </c>
      <c r="E128" s="1">
        <v>5</v>
      </c>
      <c r="F128" s="5">
        <v>6</v>
      </c>
      <c r="G128" s="755"/>
      <c r="K128" s="231" t="s">
        <v>29</v>
      </c>
      <c r="L128" s="231" t="s">
        <v>30</v>
      </c>
      <c r="M128" s="231" t="s">
        <v>31</v>
      </c>
      <c r="N128" s="231" t="s">
        <v>32</v>
      </c>
      <c r="O128" s="231" t="s">
        <v>33</v>
      </c>
      <c r="P128" s="231" t="s">
        <v>34</v>
      </c>
      <c r="Q128" s="231" t="s">
        <v>35</v>
      </c>
    </row>
    <row r="129" spans="1:17" ht="15.75" thickBot="1">
      <c r="A129" s="749"/>
      <c r="B129" s="758"/>
      <c r="C129" s="30" t="s">
        <v>20</v>
      </c>
      <c r="D129" s="24" t="s">
        <v>22</v>
      </c>
      <c r="E129" s="133">
        <v>5</v>
      </c>
      <c r="F129" s="11">
        <v>20</v>
      </c>
      <c r="G129" s="755"/>
      <c r="K129" s="231" t="s">
        <v>28</v>
      </c>
      <c r="L129" s="231" t="s">
        <v>24</v>
      </c>
      <c r="M129" s="231" t="s">
        <v>36</v>
      </c>
      <c r="N129" s="231" t="s">
        <v>28</v>
      </c>
      <c r="O129" s="231" t="s">
        <v>24</v>
      </c>
      <c r="P129" s="231" t="s">
        <v>36</v>
      </c>
      <c r="Q129" s="231" t="s">
        <v>37</v>
      </c>
    </row>
    <row r="130" spans="1:17">
      <c r="A130" s="749"/>
      <c r="B130" s="765">
        <v>45219</v>
      </c>
      <c r="C130" s="36" t="s">
        <v>8</v>
      </c>
      <c r="D130" s="18" t="s">
        <v>9</v>
      </c>
      <c r="E130" s="18" t="s">
        <v>9</v>
      </c>
      <c r="F130" s="19"/>
      <c r="G130" s="753" t="s">
        <v>24</v>
      </c>
    </row>
    <row r="131" spans="1:17" ht="30">
      <c r="A131" s="749"/>
      <c r="B131" s="766"/>
      <c r="C131" s="32" t="s">
        <v>25</v>
      </c>
      <c r="D131" s="231">
        <v>12</v>
      </c>
      <c r="E131" s="231">
        <v>5</v>
      </c>
      <c r="F131" s="13">
        <v>10</v>
      </c>
      <c r="G131" s="751"/>
    </row>
    <row r="132" spans="1:17" ht="30">
      <c r="A132" s="749"/>
      <c r="B132" s="766"/>
      <c r="C132" s="32" t="s">
        <v>26</v>
      </c>
      <c r="D132" s="231">
        <v>12</v>
      </c>
      <c r="E132" s="231">
        <v>5</v>
      </c>
      <c r="F132" s="13">
        <v>10</v>
      </c>
      <c r="G132" s="751"/>
    </row>
    <row r="133" spans="1:17">
      <c r="A133" s="749"/>
      <c r="B133" s="766"/>
      <c r="C133" s="32" t="s">
        <v>27</v>
      </c>
      <c r="D133" s="231">
        <v>12</v>
      </c>
      <c r="E133" s="231">
        <v>5</v>
      </c>
      <c r="F133" s="13">
        <v>10</v>
      </c>
      <c r="G133" s="751"/>
    </row>
    <row r="134" spans="1:17" ht="30.75" thickBot="1">
      <c r="A134" s="749"/>
      <c r="B134" s="767"/>
      <c r="C134" s="37" t="s">
        <v>13</v>
      </c>
      <c r="D134" s="6">
        <v>12</v>
      </c>
      <c r="E134" s="7">
        <v>5</v>
      </c>
      <c r="F134" s="8">
        <v>10</v>
      </c>
      <c r="G134" s="752"/>
    </row>
    <row r="135" spans="1:17">
      <c r="A135" s="749"/>
      <c r="B135" s="745">
        <v>45221</v>
      </c>
      <c r="C135" s="36" t="s">
        <v>8</v>
      </c>
      <c r="D135" s="18" t="s">
        <v>9</v>
      </c>
      <c r="E135" s="18" t="s">
        <v>9</v>
      </c>
      <c r="F135" s="19"/>
      <c r="G135" s="751" t="s">
        <v>37</v>
      </c>
    </row>
    <row r="136" spans="1:17" ht="30">
      <c r="A136" s="749"/>
      <c r="B136" s="746"/>
      <c r="C136" s="32" t="s">
        <v>38</v>
      </c>
      <c r="D136" s="231">
        <v>12</v>
      </c>
      <c r="E136" s="231">
        <v>5</v>
      </c>
      <c r="F136" s="13">
        <v>10</v>
      </c>
      <c r="G136" s="751"/>
    </row>
    <row r="137" spans="1:17" ht="45">
      <c r="A137" s="749"/>
      <c r="B137" s="746"/>
      <c r="C137" s="32" t="s">
        <v>39</v>
      </c>
      <c r="D137" s="231">
        <v>12</v>
      </c>
      <c r="E137" s="231">
        <v>5</v>
      </c>
      <c r="F137" s="13">
        <v>10</v>
      </c>
      <c r="G137" s="751"/>
    </row>
    <row r="138" spans="1:17" ht="30">
      <c r="A138" s="749"/>
      <c r="B138" s="746"/>
      <c r="C138" s="32" t="s">
        <v>40</v>
      </c>
      <c r="D138" s="231">
        <v>12</v>
      </c>
      <c r="E138" s="231">
        <v>5</v>
      </c>
      <c r="F138" s="13">
        <v>10</v>
      </c>
      <c r="G138" s="751"/>
    </row>
    <row r="139" spans="1:17" ht="15.75" thickBot="1">
      <c r="A139" s="750"/>
      <c r="B139" s="747"/>
      <c r="C139" s="37" t="s">
        <v>41</v>
      </c>
      <c r="D139" s="6">
        <v>12</v>
      </c>
      <c r="E139" s="7">
        <v>5</v>
      </c>
      <c r="F139" s="8">
        <v>10</v>
      </c>
      <c r="G139" s="752"/>
    </row>
  </sheetData>
  <mergeCells count="46">
    <mergeCell ref="A1:A2"/>
    <mergeCell ref="A3:A32"/>
    <mergeCell ref="A33:A59"/>
    <mergeCell ref="A60:A94"/>
    <mergeCell ref="B95:B99"/>
    <mergeCell ref="B33:B35"/>
    <mergeCell ref="B29:B32"/>
    <mergeCell ref="B73:B76"/>
    <mergeCell ref="B85:B89"/>
    <mergeCell ref="B90:B94"/>
    <mergeCell ref="B66:B68"/>
    <mergeCell ref="B16:B19"/>
    <mergeCell ref="B82:B84"/>
    <mergeCell ref="B21:B24"/>
    <mergeCell ref="B46:B47"/>
    <mergeCell ref="B44:B45"/>
    <mergeCell ref="B25:B28"/>
    <mergeCell ref="B63:B65"/>
    <mergeCell ref="B77:B81"/>
    <mergeCell ref="B48:B50"/>
    <mergeCell ref="B69:B72"/>
    <mergeCell ref="B40:B43"/>
    <mergeCell ref="B60:B62"/>
    <mergeCell ref="B36:B39"/>
    <mergeCell ref="B58:B59"/>
    <mergeCell ref="B54:B57"/>
    <mergeCell ref="B51:B53"/>
    <mergeCell ref="C1:F1"/>
    <mergeCell ref="B1:B2"/>
    <mergeCell ref="B3:B6"/>
    <mergeCell ref="B7:B10"/>
    <mergeCell ref="B11:B14"/>
    <mergeCell ref="B135:B139"/>
    <mergeCell ref="A95:A139"/>
    <mergeCell ref="G135:G139"/>
    <mergeCell ref="G130:G134"/>
    <mergeCell ref="G124:G129"/>
    <mergeCell ref="G119:G123"/>
    <mergeCell ref="B124:B129"/>
    <mergeCell ref="B105:B107"/>
    <mergeCell ref="B108:B110"/>
    <mergeCell ref="B111:B114"/>
    <mergeCell ref="B130:B134"/>
    <mergeCell ref="B115:B118"/>
    <mergeCell ref="B119:B123"/>
    <mergeCell ref="B100:B104"/>
  </mergeCells>
  <phoneticPr fontId="2"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L39"/>
  <sheetViews>
    <sheetView zoomScaleNormal="100" workbookViewId="0">
      <selection activeCell="H2" sqref="H2:N3"/>
    </sheetView>
  </sheetViews>
  <sheetFormatPr defaultRowHeight="15"/>
  <cols>
    <col min="1" max="1" width="19.7109375" bestFit="1" customWidth="1"/>
    <col min="2" max="2" width="17.7109375" style="38" bestFit="1" customWidth="1"/>
    <col min="3" max="3" width="17.140625" customWidth="1"/>
    <col min="4" max="6" width="11.85546875" customWidth="1"/>
    <col min="7" max="7" width="9.140625" customWidth="1"/>
    <col min="8" max="14" width="19.42578125" customWidth="1"/>
    <col min="15" max="35" width="9.140625" customWidth="1"/>
  </cols>
  <sheetData>
    <row r="1" spans="1:37" ht="15.75" thickBot="1">
      <c r="A1" s="815" t="s">
        <v>2</v>
      </c>
      <c r="B1" s="816"/>
      <c r="C1" s="816"/>
      <c r="D1" s="816"/>
      <c r="E1" s="817"/>
      <c r="F1" s="41"/>
      <c r="H1" s="820" t="s">
        <v>42</v>
      </c>
      <c r="I1" s="821"/>
      <c r="J1" s="821"/>
      <c r="K1" s="821"/>
      <c r="L1" s="821"/>
      <c r="M1" s="821"/>
      <c r="N1" s="822"/>
    </row>
    <row r="2" spans="1:37" ht="15.75" thickBot="1">
      <c r="A2" s="41" t="s">
        <v>43</v>
      </c>
      <c r="B2" s="42" t="s">
        <v>3</v>
      </c>
      <c r="C2" s="43" t="s">
        <v>4</v>
      </c>
      <c r="D2" s="43" t="s">
        <v>5</v>
      </c>
      <c r="E2" s="44" t="s">
        <v>6</v>
      </c>
      <c r="F2" s="41"/>
      <c r="H2" s="48" t="s">
        <v>29</v>
      </c>
      <c r="I2" s="49" t="s">
        <v>30</v>
      </c>
      <c r="J2" s="50" t="s">
        <v>31</v>
      </c>
      <c r="K2" s="51" t="s">
        <v>32</v>
      </c>
      <c r="L2" s="52" t="s">
        <v>33</v>
      </c>
      <c r="M2" s="53" t="s">
        <v>34</v>
      </c>
      <c r="N2" s="54" t="s">
        <v>35</v>
      </c>
    </row>
    <row r="3" spans="1:37" ht="30.75" thickBot="1">
      <c r="A3" s="753" t="s">
        <v>24</v>
      </c>
      <c r="B3" s="32" t="s">
        <v>25</v>
      </c>
      <c r="C3" s="231">
        <v>12</v>
      </c>
      <c r="D3" s="231">
        <v>5</v>
      </c>
      <c r="E3" s="13">
        <v>8</v>
      </c>
      <c r="F3" s="39"/>
      <c r="G3" s="39"/>
      <c r="H3" s="45" t="s">
        <v>28</v>
      </c>
      <c r="I3" s="46" t="s">
        <v>24</v>
      </c>
      <c r="J3" s="55" t="s">
        <v>36</v>
      </c>
      <c r="K3" s="46" t="s">
        <v>28</v>
      </c>
      <c r="L3" s="46" t="s">
        <v>24</v>
      </c>
      <c r="M3" s="55" t="s">
        <v>36</v>
      </c>
      <c r="N3" s="47" t="s">
        <v>37</v>
      </c>
    </row>
    <row r="4" spans="1:37" ht="30.75" thickBot="1">
      <c r="A4" s="751"/>
      <c r="B4" s="32" t="s">
        <v>26</v>
      </c>
      <c r="C4" s="231">
        <v>12</v>
      </c>
      <c r="D4" s="231">
        <v>5</v>
      </c>
      <c r="E4" s="13">
        <v>8</v>
      </c>
      <c r="F4" s="39"/>
      <c r="G4" s="39"/>
    </row>
    <row r="5" spans="1:37">
      <c r="A5" s="751"/>
      <c r="B5" s="32" t="s">
        <v>27</v>
      </c>
      <c r="C5" s="231">
        <v>10</v>
      </c>
      <c r="D5" s="231">
        <v>5</v>
      </c>
      <c r="E5" s="13">
        <v>6</v>
      </c>
      <c r="F5" s="39"/>
      <c r="G5" s="39"/>
      <c r="H5" s="811" t="s">
        <v>21</v>
      </c>
      <c r="I5" s="812"/>
      <c r="J5" s="811" t="s">
        <v>44</v>
      </c>
      <c r="K5" s="812"/>
      <c r="L5" s="811" t="s">
        <v>45</v>
      </c>
      <c r="M5" s="812"/>
      <c r="N5" s="811" t="s">
        <v>46</v>
      </c>
      <c r="O5" s="812"/>
      <c r="P5" s="811" t="s">
        <v>47</v>
      </c>
      <c r="Q5" s="812"/>
      <c r="R5" s="811" t="s">
        <v>48</v>
      </c>
      <c r="S5" s="812"/>
      <c r="T5" s="811" t="s">
        <v>49</v>
      </c>
      <c r="U5" s="812"/>
      <c r="V5" s="811" t="s">
        <v>50</v>
      </c>
      <c r="W5" s="812"/>
      <c r="X5" s="811" t="s">
        <v>51</v>
      </c>
      <c r="Y5" s="812"/>
      <c r="Z5" s="811" t="s">
        <v>18</v>
      </c>
      <c r="AA5" s="812"/>
      <c r="AB5" s="811" t="s">
        <v>19</v>
      </c>
      <c r="AC5" s="812"/>
      <c r="AD5" s="811" t="s">
        <v>21</v>
      </c>
      <c r="AE5" s="812"/>
      <c r="AF5" s="811" t="s">
        <v>44</v>
      </c>
      <c r="AG5" s="812"/>
      <c r="AH5" s="811" t="s">
        <v>45</v>
      </c>
      <c r="AI5" s="812"/>
      <c r="AJ5" s="811" t="s">
        <v>46</v>
      </c>
      <c r="AK5" s="812"/>
    </row>
    <row r="6" spans="1:37" ht="30.75" thickBot="1">
      <c r="A6" s="752"/>
      <c r="B6" s="37" t="s">
        <v>13</v>
      </c>
      <c r="C6" s="6">
        <v>10</v>
      </c>
      <c r="D6" s="7">
        <v>5</v>
      </c>
      <c r="E6" s="8">
        <v>6</v>
      </c>
      <c r="F6" s="80"/>
      <c r="G6" s="39"/>
      <c r="H6" s="56" t="s">
        <v>1</v>
      </c>
      <c r="I6" s="57" t="s">
        <v>52</v>
      </c>
      <c r="J6" s="56" t="s">
        <v>1</v>
      </c>
      <c r="K6" s="57" t="s">
        <v>52</v>
      </c>
      <c r="L6" s="56" t="s">
        <v>1</v>
      </c>
      <c r="M6" s="57" t="s">
        <v>52</v>
      </c>
      <c r="N6" s="56" t="s">
        <v>1</v>
      </c>
      <c r="O6" s="57" t="s">
        <v>52</v>
      </c>
      <c r="P6" s="56" t="s">
        <v>1</v>
      </c>
      <c r="Q6" s="57" t="s">
        <v>52</v>
      </c>
      <c r="R6" s="56" t="s">
        <v>1</v>
      </c>
      <c r="S6" s="57" t="s">
        <v>52</v>
      </c>
      <c r="T6" s="56" t="s">
        <v>1</v>
      </c>
      <c r="U6" s="57" t="s">
        <v>52</v>
      </c>
      <c r="V6" s="56" t="s">
        <v>1</v>
      </c>
      <c r="W6" s="57" t="s">
        <v>52</v>
      </c>
      <c r="X6" s="56" t="s">
        <v>1</v>
      </c>
      <c r="Y6" s="57" t="s">
        <v>52</v>
      </c>
      <c r="Z6" s="56" t="s">
        <v>1</v>
      </c>
      <c r="AA6" s="57" t="s">
        <v>52</v>
      </c>
      <c r="AB6" s="56" t="s">
        <v>1</v>
      </c>
      <c r="AC6" s="57" t="s">
        <v>52</v>
      </c>
      <c r="AD6" s="56" t="s">
        <v>1</v>
      </c>
      <c r="AE6" s="57" t="s">
        <v>52</v>
      </c>
      <c r="AF6" s="56" t="s">
        <v>1</v>
      </c>
      <c r="AG6" s="57" t="s">
        <v>52</v>
      </c>
      <c r="AH6" s="56" t="s">
        <v>1</v>
      </c>
      <c r="AI6" s="57" t="s">
        <v>52</v>
      </c>
      <c r="AJ6" s="56" t="s">
        <v>1</v>
      </c>
      <c r="AK6" s="57" t="s">
        <v>52</v>
      </c>
    </row>
    <row r="7" spans="1:37">
      <c r="A7" s="754" t="s">
        <v>28</v>
      </c>
      <c r="B7" s="31" t="s">
        <v>10</v>
      </c>
      <c r="C7" s="17">
        <v>12</v>
      </c>
      <c r="D7" s="16">
        <v>5</v>
      </c>
      <c r="E7" s="20">
        <v>6</v>
      </c>
      <c r="F7" s="81"/>
      <c r="G7" s="39"/>
      <c r="H7" s="60">
        <v>1</v>
      </c>
      <c r="I7" s="64"/>
      <c r="J7" s="72">
        <v>1</v>
      </c>
      <c r="K7" s="73"/>
      <c r="L7" s="60">
        <v>1</v>
      </c>
      <c r="M7" s="62" t="s">
        <v>53</v>
      </c>
      <c r="N7" s="60">
        <v>1</v>
      </c>
      <c r="O7" s="62" t="s">
        <v>53</v>
      </c>
      <c r="P7" s="60">
        <v>1</v>
      </c>
      <c r="Q7" s="62" t="s">
        <v>53</v>
      </c>
      <c r="R7" s="60">
        <v>1</v>
      </c>
      <c r="S7" s="62" t="s">
        <v>53</v>
      </c>
      <c r="T7" s="60">
        <v>1</v>
      </c>
      <c r="U7" s="62" t="s">
        <v>53</v>
      </c>
      <c r="V7" s="72">
        <v>1</v>
      </c>
      <c r="W7" s="59"/>
      <c r="X7" s="72">
        <v>1</v>
      </c>
      <c r="Y7" s="59" t="s">
        <v>54</v>
      </c>
      <c r="Z7" s="60">
        <v>1</v>
      </c>
      <c r="AA7" s="62" t="s">
        <v>53</v>
      </c>
      <c r="AB7" s="60">
        <v>1</v>
      </c>
      <c r="AC7" s="62" t="s">
        <v>54</v>
      </c>
      <c r="AD7" s="60">
        <v>1</v>
      </c>
      <c r="AE7" s="82" t="s">
        <v>54</v>
      </c>
      <c r="AF7" s="60">
        <v>1</v>
      </c>
      <c r="AG7" s="82" t="s">
        <v>54</v>
      </c>
      <c r="AH7" s="60">
        <v>1</v>
      </c>
      <c r="AI7" s="82" t="s">
        <v>54</v>
      </c>
      <c r="AJ7" s="72">
        <v>1</v>
      </c>
      <c r="AK7" s="82" t="s">
        <v>54</v>
      </c>
    </row>
    <row r="8" spans="1:37">
      <c r="A8" s="755"/>
      <c r="B8" s="31" t="s">
        <v>14</v>
      </c>
      <c r="C8" s="17">
        <v>12</v>
      </c>
      <c r="D8" s="1">
        <v>5</v>
      </c>
      <c r="E8" s="5">
        <v>6</v>
      </c>
      <c r="F8" s="80"/>
      <c r="G8" s="40"/>
      <c r="H8" s="61">
        <v>2</v>
      </c>
      <c r="I8" s="65"/>
      <c r="J8" s="61">
        <v>2</v>
      </c>
      <c r="K8" s="62" t="s">
        <v>54</v>
      </c>
      <c r="L8" s="58">
        <v>2</v>
      </c>
      <c r="M8" s="59"/>
      <c r="N8" s="61">
        <v>2</v>
      </c>
      <c r="O8" s="62" t="s">
        <v>53</v>
      </c>
      <c r="P8" s="61">
        <v>2</v>
      </c>
      <c r="Q8" s="62" t="s">
        <v>53</v>
      </c>
      <c r="R8" s="58">
        <v>2</v>
      </c>
      <c r="S8" s="59"/>
      <c r="T8" s="61">
        <v>2</v>
      </c>
      <c r="U8" s="62" t="s">
        <v>53</v>
      </c>
      <c r="V8" s="61">
        <v>2</v>
      </c>
      <c r="W8" s="62" t="s">
        <v>53</v>
      </c>
      <c r="X8" s="61">
        <v>2</v>
      </c>
      <c r="Y8" s="62" t="s">
        <v>53</v>
      </c>
      <c r="Z8" s="61">
        <v>2</v>
      </c>
      <c r="AA8" s="62" t="s">
        <v>53</v>
      </c>
      <c r="AB8" s="61">
        <v>2</v>
      </c>
      <c r="AC8" s="62" t="s">
        <v>54</v>
      </c>
      <c r="AD8" s="58">
        <v>2</v>
      </c>
      <c r="AE8" s="59"/>
      <c r="AF8" s="58">
        <v>2</v>
      </c>
      <c r="AG8" s="82" t="s">
        <v>54</v>
      </c>
      <c r="AH8" s="61">
        <v>2</v>
      </c>
      <c r="AI8" s="82" t="s">
        <v>54</v>
      </c>
      <c r="AJ8" s="61">
        <v>2</v>
      </c>
      <c r="AK8" s="82" t="s">
        <v>54</v>
      </c>
    </row>
    <row r="9" spans="1:37">
      <c r="A9" s="755"/>
      <c r="B9" s="31" t="s">
        <v>17</v>
      </c>
      <c r="C9" s="29" t="s">
        <v>22</v>
      </c>
      <c r="D9" s="1">
        <v>5</v>
      </c>
      <c r="E9" s="5">
        <v>6</v>
      </c>
      <c r="F9" s="80"/>
      <c r="G9" s="40"/>
      <c r="H9" s="61">
        <v>3</v>
      </c>
      <c r="I9" s="66"/>
      <c r="J9" s="61">
        <v>3</v>
      </c>
      <c r="K9" s="62" t="s">
        <v>53</v>
      </c>
      <c r="L9" s="61">
        <v>3</v>
      </c>
      <c r="M9" s="62" t="s">
        <v>54</v>
      </c>
      <c r="N9" s="58">
        <v>3</v>
      </c>
      <c r="O9" s="59"/>
      <c r="P9" s="58">
        <v>3</v>
      </c>
      <c r="Q9" s="59"/>
      <c r="R9" s="61">
        <v>3</v>
      </c>
      <c r="S9" s="62" t="s">
        <v>54</v>
      </c>
      <c r="T9" s="58">
        <v>3</v>
      </c>
      <c r="U9" s="59"/>
      <c r="V9" s="61">
        <v>3</v>
      </c>
      <c r="W9" s="62" t="s">
        <v>53</v>
      </c>
      <c r="X9" s="61">
        <v>3</v>
      </c>
      <c r="Y9" s="62" t="s">
        <v>53</v>
      </c>
      <c r="Z9" s="58">
        <v>3</v>
      </c>
      <c r="AA9" s="59" t="s">
        <v>54</v>
      </c>
      <c r="AB9" s="61">
        <v>3</v>
      </c>
      <c r="AC9" s="62" t="s">
        <v>54</v>
      </c>
      <c r="AD9" s="61">
        <v>3</v>
      </c>
      <c r="AE9" s="82" t="s">
        <v>54</v>
      </c>
      <c r="AF9" s="61">
        <v>3</v>
      </c>
      <c r="AG9" s="82" t="s">
        <v>54</v>
      </c>
      <c r="AH9" s="61">
        <v>3</v>
      </c>
      <c r="AI9" s="82" t="s">
        <v>54</v>
      </c>
      <c r="AJ9" s="61">
        <v>3</v>
      </c>
      <c r="AK9" s="62" t="s">
        <v>53</v>
      </c>
    </row>
    <row r="10" spans="1:37">
      <c r="A10" s="755"/>
      <c r="B10" s="31" t="s">
        <v>23</v>
      </c>
      <c r="C10" s="29" t="s">
        <v>22</v>
      </c>
      <c r="D10" s="1">
        <v>5</v>
      </c>
      <c r="E10" s="5">
        <v>6</v>
      </c>
      <c r="F10" s="80"/>
      <c r="G10" s="40"/>
      <c r="H10" s="58">
        <v>4</v>
      </c>
      <c r="I10" s="67"/>
      <c r="J10" s="58">
        <v>4</v>
      </c>
      <c r="K10" s="59"/>
      <c r="L10" s="61">
        <v>4</v>
      </c>
      <c r="M10" s="62" t="s">
        <v>54</v>
      </c>
      <c r="N10" s="61">
        <v>4</v>
      </c>
      <c r="O10" s="62" t="s">
        <v>53</v>
      </c>
      <c r="P10" s="61">
        <v>4</v>
      </c>
      <c r="Q10" s="62" t="s">
        <v>53</v>
      </c>
      <c r="R10" s="61">
        <v>4</v>
      </c>
      <c r="S10" s="62" t="s">
        <v>53</v>
      </c>
      <c r="T10" s="61">
        <v>4</v>
      </c>
      <c r="U10" s="62" t="s">
        <v>53</v>
      </c>
      <c r="V10" s="58">
        <v>4</v>
      </c>
      <c r="W10" s="59"/>
      <c r="X10" s="61">
        <v>4</v>
      </c>
      <c r="Y10" s="62" t="s">
        <v>54</v>
      </c>
      <c r="Z10" s="61">
        <v>4</v>
      </c>
      <c r="AA10" s="62" t="s">
        <v>54</v>
      </c>
      <c r="AB10" s="58">
        <v>4</v>
      </c>
      <c r="AC10" s="59"/>
      <c r="AD10" s="61">
        <v>4</v>
      </c>
      <c r="AE10" s="82" t="s">
        <v>54</v>
      </c>
      <c r="AF10" s="61">
        <v>4</v>
      </c>
      <c r="AG10" s="62" t="s">
        <v>53</v>
      </c>
      <c r="AH10" s="58">
        <v>4</v>
      </c>
      <c r="AI10" s="59"/>
      <c r="AJ10" s="58">
        <v>4</v>
      </c>
      <c r="AK10" s="82" t="s">
        <v>54</v>
      </c>
    </row>
    <row r="11" spans="1:37" ht="15.75" thickBot="1">
      <c r="A11" s="755"/>
      <c r="B11" s="131" t="s">
        <v>20</v>
      </c>
      <c r="C11" s="28" t="s">
        <v>22</v>
      </c>
      <c r="D11" s="14">
        <v>5</v>
      </c>
      <c r="E11" s="15">
        <v>20</v>
      </c>
      <c r="F11" s="39"/>
      <c r="G11" s="40"/>
      <c r="H11" s="61">
        <v>5</v>
      </c>
      <c r="I11" s="65"/>
      <c r="J11" s="61">
        <v>5</v>
      </c>
      <c r="K11" s="62" t="s">
        <v>54</v>
      </c>
      <c r="L11" s="61">
        <v>5</v>
      </c>
      <c r="M11" s="62" t="s">
        <v>54</v>
      </c>
      <c r="N11" s="61">
        <v>5</v>
      </c>
      <c r="O11" s="62" t="s">
        <v>53</v>
      </c>
      <c r="P11" s="61">
        <v>5</v>
      </c>
      <c r="Q11" s="62" t="s">
        <v>53</v>
      </c>
      <c r="R11" s="61">
        <v>5</v>
      </c>
      <c r="S11" s="62" t="s">
        <v>53</v>
      </c>
      <c r="T11" s="61">
        <v>5</v>
      </c>
      <c r="U11" s="62" t="s">
        <v>53</v>
      </c>
      <c r="V11" s="61">
        <v>5</v>
      </c>
      <c r="W11" s="62" t="s">
        <v>53</v>
      </c>
      <c r="X11" s="58">
        <v>5</v>
      </c>
      <c r="Y11" s="59" t="s">
        <v>54</v>
      </c>
      <c r="Z11" s="61">
        <v>5</v>
      </c>
      <c r="AA11" s="62" t="s">
        <v>53</v>
      </c>
      <c r="AB11" s="61">
        <v>5</v>
      </c>
      <c r="AC11" s="62" t="s">
        <v>54</v>
      </c>
      <c r="AD11" s="58">
        <v>5</v>
      </c>
      <c r="AE11" s="59"/>
      <c r="AF11" s="61">
        <v>5</v>
      </c>
      <c r="AG11" s="82" t="s">
        <v>54</v>
      </c>
      <c r="AH11" s="61">
        <v>5</v>
      </c>
      <c r="AI11" s="62" t="s">
        <v>53</v>
      </c>
      <c r="AJ11" s="61">
        <v>5</v>
      </c>
      <c r="AK11" s="82" t="s">
        <v>54</v>
      </c>
    </row>
    <row r="12" spans="1:37" ht="30">
      <c r="A12" s="753" t="s">
        <v>37</v>
      </c>
      <c r="B12" s="36" t="s">
        <v>38</v>
      </c>
      <c r="C12" s="132">
        <v>12</v>
      </c>
      <c r="D12" s="132">
        <v>5</v>
      </c>
      <c r="E12" s="12">
        <v>10</v>
      </c>
      <c r="F12" s="39"/>
      <c r="G12" s="39"/>
      <c r="H12" s="61">
        <v>6</v>
      </c>
      <c r="I12" s="65"/>
      <c r="J12" s="61">
        <v>6</v>
      </c>
      <c r="K12" s="62" t="s">
        <v>53</v>
      </c>
      <c r="L12" s="58">
        <v>6</v>
      </c>
      <c r="M12" s="59"/>
      <c r="N12" s="58">
        <v>6</v>
      </c>
      <c r="O12" s="59"/>
      <c r="P12" s="61">
        <v>6</v>
      </c>
      <c r="Q12" s="62" t="s">
        <v>53</v>
      </c>
      <c r="R12" s="58">
        <v>6</v>
      </c>
      <c r="S12" s="59"/>
      <c r="T12" s="58">
        <v>6</v>
      </c>
      <c r="U12" s="59"/>
      <c r="V12" s="61">
        <v>6</v>
      </c>
      <c r="W12" s="62" t="s">
        <v>53</v>
      </c>
      <c r="X12" s="61">
        <v>6</v>
      </c>
      <c r="Y12" s="62" t="s">
        <v>53</v>
      </c>
      <c r="Z12" s="61">
        <v>6</v>
      </c>
      <c r="AA12" s="62" t="s">
        <v>54</v>
      </c>
      <c r="AB12" s="61">
        <v>6</v>
      </c>
      <c r="AC12" s="62" t="s">
        <v>53</v>
      </c>
      <c r="AD12" s="61">
        <v>6</v>
      </c>
      <c r="AE12" s="82" t="s">
        <v>54</v>
      </c>
      <c r="AF12" s="58">
        <v>6</v>
      </c>
      <c r="AG12" s="59"/>
      <c r="AH12" s="61">
        <v>6</v>
      </c>
      <c r="AI12" s="82" t="s">
        <v>54</v>
      </c>
      <c r="AJ12" s="61">
        <v>6</v>
      </c>
      <c r="AK12" s="82" t="s">
        <v>54</v>
      </c>
    </row>
    <row r="13" spans="1:37" ht="45">
      <c r="A13" s="751"/>
      <c r="B13" s="32" t="s">
        <v>39</v>
      </c>
      <c r="C13" s="231">
        <v>12</v>
      </c>
      <c r="D13" s="231">
        <v>5</v>
      </c>
      <c r="E13" s="13">
        <v>10</v>
      </c>
      <c r="F13" s="39"/>
      <c r="G13" s="39"/>
      <c r="H13" s="58">
        <v>7</v>
      </c>
      <c r="I13" s="67"/>
      <c r="J13" s="61">
        <v>7</v>
      </c>
      <c r="K13" s="62" t="s">
        <v>54</v>
      </c>
      <c r="L13" s="61">
        <v>7</v>
      </c>
      <c r="M13" s="62" t="s">
        <v>53</v>
      </c>
      <c r="N13" s="61">
        <v>7</v>
      </c>
      <c r="O13" s="62" t="s">
        <v>53</v>
      </c>
      <c r="P13" s="58">
        <v>7</v>
      </c>
      <c r="Q13" s="59"/>
      <c r="R13" s="61">
        <v>7</v>
      </c>
      <c r="S13" s="62" t="s">
        <v>53</v>
      </c>
      <c r="T13" s="61">
        <v>7</v>
      </c>
      <c r="U13" s="62" t="s">
        <v>53</v>
      </c>
      <c r="V13" s="61">
        <v>7</v>
      </c>
      <c r="W13" s="62" t="s">
        <v>53</v>
      </c>
      <c r="X13" s="61">
        <v>7</v>
      </c>
      <c r="Y13" s="62" t="s">
        <v>54</v>
      </c>
      <c r="Z13" s="58">
        <v>7</v>
      </c>
      <c r="AA13" s="59"/>
      <c r="AB13" s="58">
        <v>7</v>
      </c>
      <c r="AC13" s="59" t="s">
        <v>54</v>
      </c>
      <c r="AD13" s="61">
        <v>7</v>
      </c>
      <c r="AE13" s="62" t="s">
        <v>53</v>
      </c>
      <c r="AF13" s="61">
        <v>7</v>
      </c>
      <c r="AG13" s="82" t="s">
        <v>54</v>
      </c>
      <c r="AH13" s="58">
        <v>7</v>
      </c>
      <c r="AI13" s="82" t="s">
        <v>54</v>
      </c>
      <c r="AJ13" s="61">
        <v>7</v>
      </c>
      <c r="AK13" s="82" t="s">
        <v>54</v>
      </c>
    </row>
    <row r="14" spans="1:37" ht="30">
      <c r="A14" s="751"/>
      <c r="B14" s="32" t="s">
        <v>40</v>
      </c>
      <c r="C14" s="231">
        <v>12</v>
      </c>
      <c r="D14" s="231">
        <v>5</v>
      </c>
      <c r="E14" s="13">
        <v>10</v>
      </c>
      <c r="F14" s="39"/>
      <c r="G14" s="39"/>
      <c r="H14" s="61">
        <v>8</v>
      </c>
      <c r="I14" s="65"/>
      <c r="J14" s="58">
        <v>8</v>
      </c>
      <c r="K14" s="59" t="s">
        <v>54</v>
      </c>
      <c r="L14" s="61">
        <v>8</v>
      </c>
      <c r="M14" s="62" t="s">
        <v>53</v>
      </c>
      <c r="N14" s="61">
        <v>8</v>
      </c>
      <c r="O14" s="62" t="s">
        <v>53</v>
      </c>
      <c r="P14" s="61">
        <v>8</v>
      </c>
      <c r="Q14" s="62" t="s">
        <v>53</v>
      </c>
      <c r="R14" s="61">
        <v>8</v>
      </c>
      <c r="S14" s="62" t="s">
        <v>53</v>
      </c>
      <c r="T14" s="61">
        <v>8</v>
      </c>
      <c r="U14" s="62" t="s">
        <v>53</v>
      </c>
      <c r="V14" s="58">
        <v>8</v>
      </c>
      <c r="W14" s="59"/>
      <c r="X14" s="58">
        <v>8</v>
      </c>
      <c r="Y14" s="59" t="s">
        <v>54</v>
      </c>
      <c r="Z14" s="61">
        <v>8</v>
      </c>
      <c r="AA14" s="62" t="s">
        <v>54</v>
      </c>
      <c r="AB14" s="61">
        <v>8</v>
      </c>
      <c r="AC14" s="62" t="s">
        <v>53</v>
      </c>
      <c r="AD14" s="61">
        <v>8</v>
      </c>
      <c r="AE14" s="82" t="s">
        <v>54</v>
      </c>
      <c r="AF14" s="61">
        <v>8</v>
      </c>
      <c r="AG14" s="82" t="s">
        <v>54</v>
      </c>
      <c r="AH14" s="61">
        <v>8</v>
      </c>
      <c r="AI14" s="62" t="s">
        <v>53</v>
      </c>
      <c r="AJ14" s="58">
        <v>8</v>
      </c>
      <c r="AK14" s="59"/>
    </row>
    <row r="15" spans="1:37" ht="15.75" thickBot="1">
      <c r="A15" s="752"/>
      <c r="B15" s="37" t="s">
        <v>41</v>
      </c>
      <c r="C15" s="6">
        <v>12</v>
      </c>
      <c r="D15" s="7">
        <v>5</v>
      </c>
      <c r="E15" s="8">
        <v>10</v>
      </c>
      <c r="F15" s="80"/>
      <c r="G15" s="39"/>
      <c r="H15" s="61">
        <v>9</v>
      </c>
      <c r="I15" s="65"/>
      <c r="J15" s="61">
        <v>9</v>
      </c>
      <c r="K15" s="62" t="s">
        <v>54</v>
      </c>
      <c r="L15" s="58">
        <v>9</v>
      </c>
      <c r="M15" s="59" t="s">
        <v>53</v>
      </c>
      <c r="N15" s="61">
        <v>9</v>
      </c>
      <c r="O15" s="62" t="s">
        <v>53</v>
      </c>
      <c r="P15" s="61">
        <v>9</v>
      </c>
      <c r="Q15" s="62" t="s">
        <v>53</v>
      </c>
      <c r="R15" s="58">
        <v>9</v>
      </c>
      <c r="S15" s="59"/>
      <c r="T15" s="61">
        <v>9</v>
      </c>
      <c r="U15" s="62" t="s">
        <v>53</v>
      </c>
      <c r="V15" s="61">
        <v>9</v>
      </c>
      <c r="W15" s="62" t="s">
        <v>53</v>
      </c>
      <c r="X15" s="61">
        <v>9</v>
      </c>
      <c r="Y15" s="62" t="s">
        <v>53</v>
      </c>
      <c r="Z15" s="61">
        <v>9</v>
      </c>
      <c r="AA15" s="62" t="s">
        <v>54</v>
      </c>
      <c r="AB15" s="61">
        <v>9</v>
      </c>
      <c r="AC15" s="62" t="s">
        <v>53</v>
      </c>
      <c r="AD15" s="58">
        <v>9</v>
      </c>
      <c r="AE15" s="82" t="s">
        <v>54</v>
      </c>
      <c r="AF15" s="58">
        <v>9</v>
      </c>
      <c r="AG15" s="59"/>
      <c r="AH15" s="61">
        <v>9</v>
      </c>
      <c r="AI15" s="62" t="s">
        <v>53</v>
      </c>
      <c r="AJ15" s="61">
        <v>9</v>
      </c>
      <c r="AK15" s="82" t="s">
        <v>54</v>
      </c>
    </row>
    <row r="16" spans="1:37">
      <c r="G16" s="39"/>
      <c r="H16" s="61">
        <v>10</v>
      </c>
      <c r="I16" s="65"/>
      <c r="J16" s="61">
        <v>10</v>
      </c>
      <c r="K16" s="62" t="s">
        <v>54</v>
      </c>
      <c r="L16" s="61">
        <v>10</v>
      </c>
      <c r="M16" s="62" t="s">
        <v>53</v>
      </c>
      <c r="N16" s="58">
        <v>10</v>
      </c>
      <c r="O16" s="59"/>
      <c r="P16" s="58">
        <v>10</v>
      </c>
      <c r="Q16" s="59" t="s">
        <v>54</v>
      </c>
      <c r="R16" s="61">
        <v>10</v>
      </c>
      <c r="S16" s="62" t="s">
        <v>54</v>
      </c>
      <c r="T16" s="58">
        <v>10</v>
      </c>
      <c r="U16" s="59"/>
      <c r="V16" s="61">
        <v>10</v>
      </c>
      <c r="W16" s="62" t="s">
        <v>53</v>
      </c>
      <c r="X16" s="61">
        <v>10</v>
      </c>
      <c r="Y16" s="62" t="s">
        <v>53</v>
      </c>
      <c r="Z16" s="58">
        <v>10</v>
      </c>
      <c r="AA16" s="59"/>
      <c r="AB16" s="61">
        <v>10</v>
      </c>
      <c r="AC16" s="62" t="s">
        <v>53</v>
      </c>
      <c r="AD16" s="61">
        <v>10</v>
      </c>
      <c r="AE16" s="82" t="s">
        <v>54</v>
      </c>
      <c r="AF16" s="61">
        <v>10</v>
      </c>
      <c r="AG16" s="62" t="s">
        <v>53</v>
      </c>
      <c r="AH16" s="61">
        <v>10</v>
      </c>
      <c r="AI16" s="82" t="s">
        <v>54</v>
      </c>
      <c r="AJ16" s="61">
        <v>10</v>
      </c>
      <c r="AK16" s="82" t="s">
        <v>54</v>
      </c>
    </row>
    <row r="17" spans="8:37">
      <c r="H17" s="58">
        <v>11</v>
      </c>
      <c r="I17" s="68"/>
      <c r="J17" s="58">
        <v>11</v>
      </c>
      <c r="K17" s="71"/>
      <c r="L17" s="61">
        <v>11</v>
      </c>
      <c r="M17" s="62" t="s">
        <v>54</v>
      </c>
      <c r="N17" s="61">
        <v>11</v>
      </c>
      <c r="O17" s="62" t="s">
        <v>53</v>
      </c>
      <c r="P17" s="61">
        <v>11</v>
      </c>
      <c r="Q17" s="62" t="s">
        <v>54</v>
      </c>
      <c r="R17" s="61">
        <v>11</v>
      </c>
      <c r="S17" s="62" t="s">
        <v>53</v>
      </c>
      <c r="T17" s="61">
        <v>11</v>
      </c>
      <c r="U17" s="62" t="s">
        <v>53</v>
      </c>
      <c r="V17" s="58">
        <v>11</v>
      </c>
      <c r="W17" s="59"/>
      <c r="X17" s="61">
        <v>11</v>
      </c>
      <c r="Y17" s="62" t="s">
        <v>53</v>
      </c>
      <c r="Z17" s="61">
        <v>11</v>
      </c>
      <c r="AA17" s="62" t="s">
        <v>54</v>
      </c>
      <c r="AB17" s="58">
        <v>11</v>
      </c>
      <c r="AC17" s="59"/>
      <c r="AD17" s="61">
        <v>11</v>
      </c>
      <c r="AE17" s="82" t="s">
        <v>54</v>
      </c>
      <c r="AF17" s="61">
        <v>11</v>
      </c>
      <c r="AG17" s="82" t="s">
        <v>54</v>
      </c>
      <c r="AH17" s="58">
        <v>11</v>
      </c>
      <c r="AI17" s="62" t="s">
        <v>53</v>
      </c>
      <c r="AJ17" s="58">
        <v>11</v>
      </c>
      <c r="AK17" s="59"/>
    </row>
    <row r="18" spans="8:37">
      <c r="H18" s="61">
        <v>12</v>
      </c>
      <c r="I18" s="66"/>
      <c r="J18" s="61">
        <v>12</v>
      </c>
      <c r="K18" s="62" t="s">
        <v>54</v>
      </c>
      <c r="L18" s="61">
        <v>12</v>
      </c>
      <c r="M18" s="62" t="s">
        <v>54</v>
      </c>
      <c r="N18" s="61">
        <v>12</v>
      </c>
      <c r="O18" s="62" t="s">
        <v>53</v>
      </c>
      <c r="P18" s="61">
        <v>12</v>
      </c>
      <c r="Q18" s="62" t="s">
        <v>54</v>
      </c>
      <c r="R18" s="61">
        <v>12</v>
      </c>
      <c r="S18" s="62" t="s">
        <v>53</v>
      </c>
      <c r="T18" s="61">
        <v>12</v>
      </c>
      <c r="U18" s="62" t="s">
        <v>53</v>
      </c>
      <c r="V18" s="61">
        <v>12</v>
      </c>
      <c r="W18" s="62" t="s">
        <v>53</v>
      </c>
      <c r="X18" s="58">
        <v>12</v>
      </c>
      <c r="Y18" s="59" t="s">
        <v>53</v>
      </c>
      <c r="Z18" s="61">
        <v>12</v>
      </c>
      <c r="AA18" s="62" t="s">
        <v>54</v>
      </c>
      <c r="AB18" s="61">
        <v>12</v>
      </c>
      <c r="AC18" s="82" t="s">
        <v>54</v>
      </c>
      <c r="AD18" s="58">
        <v>12</v>
      </c>
      <c r="AE18" s="59"/>
      <c r="AF18" s="61">
        <v>12</v>
      </c>
      <c r="AG18" s="62" t="s">
        <v>53</v>
      </c>
      <c r="AH18" s="61">
        <v>12</v>
      </c>
      <c r="AI18" s="62" t="s">
        <v>53</v>
      </c>
      <c r="AJ18" s="61">
        <v>12</v>
      </c>
      <c r="AK18" s="82" t="s">
        <v>54</v>
      </c>
    </row>
    <row r="19" spans="8:37">
      <c r="H19" s="61">
        <v>13</v>
      </c>
      <c r="I19" s="65"/>
      <c r="J19" s="61">
        <v>13</v>
      </c>
      <c r="K19" s="62" t="s">
        <v>54</v>
      </c>
      <c r="L19" s="58">
        <v>13</v>
      </c>
      <c r="M19" s="59" t="s">
        <v>54</v>
      </c>
      <c r="N19" s="58">
        <v>13</v>
      </c>
      <c r="O19" s="59"/>
      <c r="P19" s="61">
        <v>13</v>
      </c>
      <c r="Q19" s="62" t="s">
        <v>53</v>
      </c>
      <c r="R19" s="58">
        <v>13</v>
      </c>
      <c r="S19" s="59"/>
      <c r="T19" s="58">
        <v>13</v>
      </c>
      <c r="U19" s="59"/>
      <c r="V19" s="61">
        <v>13</v>
      </c>
      <c r="W19" s="62" t="s">
        <v>53</v>
      </c>
      <c r="X19" s="61">
        <v>13</v>
      </c>
      <c r="Y19" s="62" t="s">
        <v>53</v>
      </c>
      <c r="Z19" s="61">
        <v>13</v>
      </c>
      <c r="AA19" s="62" t="s">
        <v>54</v>
      </c>
      <c r="AB19" s="61">
        <v>13</v>
      </c>
      <c r="AC19" s="82" t="s">
        <v>54</v>
      </c>
      <c r="AD19" s="61">
        <v>13</v>
      </c>
      <c r="AE19" s="82" t="s">
        <v>54</v>
      </c>
      <c r="AF19" s="58">
        <v>13</v>
      </c>
      <c r="AG19" s="82" t="s">
        <v>54</v>
      </c>
      <c r="AH19" s="61">
        <v>13</v>
      </c>
      <c r="AI19" s="62" t="s">
        <v>53</v>
      </c>
      <c r="AJ19" s="61">
        <v>13</v>
      </c>
      <c r="AK19" s="82" t="s">
        <v>54</v>
      </c>
    </row>
    <row r="20" spans="8:37">
      <c r="H20" s="58">
        <v>14</v>
      </c>
      <c r="I20" s="68"/>
      <c r="J20" s="61">
        <v>14</v>
      </c>
      <c r="K20" s="62" t="s">
        <v>54</v>
      </c>
      <c r="L20" s="61">
        <v>14</v>
      </c>
      <c r="M20" s="62" t="s">
        <v>54</v>
      </c>
      <c r="N20" s="61">
        <v>14</v>
      </c>
      <c r="O20" s="62" t="s">
        <v>54</v>
      </c>
      <c r="P20" s="58">
        <v>14</v>
      </c>
      <c r="Q20" s="59"/>
      <c r="R20" s="61">
        <v>14</v>
      </c>
      <c r="S20" s="62" t="s">
        <v>53</v>
      </c>
      <c r="T20" s="61">
        <v>14</v>
      </c>
      <c r="U20" s="62" t="s">
        <v>53</v>
      </c>
      <c r="V20" s="61">
        <v>14</v>
      </c>
      <c r="W20" s="62" t="s">
        <v>53</v>
      </c>
      <c r="X20" s="61">
        <v>14</v>
      </c>
      <c r="Y20" s="62" t="s">
        <v>53</v>
      </c>
      <c r="Z20" s="58">
        <v>14</v>
      </c>
      <c r="AA20" s="59"/>
      <c r="AB20" s="58">
        <v>14</v>
      </c>
      <c r="AC20" s="59"/>
      <c r="AD20" s="61">
        <v>14</v>
      </c>
      <c r="AE20" s="82" t="s">
        <v>54</v>
      </c>
      <c r="AF20" s="61">
        <v>14</v>
      </c>
      <c r="AG20" s="82" t="s">
        <v>54</v>
      </c>
      <c r="AH20" s="58">
        <v>14</v>
      </c>
      <c r="AI20" s="59"/>
      <c r="AJ20" s="61">
        <v>14</v>
      </c>
      <c r="AK20" s="82" t="s">
        <v>54</v>
      </c>
    </row>
    <row r="21" spans="8:37">
      <c r="H21" s="61">
        <v>15</v>
      </c>
      <c r="I21" s="65"/>
      <c r="J21" s="58">
        <v>15</v>
      </c>
      <c r="K21" s="59"/>
      <c r="L21" s="61">
        <v>15</v>
      </c>
      <c r="M21" s="62" t="s">
        <v>53</v>
      </c>
      <c r="N21" s="61">
        <v>15</v>
      </c>
      <c r="O21" s="62" t="s">
        <v>54</v>
      </c>
      <c r="P21" s="61">
        <v>15</v>
      </c>
      <c r="Q21" s="62" t="s">
        <v>54</v>
      </c>
      <c r="R21" s="61">
        <v>15</v>
      </c>
      <c r="S21" s="62" t="s">
        <v>53</v>
      </c>
      <c r="T21" s="61">
        <v>15</v>
      </c>
      <c r="U21" s="62" t="s">
        <v>53</v>
      </c>
      <c r="V21" s="58">
        <v>15</v>
      </c>
      <c r="W21" s="59"/>
      <c r="X21" s="58">
        <v>15</v>
      </c>
      <c r="Y21" s="59" t="s">
        <v>54</v>
      </c>
      <c r="Z21" s="61">
        <v>15</v>
      </c>
      <c r="AA21" s="62" t="s">
        <v>54</v>
      </c>
      <c r="AB21" s="61">
        <v>15</v>
      </c>
      <c r="AC21" s="82" t="s">
        <v>54</v>
      </c>
      <c r="AD21" s="61">
        <v>15</v>
      </c>
      <c r="AE21" s="82" t="s">
        <v>54</v>
      </c>
      <c r="AF21" s="61">
        <v>15</v>
      </c>
      <c r="AG21" s="82" t="s">
        <v>54</v>
      </c>
      <c r="AH21" s="61">
        <v>15</v>
      </c>
      <c r="AI21" s="82" t="s">
        <v>54</v>
      </c>
      <c r="AJ21" s="58">
        <v>15</v>
      </c>
      <c r="AK21" s="59"/>
    </row>
    <row r="22" spans="8:37">
      <c r="H22" s="61">
        <v>16</v>
      </c>
      <c r="I22" s="66"/>
      <c r="J22" s="61">
        <v>16</v>
      </c>
      <c r="K22" s="62" t="s">
        <v>53</v>
      </c>
      <c r="L22" s="58">
        <v>16</v>
      </c>
      <c r="M22" s="59"/>
      <c r="N22" s="61">
        <v>16</v>
      </c>
      <c r="O22" s="62" t="s">
        <v>54</v>
      </c>
      <c r="P22" s="61">
        <v>16</v>
      </c>
      <c r="Q22" s="62" t="s">
        <v>54</v>
      </c>
      <c r="R22" s="58">
        <v>16</v>
      </c>
      <c r="S22" s="59"/>
      <c r="T22" s="61">
        <v>16</v>
      </c>
      <c r="U22" s="62" t="s">
        <v>53</v>
      </c>
      <c r="V22" s="61">
        <v>16</v>
      </c>
      <c r="W22" s="62" t="s">
        <v>53</v>
      </c>
      <c r="X22" s="61">
        <v>16</v>
      </c>
      <c r="Y22" s="62" t="s">
        <v>54</v>
      </c>
      <c r="Z22" s="61">
        <v>16</v>
      </c>
      <c r="AA22" s="62" t="s">
        <v>53</v>
      </c>
      <c r="AB22" s="61">
        <v>16</v>
      </c>
      <c r="AC22" s="82" t="s">
        <v>54</v>
      </c>
      <c r="AD22" s="58">
        <v>16</v>
      </c>
      <c r="AE22" s="59"/>
      <c r="AF22" s="58">
        <v>16</v>
      </c>
      <c r="AG22" s="59"/>
      <c r="AH22" s="61">
        <v>16</v>
      </c>
      <c r="AI22" s="82" t="s">
        <v>54</v>
      </c>
      <c r="AJ22" s="61">
        <v>16</v>
      </c>
      <c r="AK22" s="62" t="s">
        <v>53</v>
      </c>
    </row>
    <row r="23" spans="8:37">
      <c r="H23" s="61">
        <v>17</v>
      </c>
      <c r="I23" s="66"/>
      <c r="J23" s="61">
        <v>17</v>
      </c>
      <c r="K23" s="62" t="s">
        <v>53</v>
      </c>
      <c r="L23" s="61">
        <v>17</v>
      </c>
      <c r="M23" s="62" t="s">
        <v>54</v>
      </c>
      <c r="N23" s="58">
        <v>17</v>
      </c>
      <c r="O23" s="59"/>
      <c r="P23" s="58">
        <v>17</v>
      </c>
      <c r="Q23" s="59"/>
      <c r="R23" s="61">
        <v>17</v>
      </c>
      <c r="S23" s="62" t="s">
        <v>53</v>
      </c>
      <c r="T23" s="58">
        <v>17</v>
      </c>
      <c r="U23" s="59"/>
      <c r="V23" s="61">
        <v>17</v>
      </c>
      <c r="W23" s="62" t="s">
        <v>53</v>
      </c>
      <c r="X23" s="61">
        <v>17</v>
      </c>
      <c r="Y23" s="62" t="s">
        <v>53</v>
      </c>
      <c r="Z23" s="58">
        <v>17</v>
      </c>
      <c r="AA23" s="59" t="s">
        <v>54</v>
      </c>
      <c r="AB23" s="61">
        <v>17</v>
      </c>
      <c r="AC23" s="82" t="s">
        <v>54</v>
      </c>
      <c r="AD23" s="61">
        <v>17</v>
      </c>
      <c r="AE23" s="82" t="s">
        <v>54</v>
      </c>
      <c r="AF23" s="61">
        <v>17</v>
      </c>
      <c r="AG23" s="82" t="s">
        <v>54</v>
      </c>
      <c r="AH23" s="61">
        <v>17</v>
      </c>
      <c r="AI23" s="82" t="s">
        <v>54</v>
      </c>
      <c r="AJ23" s="61">
        <v>17</v>
      </c>
      <c r="AK23" s="82" t="s">
        <v>54</v>
      </c>
    </row>
    <row r="24" spans="8:37">
      <c r="H24" s="58">
        <v>18</v>
      </c>
      <c r="I24" s="59" t="s">
        <v>54</v>
      </c>
      <c r="J24" s="58">
        <v>18</v>
      </c>
      <c r="K24" s="59" t="s">
        <v>54</v>
      </c>
      <c r="L24" s="61">
        <v>18</v>
      </c>
      <c r="M24" s="62" t="s">
        <v>53</v>
      </c>
      <c r="N24" s="61">
        <v>18</v>
      </c>
      <c r="O24" s="62" t="s">
        <v>54</v>
      </c>
      <c r="P24" s="61">
        <v>18</v>
      </c>
      <c r="Q24" s="62" t="s">
        <v>54</v>
      </c>
      <c r="R24" s="61">
        <v>18</v>
      </c>
      <c r="S24" s="62" t="s">
        <v>53</v>
      </c>
      <c r="T24" s="61">
        <v>18</v>
      </c>
      <c r="U24" s="62" t="s">
        <v>53</v>
      </c>
      <c r="V24" s="58">
        <v>18</v>
      </c>
      <c r="W24" s="59"/>
      <c r="X24" s="61">
        <v>18</v>
      </c>
      <c r="Y24" s="62" t="s">
        <v>54</v>
      </c>
      <c r="Z24" s="61">
        <v>18</v>
      </c>
      <c r="AA24" s="62" t="s">
        <v>53</v>
      </c>
      <c r="AB24" s="58">
        <v>18</v>
      </c>
      <c r="AC24" s="59"/>
      <c r="AD24" s="61">
        <v>18</v>
      </c>
      <c r="AE24" s="62" t="s">
        <v>53</v>
      </c>
      <c r="AF24" s="61">
        <v>18</v>
      </c>
      <c r="AG24" s="82" t="s">
        <v>54</v>
      </c>
      <c r="AH24" s="58">
        <v>18</v>
      </c>
      <c r="AI24" s="59"/>
      <c r="AJ24" s="58">
        <v>18</v>
      </c>
      <c r="AK24" s="59"/>
    </row>
    <row r="25" spans="8:37">
      <c r="H25" s="61">
        <v>19</v>
      </c>
      <c r="I25" s="62" t="s">
        <v>53</v>
      </c>
      <c r="J25" s="61">
        <v>19</v>
      </c>
      <c r="K25" s="62" t="s">
        <v>54</v>
      </c>
      <c r="L25" s="61">
        <v>19</v>
      </c>
      <c r="M25" s="62" t="s">
        <v>53</v>
      </c>
      <c r="N25" s="61">
        <v>19</v>
      </c>
      <c r="O25" s="62" t="s">
        <v>53</v>
      </c>
      <c r="P25" s="61">
        <v>19</v>
      </c>
      <c r="Q25" s="62" t="s">
        <v>53</v>
      </c>
      <c r="R25" s="61">
        <v>19</v>
      </c>
      <c r="S25" s="62" t="s">
        <v>53</v>
      </c>
      <c r="T25" s="61">
        <v>19</v>
      </c>
      <c r="U25" s="62" t="s">
        <v>53</v>
      </c>
      <c r="V25" s="61">
        <v>19</v>
      </c>
      <c r="W25" s="62" t="s">
        <v>53</v>
      </c>
      <c r="X25" s="58">
        <v>19</v>
      </c>
      <c r="Y25" s="59"/>
      <c r="Z25" s="61">
        <v>19</v>
      </c>
      <c r="AA25" s="62" t="s">
        <v>54</v>
      </c>
      <c r="AB25" s="61">
        <v>19</v>
      </c>
      <c r="AC25" s="82" t="s">
        <v>54</v>
      </c>
      <c r="AD25" s="58">
        <v>19</v>
      </c>
      <c r="AE25" s="82" t="s">
        <v>54</v>
      </c>
      <c r="AF25" s="61">
        <v>19</v>
      </c>
      <c r="AG25" s="62" t="s">
        <v>53</v>
      </c>
      <c r="AH25" s="61">
        <v>19</v>
      </c>
      <c r="AI25" s="62" t="s">
        <v>53</v>
      </c>
      <c r="AJ25" s="61">
        <v>19</v>
      </c>
      <c r="AK25" s="82" t="s">
        <v>54</v>
      </c>
    </row>
    <row r="26" spans="8:37">
      <c r="H26" s="61">
        <v>20</v>
      </c>
      <c r="I26" s="62" t="s">
        <v>54</v>
      </c>
      <c r="J26" s="61">
        <v>20</v>
      </c>
      <c r="K26" s="62" t="s">
        <v>53</v>
      </c>
      <c r="L26" s="58">
        <v>20</v>
      </c>
      <c r="M26" s="59"/>
      <c r="N26" s="58">
        <v>20</v>
      </c>
      <c r="O26" s="59"/>
      <c r="P26" s="61">
        <v>20</v>
      </c>
      <c r="Q26" s="62" t="s">
        <v>54</v>
      </c>
      <c r="R26" s="58">
        <v>20</v>
      </c>
      <c r="S26" s="59"/>
      <c r="T26" s="58">
        <v>20</v>
      </c>
      <c r="U26" s="59"/>
      <c r="V26" s="61">
        <v>20</v>
      </c>
      <c r="W26" s="62" t="s">
        <v>53</v>
      </c>
      <c r="X26" s="61">
        <v>20</v>
      </c>
      <c r="Y26" s="62" t="s">
        <v>54</v>
      </c>
      <c r="Z26" s="61">
        <v>20</v>
      </c>
      <c r="AA26" s="62" t="s">
        <v>54</v>
      </c>
      <c r="AB26" s="61">
        <v>20</v>
      </c>
      <c r="AC26" s="62" t="s">
        <v>53</v>
      </c>
      <c r="AD26" s="61">
        <v>20</v>
      </c>
      <c r="AE26" s="82" t="s">
        <v>54</v>
      </c>
      <c r="AF26" s="58">
        <v>20</v>
      </c>
      <c r="AG26" s="82" t="s">
        <v>54</v>
      </c>
      <c r="AH26" s="61">
        <v>20</v>
      </c>
      <c r="AI26" s="82" t="s">
        <v>54</v>
      </c>
      <c r="AJ26" s="61">
        <v>20</v>
      </c>
      <c r="AK26" s="82" t="s">
        <v>54</v>
      </c>
    </row>
    <row r="27" spans="8:37">
      <c r="H27" s="58">
        <v>21</v>
      </c>
      <c r="I27" s="59"/>
      <c r="J27" s="61">
        <v>21</v>
      </c>
      <c r="K27" s="62" t="s">
        <v>53</v>
      </c>
      <c r="L27" s="61">
        <v>21</v>
      </c>
      <c r="M27" s="62" t="s">
        <v>53</v>
      </c>
      <c r="N27" s="61">
        <v>21</v>
      </c>
      <c r="O27" s="62" t="s">
        <v>53</v>
      </c>
      <c r="P27" s="58">
        <v>21</v>
      </c>
      <c r="Q27" s="59"/>
      <c r="R27" s="61">
        <v>21</v>
      </c>
      <c r="S27" s="62" t="s">
        <v>53</v>
      </c>
      <c r="T27" s="61">
        <v>21</v>
      </c>
      <c r="U27" s="62" t="s">
        <v>53</v>
      </c>
      <c r="V27" s="61">
        <v>21</v>
      </c>
      <c r="W27" s="62" t="s">
        <v>53</v>
      </c>
      <c r="X27" s="61">
        <v>21</v>
      </c>
      <c r="Y27" s="62" t="s">
        <v>53</v>
      </c>
      <c r="Z27" s="58">
        <v>21</v>
      </c>
      <c r="AA27" s="59"/>
      <c r="AB27" s="58">
        <v>21</v>
      </c>
      <c r="AC27" s="82" t="s">
        <v>54</v>
      </c>
      <c r="AD27" s="61">
        <v>21</v>
      </c>
      <c r="AE27" s="62" t="s">
        <v>53</v>
      </c>
      <c r="AF27" s="61">
        <v>21</v>
      </c>
      <c r="AG27" s="82" t="s">
        <v>54</v>
      </c>
      <c r="AH27" s="58">
        <v>21</v>
      </c>
      <c r="AI27" s="59"/>
      <c r="AJ27" s="61">
        <v>21</v>
      </c>
      <c r="AK27" s="82" t="s">
        <v>54</v>
      </c>
    </row>
    <row r="28" spans="8:37">
      <c r="H28" s="61">
        <v>22</v>
      </c>
      <c r="I28" s="62" t="s">
        <v>54</v>
      </c>
      <c r="J28" s="58">
        <v>22</v>
      </c>
      <c r="K28" s="59"/>
      <c r="L28" s="61">
        <v>22</v>
      </c>
      <c r="M28" s="62" t="s">
        <v>53</v>
      </c>
      <c r="N28" s="61">
        <v>22</v>
      </c>
      <c r="O28" s="62" t="s">
        <v>53</v>
      </c>
      <c r="P28" s="61">
        <v>22</v>
      </c>
      <c r="Q28" s="62" t="s">
        <v>54</v>
      </c>
      <c r="R28" s="61">
        <v>22</v>
      </c>
      <c r="S28" s="62" t="s">
        <v>53</v>
      </c>
      <c r="T28" s="61">
        <v>22</v>
      </c>
      <c r="U28" s="62" t="s">
        <v>53</v>
      </c>
      <c r="V28" s="58">
        <v>22</v>
      </c>
      <c r="W28" s="59"/>
      <c r="X28" s="58">
        <v>22</v>
      </c>
      <c r="Y28" s="59" t="s">
        <v>54</v>
      </c>
      <c r="Z28" s="61">
        <v>22</v>
      </c>
      <c r="AA28" s="62" t="s">
        <v>54</v>
      </c>
      <c r="AB28" s="61">
        <v>22</v>
      </c>
      <c r="AC28" s="82" t="s">
        <v>54</v>
      </c>
      <c r="AD28" s="61">
        <v>22</v>
      </c>
      <c r="AE28" s="82" t="s">
        <v>54</v>
      </c>
      <c r="AF28" s="61">
        <v>22</v>
      </c>
      <c r="AG28" s="82" t="s">
        <v>54</v>
      </c>
      <c r="AH28" s="61">
        <v>22</v>
      </c>
      <c r="AI28" s="82" t="s">
        <v>54</v>
      </c>
      <c r="AJ28" s="58">
        <v>22</v>
      </c>
      <c r="AK28" s="59"/>
    </row>
    <row r="29" spans="8:37">
      <c r="H29" s="61">
        <v>23</v>
      </c>
      <c r="I29" s="62" t="s">
        <v>54</v>
      </c>
      <c r="J29" s="61">
        <v>23</v>
      </c>
      <c r="K29" s="62" t="s">
        <v>53</v>
      </c>
      <c r="L29" s="58">
        <v>23</v>
      </c>
      <c r="M29" s="59"/>
      <c r="N29" s="61">
        <v>23</v>
      </c>
      <c r="O29" s="62" t="s">
        <v>53</v>
      </c>
      <c r="P29" s="61">
        <v>23</v>
      </c>
      <c r="Q29" s="62" t="s">
        <v>53</v>
      </c>
      <c r="R29" s="58">
        <v>23</v>
      </c>
      <c r="S29" s="59"/>
      <c r="T29" s="61">
        <v>23</v>
      </c>
      <c r="U29" s="62" t="s">
        <v>53</v>
      </c>
      <c r="V29" s="61">
        <v>23</v>
      </c>
      <c r="W29" s="62" t="s">
        <v>53</v>
      </c>
      <c r="X29" s="61">
        <v>23</v>
      </c>
      <c r="Y29" s="62" t="s">
        <v>54</v>
      </c>
      <c r="Z29" s="61">
        <v>23</v>
      </c>
      <c r="AA29" s="62" t="s">
        <v>53</v>
      </c>
      <c r="AB29" s="61">
        <v>23</v>
      </c>
      <c r="AC29" s="82" t="s">
        <v>54</v>
      </c>
      <c r="AD29" s="58">
        <v>23</v>
      </c>
      <c r="AE29" s="59"/>
      <c r="AF29" s="58">
        <v>23</v>
      </c>
      <c r="AG29" s="59"/>
      <c r="AH29" s="61">
        <v>23</v>
      </c>
      <c r="AI29" s="82" t="s">
        <v>54</v>
      </c>
      <c r="AJ29" s="61">
        <v>23</v>
      </c>
      <c r="AK29" s="62"/>
    </row>
    <row r="30" spans="8:37">
      <c r="H30" s="61">
        <v>24</v>
      </c>
      <c r="I30" s="62" t="s">
        <v>54</v>
      </c>
      <c r="J30" s="61">
        <v>24</v>
      </c>
      <c r="K30" s="62" t="s">
        <v>53</v>
      </c>
      <c r="L30" s="61">
        <v>24</v>
      </c>
      <c r="M30" s="62" t="s">
        <v>53</v>
      </c>
      <c r="N30" s="58">
        <v>24</v>
      </c>
      <c r="O30" s="59"/>
      <c r="P30" s="58">
        <v>24</v>
      </c>
      <c r="Q30" s="59"/>
      <c r="R30" s="61">
        <v>24</v>
      </c>
      <c r="S30" s="62" t="s">
        <v>53</v>
      </c>
      <c r="T30" s="58">
        <v>24</v>
      </c>
      <c r="U30" s="59"/>
      <c r="V30" s="61">
        <v>24</v>
      </c>
      <c r="W30" s="62" t="s">
        <v>53</v>
      </c>
      <c r="X30" s="61">
        <v>24</v>
      </c>
      <c r="Y30" s="62" t="s">
        <v>54</v>
      </c>
      <c r="Z30" s="58">
        <v>24</v>
      </c>
      <c r="AA30" s="59"/>
      <c r="AB30" s="61">
        <v>24</v>
      </c>
      <c r="AC30" s="82" t="s">
        <v>54</v>
      </c>
      <c r="AD30" s="61">
        <v>24</v>
      </c>
      <c r="AE30" s="82" t="s">
        <v>54</v>
      </c>
      <c r="AF30" s="61">
        <v>24</v>
      </c>
      <c r="AG30" s="82" t="s">
        <v>54</v>
      </c>
      <c r="AH30" s="61">
        <v>24</v>
      </c>
      <c r="AI30" s="82" t="s">
        <v>54</v>
      </c>
      <c r="AJ30" s="61">
        <v>24</v>
      </c>
      <c r="AK30" s="62"/>
    </row>
    <row r="31" spans="8:37">
      <c r="H31" s="58">
        <v>25</v>
      </c>
      <c r="I31" s="59"/>
      <c r="J31" s="58">
        <v>25</v>
      </c>
      <c r="K31" s="59"/>
      <c r="L31" s="61">
        <v>25</v>
      </c>
      <c r="M31" s="62" t="s">
        <v>53</v>
      </c>
      <c r="N31" s="61">
        <v>25</v>
      </c>
      <c r="O31" s="62" t="s">
        <v>53</v>
      </c>
      <c r="P31" s="61">
        <v>25</v>
      </c>
      <c r="Q31" s="62" t="s">
        <v>54</v>
      </c>
      <c r="R31" s="61">
        <v>25</v>
      </c>
      <c r="S31" s="62" t="s">
        <v>53</v>
      </c>
      <c r="T31" s="61">
        <v>25</v>
      </c>
      <c r="U31" s="62" t="s">
        <v>53</v>
      </c>
      <c r="V31" s="58">
        <v>25</v>
      </c>
      <c r="W31" s="59"/>
      <c r="X31" s="61">
        <v>25</v>
      </c>
      <c r="Y31" s="62" t="s">
        <v>54</v>
      </c>
      <c r="Z31" s="61">
        <v>25</v>
      </c>
      <c r="AA31" s="62" t="s">
        <v>54</v>
      </c>
      <c r="AB31" s="58">
        <v>25</v>
      </c>
      <c r="AC31" s="59"/>
      <c r="AD31" s="61">
        <v>25</v>
      </c>
      <c r="AE31" s="82" t="s">
        <v>54</v>
      </c>
      <c r="AF31" s="61">
        <v>25</v>
      </c>
      <c r="AG31" s="82" t="s">
        <v>54</v>
      </c>
      <c r="AH31" s="58">
        <v>25</v>
      </c>
      <c r="AI31" s="59"/>
      <c r="AJ31" s="58">
        <v>25</v>
      </c>
      <c r="AK31" s="59"/>
    </row>
    <row r="32" spans="8:37">
      <c r="H32" s="61">
        <v>26</v>
      </c>
      <c r="I32" s="62" t="s">
        <v>54</v>
      </c>
      <c r="J32" s="61">
        <v>26</v>
      </c>
      <c r="K32" s="62" t="s">
        <v>53</v>
      </c>
      <c r="L32" s="61">
        <v>26</v>
      </c>
      <c r="M32" s="62" t="s">
        <v>53</v>
      </c>
      <c r="N32" s="61">
        <v>26</v>
      </c>
      <c r="O32" s="62" t="s">
        <v>54</v>
      </c>
      <c r="P32" s="61">
        <v>26</v>
      </c>
      <c r="Q32" s="62" t="s">
        <v>54</v>
      </c>
      <c r="R32" s="61">
        <v>26</v>
      </c>
      <c r="S32" s="62" t="s">
        <v>53</v>
      </c>
      <c r="T32" s="61">
        <v>26</v>
      </c>
      <c r="U32" s="62" t="s">
        <v>53</v>
      </c>
      <c r="V32" s="61">
        <v>26</v>
      </c>
      <c r="W32" s="62" t="s">
        <v>53</v>
      </c>
      <c r="X32" s="58">
        <v>26</v>
      </c>
      <c r="Y32" s="59" t="s">
        <v>54</v>
      </c>
      <c r="Z32" s="61">
        <v>26</v>
      </c>
      <c r="AA32" s="62" t="s">
        <v>53</v>
      </c>
      <c r="AB32" s="61">
        <v>26</v>
      </c>
      <c r="AC32" s="82" t="s">
        <v>54</v>
      </c>
      <c r="AD32" s="58">
        <v>26</v>
      </c>
      <c r="AE32" s="59"/>
      <c r="AF32" s="61">
        <v>26</v>
      </c>
      <c r="AG32" s="82" t="s">
        <v>54</v>
      </c>
      <c r="AH32" s="61">
        <v>26</v>
      </c>
      <c r="AI32" s="82" t="s">
        <v>54</v>
      </c>
      <c r="AJ32" s="61">
        <v>26</v>
      </c>
      <c r="AK32" s="62"/>
    </row>
    <row r="33" spans="8:38">
      <c r="H33" s="61">
        <v>27</v>
      </c>
      <c r="I33" s="62" t="s">
        <v>54</v>
      </c>
      <c r="J33" s="61">
        <v>27</v>
      </c>
      <c r="K33" s="62" t="s">
        <v>53</v>
      </c>
      <c r="L33" s="58">
        <v>27</v>
      </c>
      <c r="M33" s="59"/>
      <c r="N33" s="58">
        <v>27</v>
      </c>
      <c r="O33" s="59"/>
      <c r="P33" s="61">
        <v>27</v>
      </c>
      <c r="Q33" s="62" t="s">
        <v>53</v>
      </c>
      <c r="R33" s="58">
        <v>27</v>
      </c>
      <c r="S33" s="59"/>
      <c r="T33" s="58">
        <v>27</v>
      </c>
      <c r="U33" s="59"/>
      <c r="V33" s="61">
        <v>27</v>
      </c>
      <c r="W33" s="62" t="s">
        <v>53</v>
      </c>
      <c r="X33" s="61">
        <v>27</v>
      </c>
      <c r="Y33" s="62" t="s">
        <v>54</v>
      </c>
      <c r="Z33" s="61">
        <v>27</v>
      </c>
      <c r="AA33" s="62" t="s">
        <v>54</v>
      </c>
      <c r="AB33" s="61">
        <v>27</v>
      </c>
      <c r="AC33" s="82" t="s">
        <v>54</v>
      </c>
      <c r="AD33" s="61">
        <v>27</v>
      </c>
      <c r="AE33" s="82" t="s">
        <v>54</v>
      </c>
      <c r="AF33" s="58">
        <v>27</v>
      </c>
      <c r="AG33" s="59"/>
      <c r="AH33" s="61">
        <v>27</v>
      </c>
      <c r="AI33" s="82" t="s">
        <v>54</v>
      </c>
      <c r="AJ33" s="61">
        <v>27</v>
      </c>
      <c r="AK33" s="62"/>
    </row>
    <row r="34" spans="8:38">
      <c r="H34" s="58">
        <v>28</v>
      </c>
      <c r="I34" s="59"/>
      <c r="J34" s="61">
        <v>28</v>
      </c>
      <c r="K34" s="62" t="s">
        <v>54</v>
      </c>
      <c r="L34" s="61">
        <v>28</v>
      </c>
      <c r="M34" s="62" t="s">
        <v>53</v>
      </c>
      <c r="N34" s="61">
        <v>28</v>
      </c>
      <c r="O34" s="62" t="s">
        <v>54</v>
      </c>
      <c r="P34" s="58">
        <v>28</v>
      </c>
      <c r="Q34" s="59"/>
      <c r="R34" s="61">
        <v>28</v>
      </c>
      <c r="S34" s="62" t="s">
        <v>53</v>
      </c>
      <c r="T34" s="61">
        <v>28</v>
      </c>
      <c r="U34" s="62" t="s">
        <v>53</v>
      </c>
      <c r="V34" s="61">
        <v>28</v>
      </c>
      <c r="W34" s="62" t="s">
        <v>53</v>
      </c>
      <c r="X34" s="61">
        <v>28</v>
      </c>
      <c r="Y34" s="62" t="s">
        <v>54</v>
      </c>
      <c r="Z34" s="58">
        <v>28</v>
      </c>
      <c r="AA34" s="59" t="s">
        <v>54</v>
      </c>
      <c r="AB34" s="58">
        <v>28</v>
      </c>
      <c r="AC34" s="59"/>
      <c r="AD34" s="61">
        <v>28</v>
      </c>
      <c r="AE34" s="62" t="s">
        <v>53</v>
      </c>
      <c r="AF34" s="61">
        <v>28</v>
      </c>
      <c r="AG34" s="82" t="s">
        <v>54</v>
      </c>
      <c r="AH34" s="58">
        <v>28</v>
      </c>
      <c r="AI34" s="82" t="s">
        <v>54</v>
      </c>
      <c r="AJ34" s="61">
        <v>28</v>
      </c>
      <c r="AK34" s="62"/>
    </row>
    <row r="35" spans="8:38">
      <c r="H35" s="61">
        <v>29</v>
      </c>
      <c r="I35" s="62" t="s">
        <v>54</v>
      </c>
      <c r="J35" s="58">
        <v>29</v>
      </c>
      <c r="K35" s="59" t="s">
        <v>54</v>
      </c>
      <c r="L35" s="61">
        <v>29</v>
      </c>
      <c r="M35" s="62" t="s">
        <v>53</v>
      </c>
      <c r="N35" s="61">
        <v>29</v>
      </c>
      <c r="O35" s="62" t="s">
        <v>53</v>
      </c>
      <c r="P35" s="61">
        <v>29</v>
      </c>
      <c r="Q35" s="62" t="s">
        <v>53</v>
      </c>
      <c r="R35" s="61">
        <v>29</v>
      </c>
      <c r="S35" s="62" t="s">
        <v>53</v>
      </c>
      <c r="T35" s="61">
        <v>29</v>
      </c>
      <c r="U35" s="62" t="s">
        <v>53</v>
      </c>
      <c r="V35" s="58">
        <v>29</v>
      </c>
      <c r="W35" s="59" t="s">
        <v>54</v>
      </c>
      <c r="X35" s="58">
        <v>29</v>
      </c>
      <c r="Y35" s="59" t="s">
        <v>54</v>
      </c>
      <c r="Z35" s="61">
        <v>29</v>
      </c>
      <c r="AA35" s="62" t="s">
        <v>53</v>
      </c>
      <c r="AB35" s="61">
        <v>29</v>
      </c>
      <c r="AC35" s="82" t="s">
        <v>54</v>
      </c>
      <c r="AD35" s="61">
        <v>29</v>
      </c>
      <c r="AE35" s="82" t="s">
        <v>54</v>
      </c>
      <c r="AF35" s="61">
        <v>29</v>
      </c>
      <c r="AG35" s="82" t="s">
        <v>54</v>
      </c>
      <c r="AH35" s="61">
        <v>29</v>
      </c>
      <c r="AI35" s="82" t="s">
        <v>54</v>
      </c>
      <c r="AJ35" s="58">
        <v>29</v>
      </c>
      <c r="AK35" s="59"/>
    </row>
    <row r="36" spans="8:38">
      <c r="H36" s="61">
        <v>30</v>
      </c>
      <c r="I36" s="62" t="s">
        <v>54</v>
      </c>
      <c r="J36" s="61">
        <v>30</v>
      </c>
      <c r="K36" s="62" t="s">
        <v>53</v>
      </c>
      <c r="L36" s="58">
        <v>30</v>
      </c>
      <c r="M36" s="59"/>
      <c r="N36" s="61">
        <v>30</v>
      </c>
      <c r="O36" s="62" t="s">
        <v>53</v>
      </c>
      <c r="P36" s="76"/>
      <c r="Q36" s="77"/>
      <c r="R36" s="58">
        <v>30</v>
      </c>
      <c r="S36" s="59"/>
      <c r="T36" s="61">
        <v>30</v>
      </c>
      <c r="U36" s="62" t="s">
        <v>53</v>
      </c>
      <c r="V36" s="61">
        <v>30</v>
      </c>
      <c r="W36" s="62" t="s">
        <v>54</v>
      </c>
      <c r="X36" s="61">
        <v>30</v>
      </c>
      <c r="Y36" s="62" t="s">
        <v>54</v>
      </c>
      <c r="Z36" s="61">
        <v>30</v>
      </c>
      <c r="AA36" s="62" t="s">
        <v>54</v>
      </c>
      <c r="AB36" s="61">
        <v>30</v>
      </c>
      <c r="AC36" s="82" t="s">
        <v>54</v>
      </c>
      <c r="AD36" s="58">
        <v>30</v>
      </c>
      <c r="AE36" s="82" t="s">
        <v>54</v>
      </c>
      <c r="AF36" s="58">
        <v>30</v>
      </c>
      <c r="AG36" s="59"/>
      <c r="AH36" s="61">
        <v>30</v>
      </c>
      <c r="AI36" s="62" t="s">
        <v>53</v>
      </c>
      <c r="AJ36" s="61">
        <v>30</v>
      </c>
      <c r="AK36" s="62"/>
    </row>
    <row r="37" spans="8:38" ht="15.75" thickBot="1">
      <c r="H37" s="63">
        <v>31</v>
      </c>
      <c r="I37" s="62" t="s">
        <v>53</v>
      </c>
      <c r="J37" s="74"/>
      <c r="K37" s="75"/>
      <c r="L37" s="61">
        <v>31</v>
      </c>
      <c r="M37" s="62" t="s">
        <v>53</v>
      </c>
      <c r="N37" s="58">
        <v>31</v>
      </c>
      <c r="O37" s="59" t="s">
        <v>54</v>
      </c>
      <c r="P37" s="76"/>
      <c r="Q37" s="77"/>
      <c r="R37" s="61">
        <v>31</v>
      </c>
      <c r="S37" s="62" t="s">
        <v>53</v>
      </c>
      <c r="T37" s="76"/>
      <c r="U37" s="77"/>
      <c r="V37" s="61">
        <v>31</v>
      </c>
      <c r="W37" s="62" t="s">
        <v>54</v>
      </c>
      <c r="X37" s="61">
        <v>31</v>
      </c>
      <c r="Y37" s="62" t="s">
        <v>54</v>
      </c>
      <c r="Z37" s="58">
        <v>31</v>
      </c>
      <c r="AA37" s="59"/>
      <c r="AB37" s="76"/>
      <c r="AC37" s="77"/>
      <c r="AD37" s="61">
        <v>31</v>
      </c>
      <c r="AE37" s="82" t="s">
        <v>54</v>
      </c>
      <c r="AF37" s="76">
        <v>31</v>
      </c>
      <c r="AG37" s="77"/>
      <c r="AH37" s="61">
        <v>31</v>
      </c>
      <c r="AI37" s="62" t="s">
        <v>53</v>
      </c>
      <c r="AJ37" s="61">
        <v>31</v>
      </c>
      <c r="AK37" s="62"/>
    </row>
    <row r="38" spans="8:38">
      <c r="H38" s="818" t="s">
        <v>55</v>
      </c>
      <c r="I38" s="69">
        <f>COUNTIF(I7:I37,"✔")</f>
        <v>9</v>
      </c>
      <c r="J38" s="818" t="s">
        <v>55</v>
      </c>
      <c r="K38" s="69">
        <f>COUNTIF(K7:K37,"✔")</f>
        <v>13</v>
      </c>
      <c r="L38" s="818" t="s">
        <v>55</v>
      </c>
      <c r="M38" s="69">
        <f>COUNTIF(M7:M37,"✔")</f>
        <v>8</v>
      </c>
      <c r="N38" s="818" t="s">
        <v>55</v>
      </c>
      <c r="O38" s="69">
        <f>COUNTIF(O7:O37,"✔")</f>
        <v>7</v>
      </c>
      <c r="P38" s="818" t="s">
        <v>55</v>
      </c>
      <c r="Q38" s="69">
        <f>COUNTIF(Q7:Q37,"✔")</f>
        <v>10</v>
      </c>
      <c r="R38" s="818" t="s">
        <v>55</v>
      </c>
      <c r="S38" s="69">
        <f>COUNTIF(S7:S37,"✔")</f>
        <v>2</v>
      </c>
      <c r="T38" s="818" t="s">
        <v>55</v>
      </c>
      <c r="U38" s="69">
        <f>COUNTIF(U7:U37,"✔")</f>
        <v>0</v>
      </c>
      <c r="V38" s="818" t="s">
        <v>55</v>
      </c>
      <c r="W38" s="69">
        <f>COUNTIF(W7:W37,"✔")</f>
        <v>3</v>
      </c>
      <c r="X38" s="813" t="s">
        <v>55</v>
      </c>
      <c r="Y38" s="78">
        <f>COUNTIF(Y7:Y37,"✔")</f>
        <v>19</v>
      </c>
      <c r="Z38" s="813" t="s">
        <v>55</v>
      </c>
      <c r="AA38" s="78">
        <f>COUNTIF(AA7:AA37,"✔")</f>
        <v>17</v>
      </c>
      <c r="AB38" s="813" t="s">
        <v>55</v>
      </c>
      <c r="AC38" s="78">
        <f>COUNTIF(AC7:AC37,"✔")</f>
        <v>19</v>
      </c>
      <c r="AD38" s="813" t="s">
        <v>55</v>
      </c>
      <c r="AE38" s="78">
        <f>COUNTIF(AE7:AE37,"✔")</f>
        <v>21</v>
      </c>
      <c r="AF38" s="813" t="s">
        <v>55</v>
      </c>
      <c r="AG38" s="78">
        <f>COUNTIF(AG7:AG37,"✔")</f>
        <v>20</v>
      </c>
      <c r="AH38" s="813" t="s">
        <v>55</v>
      </c>
      <c r="AI38" s="78">
        <f>COUNTIF(AI7:AI37,"✔")</f>
        <v>17</v>
      </c>
      <c r="AJ38" s="813" t="s">
        <v>55</v>
      </c>
      <c r="AK38" s="78">
        <f>COUNTIF(AK7:AK37,"✔")</f>
        <v>15</v>
      </c>
    </row>
    <row r="39" spans="8:38" ht="15.75" thickBot="1">
      <c r="H39" s="819"/>
      <c r="I39" s="70">
        <f>I38/COUNTA(I24:I37)</f>
        <v>0.81818181818181823</v>
      </c>
      <c r="J39" s="819"/>
      <c r="K39" s="70">
        <f>K38/COUNTA(K7:K37)</f>
        <v>0.54166666666666663</v>
      </c>
      <c r="L39" s="819"/>
      <c r="M39" s="70">
        <f>M38/COUNTA(M7:M37)</f>
        <v>0.33333333333333331</v>
      </c>
      <c r="N39" s="819"/>
      <c r="O39" s="70">
        <f>O38/COUNTA(O7:O37)</f>
        <v>0.30434782608695654</v>
      </c>
      <c r="P39" s="819"/>
      <c r="Q39" s="70">
        <f>Q38/COUNTA(Q7:Q37)</f>
        <v>0.45454545454545453</v>
      </c>
      <c r="R39" s="819"/>
      <c r="S39" s="70">
        <f>S38/COUNTA(S7:S37)</f>
        <v>9.0909090909090912E-2</v>
      </c>
      <c r="T39" s="819"/>
      <c r="U39" s="70">
        <f>U38/COUNTA(U7:U37)</f>
        <v>0</v>
      </c>
      <c r="V39" s="819"/>
      <c r="W39" s="70">
        <f>W38/COUNTA(W7:W37)</f>
        <v>0.13043478260869565</v>
      </c>
      <c r="X39" s="814"/>
      <c r="Y39" s="79">
        <f>Y38/COUNTA(Y7:Y37)</f>
        <v>0.6333333333333333</v>
      </c>
      <c r="Z39" s="814"/>
      <c r="AA39" s="79">
        <f>AA38/COUNTA(AA7:AA37)</f>
        <v>0.68</v>
      </c>
      <c r="AB39" s="814"/>
      <c r="AC39" s="79">
        <f>AC38/COUNTA(AC7:AC37)</f>
        <v>0.79166666666666663</v>
      </c>
      <c r="AD39" s="814"/>
      <c r="AE39" s="79">
        <f>AE38/COUNTA(AE7:AE37)</f>
        <v>0.84</v>
      </c>
      <c r="AF39" s="814"/>
      <c r="AG39" s="79">
        <f>AG38/COUNTA(AG7:AG37)</f>
        <v>0.83333333333333337</v>
      </c>
      <c r="AH39" s="814"/>
      <c r="AI39" s="79">
        <f>AI38/COUNTA(AI7:AI37)</f>
        <v>0.65384615384615385</v>
      </c>
      <c r="AJ39" s="814"/>
      <c r="AK39" s="79">
        <f>AK38/COUNTA(AK7:AK37)</f>
        <v>0.88235294117647056</v>
      </c>
      <c r="AL39">
        <f>COUNTA(AK7:AK37)</f>
        <v>17</v>
      </c>
    </row>
  </sheetData>
  <mergeCells count="35">
    <mergeCell ref="A7:A11"/>
    <mergeCell ref="A12:A15"/>
    <mergeCell ref="A3:A6"/>
    <mergeCell ref="AB5:AC5"/>
    <mergeCell ref="AB38:AB39"/>
    <mergeCell ref="Z5:AA5"/>
    <mergeCell ref="Z38:Z39"/>
    <mergeCell ref="R5:S5"/>
    <mergeCell ref="R38:R39"/>
    <mergeCell ref="V5:W5"/>
    <mergeCell ref="V38:V39"/>
    <mergeCell ref="X5:Y5"/>
    <mergeCell ref="X38:X39"/>
    <mergeCell ref="T5:U5"/>
    <mergeCell ref="AF38:AF39"/>
    <mergeCell ref="AD5:AE5"/>
    <mergeCell ref="AD38:AD39"/>
    <mergeCell ref="AH5:AI5"/>
    <mergeCell ref="AH38:AH39"/>
    <mergeCell ref="AJ5:AK5"/>
    <mergeCell ref="AJ38:AJ39"/>
    <mergeCell ref="A1:E1"/>
    <mergeCell ref="J5:K5"/>
    <mergeCell ref="P5:Q5"/>
    <mergeCell ref="P38:P39"/>
    <mergeCell ref="H1:N1"/>
    <mergeCell ref="H5:I5"/>
    <mergeCell ref="H38:H39"/>
    <mergeCell ref="J38:J39"/>
    <mergeCell ref="L5:M5"/>
    <mergeCell ref="L38:L39"/>
    <mergeCell ref="N5:O5"/>
    <mergeCell ref="N38:N39"/>
    <mergeCell ref="T38:T39"/>
    <mergeCell ref="AF5:AG5"/>
  </mergeCells>
  <phoneticPr fontId="2"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sheetPr>
  <dimension ref="A1:KH231"/>
  <sheetViews>
    <sheetView topLeftCell="JH1" zoomScaleNormal="100" workbookViewId="0">
      <selection activeCell="KE4" sqref="KE4"/>
    </sheetView>
  </sheetViews>
  <sheetFormatPr defaultColWidth="9.140625" defaultRowHeight="18.75" customHeight="1"/>
  <cols>
    <col min="1" max="1" width="11.5703125" style="122" bestFit="1" customWidth="1"/>
    <col min="2" max="2" width="42.42578125" style="122" bestFit="1" customWidth="1"/>
    <col min="3" max="3" width="5.28515625" style="122" bestFit="1" customWidth="1"/>
    <col min="4" max="4" width="44.28515625" style="122" bestFit="1" customWidth="1"/>
    <col min="5" max="5" width="5" style="122" bestFit="1" customWidth="1"/>
    <col min="6" max="6" width="7.42578125" style="122" bestFit="1" customWidth="1"/>
    <col min="7" max="7" width="4.5703125" style="122" customWidth="1"/>
    <col min="8" max="8" width="9.140625" style="122"/>
    <col min="9" max="10" width="4.5703125" style="122" customWidth="1"/>
    <col min="11" max="11" width="9.140625" style="122"/>
    <col min="12" max="13" width="4.5703125" style="122" customWidth="1"/>
    <col min="14" max="14" width="9.140625" style="122"/>
    <col min="15" max="16" width="4.5703125" style="122" customWidth="1"/>
    <col min="17" max="17" width="9.140625" style="122"/>
    <col min="18" max="19" width="4.5703125" style="122" customWidth="1"/>
    <col min="20" max="20" width="9.140625" style="122"/>
    <col min="21" max="22" width="4.5703125" style="122" customWidth="1"/>
    <col min="23" max="25" width="9.140625" style="122"/>
    <col min="26" max="26" width="4.5703125" style="122" customWidth="1"/>
    <col min="27" max="27" width="9.140625" style="122"/>
    <col min="28" max="29" width="4.5703125" style="122" customWidth="1"/>
    <col min="30" max="30" width="9.140625" style="122"/>
    <col min="31" max="32" width="4.5703125" style="122" customWidth="1"/>
    <col min="33" max="33" width="9.140625" style="122"/>
    <col min="34" max="35" width="4.5703125" style="122" customWidth="1"/>
    <col min="36" max="36" width="9.140625" style="122"/>
    <col min="37" max="38" width="4.5703125" style="122" customWidth="1"/>
    <col min="39" max="39" width="9.140625" style="122"/>
    <col min="40" max="41" width="4.5703125" style="122" customWidth="1"/>
    <col min="42" max="44" width="9.140625" style="122"/>
    <col min="45" max="45" width="4.5703125" style="122" customWidth="1"/>
    <col min="46" max="46" width="9.140625" style="122"/>
    <col min="47" max="48" width="4.5703125" style="122" customWidth="1"/>
    <col min="49" max="49" width="9.140625" style="122"/>
    <col min="50" max="51" width="4.5703125" style="122" customWidth="1"/>
    <col min="52" max="52" width="9.140625" style="122"/>
    <col min="53" max="54" width="4.5703125" style="122" customWidth="1"/>
    <col min="55" max="55" width="9.140625" style="122"/>
    <col min="56" max="57" width="4.5703125" style="122" customWidth="1"/>
    <col min="58" max="58" width="9.140625" style="122"/>
    <col min="59" max="60" width="4.5703125" style="122" customWidth="1"/>
    <col min="61" max="63" width="9.140625" style="122"/>
    <col min="64" max="64" width="4.5703125" style="122" customWidth="1"/>
    <col min="65" max="65" width="9.140625" style="122"/>
    <col min="66" max="67" width="4.5703125" style="122" customWidth="1"/>
    <col min="68" max="68" width="9.140625" style="122"/>
    <col min="69" max="70" width="4.5703125" style="122" customWidth="1"/>
    <col min="71" max="71" width="9.140625" style="122"/>
    <col min="72" max="73" width="4.5703125" style="122" customWidth="1"/>
    <col min="74" max="74" width="9.140625" style="122"/>
    <col min="75" max="76" width="4.5703125" style="122" customWidth="1"/>
    <col min="77" max="77" width="9.140625" style="122"/>
    <col min="78" max="79" width="4.5703125" style="122" customWidth="1"/>
    <col min="80" max="82" width="9.140625" style="122"/>
    <col min="83" max="83" width="4.5703125" style="122" customWidth="1"/>
    <col min="84" max="84" width="9.140625" style="122"/>
    <col min="85" max="86" width="4.5703125" style="122" customWidth="1"/>
    <col min="87" max="87" width="9.140625" style="122"/>
    <col min="88" max="89" width="4.5703125" style="122" customWidth="1"/>
    <col min="90" max="90" width="9.140625" style="122"/>
    <col min="91" max="92" width="4.5703125" style="122" customWidth="1"/>
    <col min="93" max="93" width="9.140625" style="122"/>
    <col min="94" max="95" width="4.5703125" style="122" customWidth="1"/>
    <col min="96" max="96" width="9.140625" style="122"/>
    <col min="97" max="98" width="4.5703125" style="122" customWidth="1"/>
    <col min="99" max="101" width="9.140625" style="122"/>
    <col min="102" max="102" width="4.5703125" style="122" customWidth="1"/>
    <col min="103" max="103" width="9.140625" style="122"/>
    <col min="104" max="105" width="4.5703125" style="122" customWidth="1"/>
    <col min="106" max="106" width="9.140625" style="122"/>
    <col min="107" max="108" width="4.5703125" style="122" customWidth="1"/>
    <col min="109" max="109" width="9.140625" style="122"/>
    <col min="110" max="111" width="4.5703125" style="122" customWidth="1"/>
    <col min="112" max="112" width="9.140625" style="122"/>
    <col min="113" max="114" width="4.5703125" style="122" customWidth="1"/>
    <col min="115" max="115" width="9.140625" style="122"/>
    <col min="116" max="117" width="4.5703125" style="122" customWidth="1"/>
    <col min="118" max="120" width="9.140625" style="122"/>
    <col min="121" max="121" width="4.5703125" style="122" customWidth="1"/>
    <col min="122" max="122" width="9.140625" style="122"/>
    <col min="123" max="124" width="4.5703125" style="122" customWidth="1"/>
    <col min="125" max="125" width="9.140625" style="122"/>
    <col min="126" max="127" width="4.5703125" style="122" customWidth="1"/>
    <col min="128" max="128" width="9.140625" style="122"/>
    <col min="129" max="130" width="4.5703125" style="122" customWidth="1"/>
    <col min="131" max="131" width="9.140625" style="122"/>
    <col min="132" max="133" width="4.5703125" style="122" customWidth="1"/>
    <col min="134" max="134" width="9.140625" style="122"/>
    <col min="135" max="136" width="4.5703125" style="122" customWidth="1"/>
    <col min="137" max="139" width="9.140625" style="122"/>
    <col min="140" max="140" width="4.5703125" style="122" customWidth="1"/>
    <col min="141" max="141" width="9.140625" style="122"/>
    <col min="142" max="143" width="4.5703125" style="122" customWidth="1"/>
    <col min="144" max="144" width="9.140625" style="122"/>
    <col min="145" max="146" width="4.5703125" style="122" customWidth="1"/>
    <col min="147" max="147" width="9.140625" style="122"/>
    <col min="148" max="149" width="4.5703125" style="122" customWidth="1"/>
    <col min="150" max="150" width="9.140625" style="122"/>
    <col min="151" max="152" width="4.5703125" style="122" customWidth="1"/>
    <col min="153" max="153" width="9.140625" style="122"/>
    <col min="154" max="155" width="4.5703125" style="122" customWidth="1"/>
    <col min="156" max="158" width="9.140625" style="122"/>
    <col min="159" max="159" width="4.5703125" style="122" customWidth="1"/>
    <col min="160" max="160" width="9.140625" style="122"/>
    <col min="161" max="162" width="4.5703125" style="122" customWidth="1"/>
    <col min="163" max="163" width="9.140625" style="122"/>
    <col min="164" max="165" width="4.5703125" style="122" customWidth="1"/>
    <col min="166" max="166" width="9.140625" style="122"/>
    <col min="167" max="168" width="4.5703125" style="122" customWidth="1"/>
    <col min="169" max="169" width="9.140625" style="122"/>
    <col min="170" max="171" width="4.5703125" style="122" customWidth="1"/>
    <col min="172" max="172" width="9.140625" style="122"/>
    <col min="173" max="174" width="4.5703125" style="122" customWidth="1"/>
    <col min="175" max="177" width="9.140625" style="122"/>
    <col min="178" max="178" width="4.5703125" style="122" customWidth="1"/>
    <col min="179" max="179" width="9.140625" style="122"/>
    <col min="180" max="181" width="4.5703125" style="122" customWidth="1"/>
    <col min="182" max="182" width="9.140625" style="122"/>
    <col min="183" max="184" width="4.5703125" style="122" customWidth="1"/>
    <col min="185" max="185" width="9.140625" style="122"/>
    <col min="186" max="187" width="4.5703125" style="122" customWidth="1"/>
    <col min="188" max="188" width="9.140625" style="122"/>
    <col min="189" max="190" width="4.5703125" style="122" customWidth="1"/>
    <col min="191" max="191" width="9.140625" style="122"/>
    <col min="192" max="193" width="4.5703125" style="122" customWidth="1"/>
    <col min="194" max="194" width="9.140625" style="122"/>
    <col min="195" max="196" width="4.5703125" style="122" customWidth="1"/>
    <col min="197" max="199" width="9.140625" style="122"/>
    <col min="200" max="200" width="4.5703125" style="122" customWidth="1"/>
    <col min="201" max="201" width="9.140625" style="122"/>
    <col min="202" max="203" width="4.5703125" style="122" customWidth="1"/>
    <col min="204" max="204" width="9.140625" style="122"/>
    <col min="205" max="206" width="4.5703125" style="122" customWidth="1"/>
    <col min="207" max="207" width="9.140625" style="122"/>
    <col min="208" max="209" width="4.5703125" style="122" customWidth="1"/>
    <col min="210" max="210" width="9.140625" style="122"/>
    <col min="211" max="212" width="4.5703125" style="122" customWidth="1"/>
    <col min="213" max="213" width="9.140625" style="122"/>
    <col min="214" max="215" width="4.5703125" style="122" customWidth="1"/>
    <col min="216" max="216" width="9.140625" style="122"/>
    <col min="217" max="218" width="4.5703125" style="122" customWidth="1"/>
    <col min="219" max="221" width="9.140625" style="122"/>
    <col min="222" max="222" width="4.5703125" style="122" customWidth="1"/>
    <col min="223" max="223" width="9.140625" style="122"/>
    <col min="224" max="225" width="4.5703125" style="122" customWidth="1"/>
    <col min="226" max="226" width="9.140625" style="122"/>
    <col min="227" max="228" width="4.5703125" style="122" customWidth="1"/>
    <col min="229" max="229" width="9.140625" style="122"/>
    <col min="230" max="231" width="4.5703125" style="122" customWidth="1"/>
    <col min="232" max="232" width="9.140625" style="122"/>
    <col min="233" max="234" width="4.5703125" style="122" customWidth="1"/>
    <col min="235" max="235" width="9.140625" style="122"/>
    <col min="236" max="237" width="4.5703125" style="122" customWidth="1"/>
    <col min="238" max="238" width="9.140625" style="122"/>
    <col min="239" max="240" width="4.5703125" style="122" customWidth="1"/>
    <col min="241" max="243" width="9.140625" style="122"/>
    <col min="244" max="244" width="4.5703125" style="122" customWidth="1"/>
    <col min="245" max="245" width="9.140625" style="122"/>
    <col min="246" max="247" width="4.5703125" style="122" customWidth="1"/>
    <col min="248" max="248" width="9.140625" style="122"/>
    <col min="249" max="250" width="4.5703125" style="122" customWidth="1"/>
    <col min="251" max="251" width="9.140625" style="122"/>
    <col min="252" max="253" width="4.5703125" style="122" customWidth="1"/>
    <col min="254" max="254" width="9.140625" style="122"/>
    <col min="255" max="256" width="4.5703125" style="122" customWidth="1"/>
    <col min="257" max="257" width="9.140625" style="122"/>
    <col min="258" max="259" width="4.5703125" style="122" customWidth="1"/>
    <col min="260" max="260" width="9.140625" style="122"/>
    <col min="261" max="262" width="4.5703125" style="122" customWidth="1"/>
    <col min="263" max="266" width="9.140625" style="122"/>
    <col min="267" max="267" width="4.5703125" style="122" customWidth="1"/>
    <col min="268" max="16384" width="9.140625" style="122"/>
  </cols>
  <sheetData>
    <row r="1" spans="1:294" ht="19.5" customHeight="1" thickBot="1">
      <c r="A1" s="83" t="s">
        <v>56</v>
      </c>
      <c r="B1" s="84" t="s">
        <v>43</v>
      </c>
      <c r="C1" s="85" t="s">
        <v>57</v>
      </c>
      <c r="D1" s="86" t="s">
        <v>58</v>
      </c>
      <c r="E1" s="87" t="s">
        <v>59</v>
      </c>
      <c r="F1" s="88" t="s">
        <v>60</v>
      </c>
      <c r="H1" s="833" t="s">
        <v>1</v>
      </c>
      <c r="I1" s="833" t="s">
        <v>61</v>
      </c>
      <c r="J1" s="833"/>
      <c r="K1" s="833"/>
      <c r="L1" s="833"/>
      <c r="M1" s="833"/>
      <c r="N1" s="833"/>
      <c r="O1" s="833"/>
      <c r="P1" s="833"/>
      <c r="Q1" s="833"/>
      <c r="R1" s="833"/>
      <c r="S1" s="833"/>
      <c r="T1" s="833"/>
      <c r="U1" s="833"/>
      <c r="V1" s="833"/>
      <c r="W1" s="833"/>
      <c r="X1" s="833" t="s">
        <v>55</v>
      </c>
      <c r="Y1" s="853" t="s">
        <v>62</v>
      </c>
      <c r="AA1" s="833" t="s">
        <v>1</v>
      </c>
      <c r="AB1" s="833" t="s">
        <v>61</v>
      </c>
      <c r="AC1" s="833"/>
      <c r="AD1" s="833"/>
      <c r="AE1" s="833"/>
      <c r="AF1" s="833"/>
      <c r="AG1" s="833"/>
      <c r="AH1" s="833"/>
      <c r="AI1" s="833"/>
      <c r="AJ1" s="833"/>
      <c r="AK1" s="833"/>
      <c r="AL1" s="833"/>
      <c r="AM1" s="833"/>
      <c r="AN1" s="833"/>
      <c r="AO1" s="833"/>
      <c r="AP1" s="833"/>
      <c r="AQ1" s="833" t="s">
        <v>55</v>
      </c>
      <c r="AR1" s="853" t="s">
        <v>62</v>
      </c>
      <c r="AT1" s="833" t="s">
        <v>1</v>
      </c>
      <c r="AU1" s="833" t="s">
        <v>61</v>
      </c>
      <c r="AV1" s="833"/>
      <c r="AW1" s="833"/>
      <c r="AX1" s="833"/>
      <c r="AY1" s="833"/>
      <c r="AZ1" s="833"/>
      <c r="BA1" s="833"/>
      <c r="BB1" s="833"/>
      <c r="BC1" s="833"/>
      <c r="BD1" s="833"/>
      <c r="BE1" s="833"/>
      <c r="BF1" s="833"/>
      <c r="BG1" s="833"/>
      <c r="BH1" s="833"/>
      <c r="BI1" s="833"/>
      <c r="BJ1" s="833" t="s">
        <v>55</v>
      </c>
      <c r="BK1" s="853" t="s">
        <v>62</v>
      </c>
      <c r="BL1" s="116"/>
      <c r="BM1" s="833" t="s">
        <v>1</v>
      </c>
      <c r="BN1" s="833" t="s">
        <v>61</v>
      </c>
      <c r="BO1" s="833"/>
      <c r="BP1" s="833"/>
      <c r="BQ1" s="833"/>
      <c r="BR1" s="833"/>
      <c r="BS1" s="833"/>
      <c r="BT1" s="833"/>
      <c r="BU1" s="833"/>
      <c r="BV1" s="833"/>
      <c r="BW1" s="833"/>
      <c r="BX1" s="833"/>
      <c r="BY1" s="833"/>
      <c r="BZ1" s="833"/>
      <c r="CA1" s="833"/>
      <c r="CB1" s="833"/>
      <c r="CC1" s="833" t="s">
        <v>55</v>
      </c>
      <c r="CD1" s="853" t="s">
        <v>62</v>
      </c>
      <c r="CF1" s="833" t="s">
        <v>1</v>
      </c>
      <c r="CG1" s="833" t="s">
        <v>61</v>
      </c>
      <c r="CH1" s="833"/>
      <c r="CI1" s="833"/>
      <c r="CJ1" s="833"/>
      <c r="CK1" s="833"/>
      <c r="CL1" s="833"/>
      <c r="CM1" s="833"/>
      <c r="CN1" s="833"/>
      <c r="CO1" s="833"/>
      <c r="CP1" s="833"/>
      <c r="CQ1" s="833"/>
      <c r="CR1" s="833"/>
      <c r="CS1" s="833"/>
      <c r="CT1" s="833"/>
      <c r="CU1" s="833"/>
      <c r="CV1" s="833" t="s">
        <v>55</v>
      </c>
      <c r="CW1" s="853" t="s">
        <v>62</v>
      </c>
      <c r="CX1" s="116"/>
      <c r="CY1" s="833" t="s">
        <v>1</v>
      </c>
      <c r="CZ1" s="833" t="s">
        <v>61</v>
      </c>
      <c r="DA1" s="833"/>
      <c r="DB1" s="833"/>
      <c r="DC1" s="833"/>
      <c r="DD1" s="833"/>
      <c r="DE1" s="833"/>
      <c r="DF1" s="833"/>
      <c r="DG1" s="833"/>
      <c r="DH1" s="833"/>
      <c r="DI1" s="833"/>
      <c r="DJ1" s="833"/>
      <c r="DK1" s="833"/>
      <c r="DL1" s="833"/>
      <c r="DM1" s="833"/>
      <c r="DN1" s="833"/>
      <c r="DO1" s="833" t="s">
        <v>55</v>
      </c>
      <c r="DP1" s="853" t="s">
        <v>62</v>
      </c>
      <c r="DR1" s="833" t="s">
        <v>1</v>
      </c>
      <c r="DS1" s="833" t="s">
        <v>61</v>
      </c>
      <c r="DT1" s="833"/>
      <c r="DU1" s="833"/>
      <c r="DV1" s="833"/>
      <c r="DW1" s="833"/>
      <c r="DX1" s="833"/>
      <c r="DY1" s="833"/>
      <c r="DZ1" s="833"/>
      <c r="EA1" s="833"/>
      <c r="EB1" s="833"/>
      <c r="EC1" s="833"/>
      <c r="ED1" s="833"/>
      <c r="EE1" s="833"/>
      <c r="EF1" s="833"/>
      <c r="EG1" s="833"/>
      <c r="EH1" s="833" t="s">
        <v>55</v>
      </c>
      <c r="EI1" s="853" t="s">
        <v>62</v>
      </c>
      <c r="EK1" s="833" t="s">
        <v>1</v>
      </c>
      <c r="EL1" s="833" t="s">
        <v>61</v>
      </c>
      <c r="EM1" s="833"/>
      <c r="EN1" s="833"/>
      <c r="EO1" s="833"/>
      <c r="EP1" s="833"/>
      <c r="EQ1" s="833"/>
      <c r="ER1" s="833"/>
      <c r="ES1" s="833"/>
      <c r="ET1" s="833"/>
      <c r="EU1" s="833"/>
      <c r="EV1" s="833"/>
      <c r="EW1" s="833"/>
      <c r="EX1" s="833"/>
      <c r="EY1" s="833"/>
      <c r="EZ1" s="833"/>
      <c r="FA1" s="833" t="s">
        <v>55</v>
      </c>
      <c r="FB1" s="853" t="s">
        <v>62</v>
      </c>
      <c r="FD1" s="833" t="s">
        <v>1</v>
      </c>
      <c r="FE1" s="833" t="s">
        <v>61</v>
      </c>
      <c r="FF1" s="833"/>
      <c r="FG1" s="833"/>
      <c r="FH1" s="833"/>
      <c r="FI1" s="833"/>
      <c r="FJ1" s="833"/>
      <c r="FK1" s="833"/>
      <c r="FL1" s="833"/>
      <c r="FM1" s="833"/>
      <c r="FN1" s="833"/>
      <c r="FO1" s="833"/>
      <c r="FP1" s="833"/>
      <c r="FQ1" s="833"/>
      <c r="FR1" s="833"/>
      <c r="FS1" s="833"/>
      <c r="FT1" s="833" t="s">
        <v>55</v>
      </c>
      <c r="FU1" s="853" t="s">
        <v>62</v>
      </c>
      <c r="FW1" s="833" t="s">
        <v>1</v>
      </c>
      <c r="FX1" s="850" t="s">
        <v>61</v>
      </c>
      <c r="FY1" s="851"/>
      <c r="FZ1" s="851"/>
      <c r="GA1" s="851"/>
      <c r="GB1" s="851"/>
      <c r="GC1" s="851"/>
      <c r="GD1" s="851"/>
      <c r="GE1" s="851"/>
      <c r="GF1" s="851"/>
      <c r="GG1" s="851"/>
      <c r="GH1" s="851"/>
      <c r="GI1" s="851"/>
      <c r="GJ1" s="851"/>
      <c r="GK1" s="851"/>
      <c r="GL1" s="851"/>
      <c r="GM1" s="851"/>
      <c r="GN1" s="851"/>
      <c r="GO1" s="852"/>
      <c r="GP1" s="833" t="s">
        <v>55</v>
      </c>
      <c r="GQ1" s="853" t="s">
        <v>62</v>
      </c>
      <c r="GR1" s="116"/>
      <c r="GS1" s="900" t="s">
        <v>1</v>
      </c>
      <c r="GT1" s="850" t="s">
        <v>61</v>
      </c>
      <c r="GU1" s="851"/>
      <c r="GV1" s="851"/>
      <c r="GW1" s="851"/>
      <c r="GX1" s="851"/>
      <c r="GY1" s="851"/>
      <c r="GZ1" s="851"/>
      <c r="HA1" s="851"/>
      <c r="HB1" s="851"/>
      <c r="HC1" s="851"/>
      <c r="HD1" s="851"/>
      <c r="HE1" s="851"/>
      <c r="HF1" s="851"/>
      <c r="HG1" s="851"/>
      <c r="HH1" s="851"/>
      <c r="HI1" s="851"/>
      <c r="HJ1" s="851"/>
      <c r="HK1" s="852"/>
      <c r="HL1" s="833" t="s">
        <v>55</v>
      </c>
      <c r="HM1" s="853" t="s">
        <v>62</v>
      </c>
      <c r="HN1" s="116"/>
      <c r="HO1" s="833" t="s">
        <v>1</v>
      </c>
      <c r="HP1" s="850" t="s">
        <v>61</v>
      </c>
      <c r="HQ1" s="851"/>
      <c r="HR1" s="851"/>
      <c r="HS1" s="851"/>
      <c r="HT1" s="851"/>
      <c r="HU1" s="851"/>
      <c r="HV1" s="851"/>
      <c r="HW1" s="851"/>
      <c r="HX1" s="851"/>
      <c r="HY1" s="851"/>
      <c r="HZ1" s="851"/>
      <c r="IA1" s="851"/>
      <c r="IB1" s="851"/>
      <c r="IC1" s="851"/>
      <c r="ID1" s="851"/>
      <c r="IE1" s="851"/>
      <c r="IF1" s="851"/>
      <c r="IG1" s="852"/>
      <c r="IH1" s="833" t="s">
        <v>55</v>
      </c>
      <c r="II1" s="853" t="s">
        <v>62</v>
      </c>
      <c r="IK1" s="833" t="s">
        <v>1</v>
      </c>
      <c r="IL1" s="850" t="s">
        <v>61</v>
      </c>
      <c r="IM1" s="851"/>
      <c r="IN1" s="851"/>
      <c r="IO1" s="851"/>
      <c r="IP1" s="851"/>
      <c r="IQ1" s="851"/>
      <c r="IR1" s="851"/>
      <c r="IS1" s="851"/>
      <c r="IT1" s="851"/>
      <c r="IU1" s="851"/>
      <c r="IV1" s="851"/>
      <c r="IW1" s="851"/>
      <c r="IX1" s="851"/>
      <c r="IY1" s="851"/>
      <c r="IZ1" s="851"/>
      <c r="JA1" s="851"/>
      <c r="JB1" s="851"/>
      <c r="JC1" s="852"/>
      <c r="JD1" s="900" t="s">
        <v>171</v>
      </c>
      <c r="JE1" s="833" t="s">
        <v>55</v>
      </c>
      <c r="JF1" s="853" t="s">
        <v>62</v>
      </c>
      <c r="JH1" s="910" t="s">
        <v>46</v>
      </c>
      <c r="JI1" s="911"/>
      <c r="JJ1" s="910" t="s">
        <v>47</v>
      </c>
      <c r="JK1" s="911"/>
      <c r="JL1" s="811" t="s">
        <v>48</v>
      </c>
      <c r="JM1" s="812"/>
      <c r="JN1" s="811" t="s">
        <v>49</v>
      </c>
      <c r="JO1" s="812"/>
      <c r="JP1" s="811" t="s">
        <v>50</v>
      </c>
      <c r="JQ1" s="812"/>
      <c r="JR1" s="811" t="s">
        <v>51</v>
      </c>
      <c r="JS1" s="812"/>
      <c r="JT1" s="811" t="s">
        <v>7</v>
      </c>
      <c r="JU1" s="812"/>
      <c r="JV1" s="811" t="s">
        <v>18</v>
      </c>
      <c r="JW1" s="812"/>
      <c r="JX1" s="811" t="s">
        <v>19</v>
      </c>
      <c r="JY1" s="812"/>
      <c r="JZ1" s="811" t="s">
        <v>21</v>
      </c>
      <c r="KA1" s="812"/>
      <c r="KB1" s="811" t="s">
        <v>44</v>
      </c>
      <c r="KC1" s="812"/>
      <c r="KD1" s="811" t="s">
        <v>45</v>
      </c>
      <c r="KE1" s="812"/>
    </row>
    <row r="2" spans="1:294" ht="19.5" thickBot="1">
      <c r="A2" s="925" t="s">
        <v>35</v>
      </c>
      <c r="B2" s="919" t="s">
        <v>63</v>
      </c>
      <c r="C2" s="89">
        <v>1</v>
      </c>
      <c r="D2" s="90" t="s">
        <v>64</v>
      </c>
      <c r="E2" s="91">
        <v>4</v>
      </c>
      <c r="F2" s="92">
        <v>8</v>
      </c>
      <c r="H2" s="833"/>
      <c r="I2" s="833">
        <v>1</v>
      </c>
      <c r="J2" s="833"/>
      <c r="K2" s="833"/>
      <c r="L2" s="833">
        <v>2</v>
      </c>
      <c r="M2" s="833"/>
      <c r="N2" s="833"/>
      <c r="O2" s="833">
        <v>3</v>
      </c>
      <c r="P2" s="833"/>
      <c r="Q2" s="833"/>
      <c r="R2" s="833">
        <v>4</v>
      </c>
      <c r="S2" s="833"/>
      <c r="T2" s="833"/>
      <c r="U2" s="833">
        <v>5</v>
      </c>
      <c r="V2" s="833"/>
      <c r="W2" s="833"/>
      <c r="X2" s="833"/>
      <c r="Y2" s="854"/>
      <c r="AA2" s="833"/>
      <c r="AB2" s="833">
        <v>1</v>
      </c>
      <c r="AC2" s="833"/>
      <c r="AD2" s="833"/>
      <c r="AE2" s="833">
        <v>2</v>
      </c>
      <c r="AF2" s="833"/>
      <c r="AG2" s="833"/>
      <c r="AH2" s="833">
        <v>3</v>
      </c>
      <c r="AI2" s="833"/>
      <c r="AJ2" s="833"/>
      <c r="AK2" s="833">
        <v>4</v>
      </c>
      <c r="AL2" s="833"/>
      <c r="AM2" s="833"/>
      <c r="AN2" s="833">
        <v>5</v>
      </c>
      <c r="AO2" s="833"/>
      <c r="AP2" s="833"/>
      <c r="AQ2" s="833"/>
      <c r="AR2" s="854"/>
      <c r="AT2" s="833"/>
      <c r="AU2" s="833">
        <v>1</v>
      </c>
      <c r="AV2" s="833"/>
      <c r="AW2" s="833"/>
      <c r="AX2" s="833">
        <v>2</v>
      </c>
      <c r="AY2" s="833"/>
      <c r="AZ2" s="833"/>
      <c r="BA2" s="833">
        <v>3</v>
      </c>
      <c r="BB2" s="833"/>
      <c r="BC2" s="833"/>
      <c r="BD2" s="833">
        <v>4</v>
      </c>
      <c r="BE2" s="833"/>
      <c r="BF2" s="833"/>
      <c r="BG2" s="833">
        <v>5</v>
      </c>
      <c r="BH2" s="833"/>
      <c r="BI2" s="833"/>
      <c r="BJ2" s="833"/>
      <c r="BK2" s="854"/>
      <c r="BL2" s="117"/>
      <c r="BM2" s="833"/>
      <c r="BN2" s="833">
        <v>1</v>
      </c>
      <c r="BO2" s="833"/>
      <c r="BP2" s="833"/>
      <c r="BQ2" s="833">
        <v>2</v>
      </c>
      <c r="BR2" s="833"/>
      <c r="BS2" s="833"/>
      <c r="BT2" s="833">
        <v>3</v>
      </c>
      <c r="BU2" s="833"/>
      <c r="BV2" s="833"/>
      <c r="BW2" s="833">
        <v>4</v>
      </c>
      <c r="BX2" s="833"/>
      <c r="BY2" s="833"/>
      <c r="BZ2" s="833">
        <v>5</v>
      </c>
      <c r="CA2" s="833"/>
      <c r="CB2" s="833"/>
      <c r="CC2" s="833"/>
      <c r="CD2" s="854"/>
      <c r="CF2" s="833"/>
      <c r="CG2" s="833">
        <v>1</v>
      </c>
      <c r="CH2" s="833"/>
      <c r="CI2" s="833"/>
      <c r="CJ2" s="833">
        <v>2</v>
      </c>
      <c r="CK2" s="833"/>
      <c r="CL2" s="833"/>
      <c r="CM2" s="833">
        <v>3</v>
      </c>
      <c r="CN2" s="833"/>
      <c r="CO2" s="833"/>
      <c r="CP2" s="833">
        <v>4</v>
      </c>
      <c r="CQ2" s="833"/>
      <c r="CR2" s="833"/>
      <c r="CS2" s="833">
        <v>5</v>
      </c>
      <c r="CT2" s="833"/>
      <c r="CU2" s="833"/>
      <c r="CV2" s="833"/>
      <c r="CW2" s="854"/>
      <c r="CX2" s="117"/>
      <c r="CY2" s="833"/>
      <c r="CZ2" s="833">
        <v>1</v>
      </c>
      <c r="DA2" s="833"/>
      <c r="DB2" s="833"/>
      <c r="DC2" s="833">
        <v>2</v>
      </c>
      <c r="DD2" s="833"/>
      <c r="DE2" s="833"/>
      <c r="DF2" s="833">
        <v>3</v>
      </c>
      <c r="DG2" s="833"/>
      <c r="DH2" s="833"/>
      <c r="DI2" s="833">
        <v>4</v>
      </c>
      <c r="DJ2" s="833"/>
      <c r="DK2" s="833"/>
      <c r="DL2" s="833">
        <v>5</v>
      </c>
      <c r="DM2" s="833"/>
      <c r="DN2" s="833"/>
      <c r="DO2" s="833"/>
      <c r="DP2" s="854"/>
      <c r="DR2" s="833"/>
      <c r="DS2" s="833">
        <v>1</v>
      </c>
      <c r="DT2" s="833"/>
      <c r="DU2" s="833"/>
      <c r="DV2" s="833">
        <v>2</v>
      </c>
      <c r="DW2" s="833"/>
      <c r="DX2" s="833"/>
      <c r="DY2" s="833">
        <v>3</v>
      </c>
      <c r="DZ2" s="833"/>
      <c r="EA2" s="833"/>
      <c r="EB2" s="833">
        <v>4</v>
      </c>
      <c r="EC2" s="833"/>
      <c r="ED2" s="833"/>
      <c r="EE2" s="833">
        <v>5</v>
      </c>
      <c r="EF2" s="833"/>
      <c r="EG2" s="833"/>
      <c r="EH2" s="833"/>
      <c r="EI2" s="854"/>
      <c r="EK2" s="833"/>
      <c r="EL2" s="833">
        <v>1</v>
      </c>
      <c r="EM2" s="833"/>
      <c r="EN2" s="833"/>
      <c r="EO2" s="833">
        <v>2</v>
      </c>
      <c r="EP2" s="833"/>
      <c r="EQ2" s="833"/>
      <c r="ER2" s="833">
        <v>3</v>
      </c>
      <c r="ES2" s="833"/>
      <c r="ET2" s="833"/>
      <c r="EU2" s="833">
        <v>4</v>
      </c>
      <c r="EV2" s="833"/>
      <c r="EW2" s="833"/>
      <c r="EX2" s="833">
        <v>5</v>
      </c>
      <c r="EY2" s="833"/>
      <c r="EZ2" s="833"/>
      <c r="FA2" s="833"/>
      <c r="FB2" s="854"/>
      <c r="FD2" s="833"/>
      <c r="FE2" s="833">
        <v>1</v>
      </c>
      <c r="FF2" s="833"/>
      <c r="FG2" s="833"/>
      <c r="FH2" s="833">
        <v>2</v>
      </c>
      <c r="FI2" s="833"/>
      <c r="FJ2" s="833"/>
      <c r="FK2" s="833">
        <v>3</v>
      </c>
      <c r="FL2" s="833"/>
      <c r="FM2" s="833"/>
      <c r="FN2" s="833">
        <v>4</v>
      </c>
      <c r="FO2" s="833"/>
      <c r="FP2" s="833"/>
      <c r="FQ2" s="833">
        <v>5</v>
      </c>
      <c r="FR2" s="833"/>
      <c r="FS2" s="833"/>
      <c r="FT2" s="833"/>
      <c r="FU2" s="854"/>
      <c r="FW2" s="833"/>
      <c r="FX2" s="833">
        <v>1</v>
      </c>
      <c r="FY2" s="833"/>
      <c r="FZ2" s="833"/>
      <c r="GA2" s="833">
        <v>2</v>
      </c>
      <c r="GB2" s="833"/>
      <c r="GC2" s="833"/>
      <c r="GD2" s="833">
        <v>3</v>
      </c>
      <c r="GE2" s="833"/>
      <c r="GF2" s="833"/>
      <c r="GG2" s="833">
        <v>4</v>
      </c>
      <c r="GH2" s="833"/>
      <c r="GI2" s="833"/>
      <c r="GJ2" s="833">
        <v>5</v>
      </c>
      <c r="GK2" s="833"/>
      <c r="GL2" s="833"/>
      <c r="GM2" s="833">
        <v>6</v>
      </c>
      <c r="GN2" s="833"/>
      <c r="GO2" s="833"/>
      <c r="GP2" s="833"/>
      <c r="GQ2" s="854"/>
      <c r="GR2" s="117"/>
      <c r="GS2" s="901"/>
      <c r="GT2" s="833">
        <v>1</v>
      </c>
      <c r="GU2" s="833"/>
      <c r="GV2" s="833"/>
      <c r="GW2" s="833">
        <v>2</v>
      </c>
      <c r="GX2" s="833"/>
      <c r="GY2" s="833"/>
      <c r="GZ2" s="833">
        <v>3</v>
      </c>
      <c r="HA2" s="833"/>
      <c r="HB2" s="833"/>
      <c r="HC2" s="833">
        <v>4</v>
      </c>
      <c r="HD2" s="833"/>
      <c r="HE2" s="833"/>
      <c r="HF2" s="833">
        <v>5</v>
      </c>
      <c r="HG2" s="833"/>
      <c r="HH2" s="833"/>
      <c r="HI2" s="833">
        <v>6</v>
      </c>
      <c r="HJ2" s="833"/>
      <c r="HK2" s="833"/>
      <c r="HL2" s="833"/>
      <c r="HM2" s="854"/>
      <c r="HN2" s="117"/>
      <c r="HO2" s="833"/>
      <c r="HP2" s="833">
        <v>1</v>
      </c>
      <c r="HQ2" s="833"/>
      <c r="HR2" s="833"/>
      <c r="HS2" s="833">
        <v>2</v>
      </c>
      <c r="HT2" s="833"/>
      <c r="HU2" s="833"/>
      <c r="HV2" s="833">
        <v>3</v>
      </c>
      <c r="HW2" s="833"/>
      <c r="HX2" s="833"/>
      <c r="HY2" s="833">
        <v>4</v>
      </c>
      <c r="HZ2" s="833"/>
      <c r="IA2" s="833"/>
      <c r="IB2" s="833">
        <v>5</v>
      </c>
      <c r="IC2" s="833"/>
      <c r="ID2" s="833"/>
      <c r="IE2" s="833">
        <v>6</v>
      </c>
      <c r="IF2" s="833"/>
      <c r="IG2" s="833"/>
      <c r="IH2" s="833"/>
      <c r="II2" s="854"/>
      <c r="IK2" s="833"/>
      <c r="IL2" s="833">
        <v>1</v>
      </c>
      <c r="IM2" s="833"/>
      <c r="IN2" s="833"/>
      <c r="IO2" s="833">
        <v>2</v>
      </c>
      <c r="IP2" s="833"/>
      <c r="IQ2" s="833"/>
      <c r="IR2" s="833">
        <v>3</v>
      </c>
      <c r="IS2" s="833"/>
      <c r="IT2" s="833"/>
      <c r="IU2" s="833">
        <v>4</v>
      </c>
      <c r="IV2" s="833"/>
      <c r="IW2" s="833"/>
      <c r="IX2" s="833">
        <v>5</v>
      </c>
      <c r="IY2" s="833"/>
      <c r="IZ2" s="833"/>
      <c r="JA2" s="833">
        <v>6</v>
      </c>
      <c r="JB2" s="833"/>
      <c r="JC2" s="833"/>
      <c r="JD2" s="901"/>
      <c r="JE2" s="833"/>
      <c r="JF2" s="854"/>
      <c r="JH2" s="56" t="s">
        <v>1</v>
      </c>
      <c r="JI2" s="57" t="s">
        <v>52</v>
      </c>
      <c r="JJ2" s="56" t="s">
        <v>1</v>
      </c>
      <c r="JK2" s="57" t="s">
        <v>52</v>
      </c>
      <c r="JL2" s="56" t="s">
        <v>1</v>
      </c>
      <c r="JM2" s="57" t="s">
        <v>52</v>
      </c>
      <c r="JN2" s="56" t="s">
        <v>1</v>
      </c>
      <c r="JO2" s="57" t="s">
        <v>52</v>
      </c>
      <c r="JP2" s="56" t="s">
        <v>1</v>
      </c>
      <c r="JQ2" s="57" t="s">
        <v>52</v>
      </c>
      <c r="JR2" s="56" t="s">
        <v>1</v>
      </c>
      <c r="JS2" s="57" t="s">
        <v>52</v>
      </c>
      <c r="JT2" s="56" t="s">
        <v>1</v>
      </c>
      <c r="JU2" s="57" t="s">
        <v>52</v>
      </c>
      <c r="JV2" s="56" t="s">
        <v>1</v>
      </c>
      <c r="JW2" s="57" t="s">
        <v>52</v>
      </c>
      <c r="JX2" s="56" t="s">
        <v>1</v>
      </c>
      <c r="JY2" s="57" t="s">
        <v>52</v>
      </c>
      <c r="JZ2" s="56" t="s">
        <v>1</v>
      </c>
      <c r="KA2" s="57" t="s">
        <v>52</v>
      </c>
      <c r="KB2" s="56" t="s">
        <v>1</v>
      </c>
      <c r="KC2" s="57" t="s">
        <v>52</v>
      </c>
      <c r="KD2" s="56" t="s">
        <v>1</v>
      </c>
      <c r="KE2" s="57" t="s">
        <v>52</v>
      </c>
      <c r="KG2" s="231" t="s">
        <v>65</v>
      </c>
      <c r="KH2" s="231" t="s">
        <v>66</v>
      </c>
    </row>
    <row r="3" spans="1:294">
      <c r="A3" s="926"/>
      <c r="B3" s="920"/>
      <c r="C3" s="93">
        <v>2</v>
      </c>
      <c r="D3" s="94" t="s">
        <v>67</v>
      </c>
      <c r="E3" s="95">
        <v>4</v>
      </c>
      <c r="F3" s="96">
        <v>8</v>
      </c>
      <c r="H3" s="934">
        <v>45678</v>
      </c>
      <c r="I3" s="848" t="s">
        <v>68</v>
      </c>
      <c r="J3" s="848"/>
      <c r="K3" s="848"/>
      <c r="L3" s="849" t="s">
        <v>69</v>
      </c>
      <c r="M3" s="849"/>
      <c r="N3" s="849"/>
      <c r="O3" s="844"/>
      <c r="P3" s="844"/>
      <c r="Q3" s="844"/>
      <c r="R3" s="844"/>
      <c r="S3" s="844"/>
      <c r="T3" s="844"/>
      <c r="U3" s="844"/>
      <c r="V3" s="844"/>
      <c r="W3" s="844"/>
      <c r="X3" s="823">
        <f>COUNTA(I3:W3)</f>
        <v>2</v>
      </c>
      <c r="Y3" s="942">
        <v>95.4</v>
      </c>
      <c r="AA3" s="840">
        <v>45689</v>
      </c>
      <c r="AB3" s="844"/>
      <c r="AC3" s="844"/>
      <c r="AD3" s="844"/>
      <c r="AE3" s="859"/>
      <c r="AF3" s="859"/>
      <c r="AG3" s="859"/>
      <c r="AH3" s="844"/>
      <c r="AI3" s="844"/>
      <c r="AJ3" s="844"/>
      <c r="AK3" s="844"/>
      <c r="AL3" s="844"/>
      <c r="AM3" s="844"/>
      <c r="AN3" s="844"/>
      <c r="AO3" s="844"/>
      <c r="AP3" s="844"/>
      <c r="AQ3" s="823">
        <f>COUNTA(AB3:AP3)</f>
        <v>0</v>
      </c>
      <c r="AR3" s="855">
        <f>Y33</f>
        <v>94.6</v>
      </c>
      <c r="AT3" s="840">
        <v>45717</v>
      </c>
      <c r="AU3" s="844"/>
      <c r="AV3" s="844"/>
      <c r="AW3" s="844"/>
      <c r="AX3" s="859"/>
      <c r="AY3" s="859"/>
      <c r="AZ3" s="859"/>
      <c r="BA3" s="844"/>
      <c r="BB3" s="844"/>
      <c r="BC3" s="844"/>
      <c r="BD3" s="844"/>
      <c r="BE3" s="844"/>
      <c r="BF3" s="844"/>
      <c r="BG3" s="844"/>
      <c r="BH3" s="844"/>
      <c r="BI3" s="844"/>
      <c r="BJ3" s="823">
        <f>COUNTA(AU3:BI3)</f>
        <v>0</v>
      </c>
      <c r="BK3" s="855">
        <f>AR84</f>
        <v>92</v>
      </c>
      <c r="BL3" s="118"/>
      <c r="BM3" s="856">
        <v>45748</v>
      </c>
      <c r="BN3" s="849" t="s">
        <v>70</v>
      </c>
      <c r="BO3" s="849"/>
      <c r="BP3" s="849"/>
      <c r="BQ3" s="859"/>
      <c r="BR3" s="859"/>
      <c r="BS3" s="859"/>
      <c r="BT3" s="844"/>
      <c r="BU3" s="844"/>
      <c r="BV3" s="844"/>
      <c r="BW3" s="844"/>
      <c r="BX3" s="844"/>
      <c r="BY3" s="844"/>
      <c r="BZ3" s="844"/>
      <c r="CA3" s="844"/>
      <c r="CB3" s="844"/>
      <c r="CC3" s="823">
        <f>COUNTA(BN3:CB3)</f>
        <v>1</v>
      </c>
      <c r="CD3" s="855">
        <v>88.5</v>
      </c>
      <c r="CF3" s="873">
        <v>45778</v>
      </c>
      <c r="CG3" s="849" t="s">
        <v>70</v>
      </c>
      <c r="CH3" s="849"/>
      <c r="CI3" s="849"/>
      <c r="CJ3" s="859"/>
      <c r="CK3" s="859"/>
      <c r="CL3" s="859"/>
      <c r="CM3" s="844"/>
      <c r="CN3" s="844"/>
      <c r="CO3" s="844"/>
      <c r="CP3" s="844"/>
      <c r="CQ3" s="844"/>
      <c r="CR3" s="844"/>
      <c r="CS3" s="844"/>
      <c r="CT3" s="844"/>
      <c r="CU3" s="844"/>
      <c r="CV3" s="823">
        <f>COUNTA(CG3:CU3)</f>
        <v>1</v>
      </c>
      <c r="CW3" s="855">
        <v>85.7</v>
      </c>
      <c r="CX3" s="118"/>
      <c r="CY3" s="864">
        <v>45809</v>
      </c>
      <c r="CZ3" s="859"/>
      <c r="DA3" s="859"/>
      <c r="DB3" s="859"/>
      <c r="DC3" s="859"/>
      <c r="DD3" s="859"/>
      <c r="DE3" s="859"/>
      <c r="DF3" s="844"/>
      <c r="DG3" s="844"/>
      <c r="DH3" s="844"/>
      <c r="DI3" s="844"/>
      <c r="DJ3" s="844"/>
      <c r="DK3" s="844"/>
      <c r="DL3" s="844"/>
      <c r="DM3" s="844"/>
      <c r="DN3" s="844"/>
      <c r="DO3" s="823">
        <f>COUNTA(CZ3:DN3)</f>
        <v>0</v>
      </c>
      <c r="DP3" s="855">
        <f>CW93</f>
        <v>83.6</v>
      </c>
      <c r="DR3" s="856">
        <v>45839</v>
      </c>
      <c r="DS3" s="849" t="s">
        <v>70</v>
      </c>
      <c r="DT3" s="849"/>
      <c r="DU3" s="849"/>
      <c r="DV3" s="859"/>
      <c r="DW3" s="859"/>
      <c r="DX3" s="859"/>
      <c r="DY3" s="844"/>
      <c r="DZ3" s="844"/>
      <c r="EA3" s="844"/>
      <c r="EB3" s="844"/>
      <c r="EC3" s="844"/>
      <c r="ED3" s="844"/>
      <c r="EE3" s="844"/>
      <c r="EF3" s="844"/>
      <c r="EG3" s="844"/>
      <c r="EH3" s="823">
        <f>COUNTA(DS3:EG3)</f>
        <v>1</v>
      </c>
      <c r="EI3" s="855">
        <v>82</v>
      </c>
      <c r="EK3" s="876">
        <v>45870</v>
      </c>
      <c r="EL3" s="848" t="s">
        <v>68</v>
      </c>
      <c r="EM3" s="848"/>
      <c r="EN3" s="848"/>
      <c r="EO3" s="890" t="s">
        <v>71</v>
      </c>
      <c r="EP3" s="890"/>
      <c r="EQ3" s="890"/>
      <c r="ER3" s="844"/>
      <c r="ES3" s="844"/>
      <c r="ET3" s="844"/>
      <c r="EU3" s="844"/>
      <c r="EV3" s="844"/>
      <c r="EW3" s="844"/>
      <c r="EX3" s="844"/>
      <c r="EY3" s="844"/>
      <c r="EZ3" s="844"/>
      <c r="FA3" s="823">
        <f>COUNTA(EL3:EZ3)</f>
        <v>2</v>
      </c>
      <c r="FB3" s="855">
        <v>80.3</v>
      </c>
      <c r="FD3" s="870">
        <v>45901</v>
      </c>
      <c r="FE3" s="844"/>
      <c r="FF3" s="844"/>
      <c r="FG3" s="844"/>
      <c r="FH3" s="843"/>
      <c r="FI3" s="843"/>
      <c r="FJ3" s="843"/>
      <c r="FK3" s="844"/>
      <c r="FL3" s="844"/>
      <c r="FM3" s="844"/>
      <c r="FN3" s="844"/>
      <c r="FO3" s="844"/>
      <c r="FP3" s="844"/>
      <c r="FQ3" s="844"/>
      <c r="FR3" s="844"/>
      <c r="FS3" s="844"/>
      <c r="FT3" s="823">
        <f>COUNTA(FE3:FS3)</f>
        <v>0</v>
      </c>
      <c r="FU3" s="855">
        <f>FB93</f>
        <v>79.599999999999994</v>
      </c>
      <c r="FW3" s="845">
        <v>45931</v>
      </c>
      <c r="FX3" s="844"/>
      <c r="FY3" s="844"/>
      <c r="FZ3" s="844"/>
      <c r="GA3" s="843"/>
      <c r="GB3" s="843"/>
      <c r="GC3" s="843"/>
      <c r="GD3" s="844"/>
      <c r="GE3" s="844"/>
      <c r="GF3" s="844"/>
      <c r="GG3" s="844"/>
      <c r="GH3" s="844"/>
      <c r="GI3" s="844"/>
      <c r="GJ3" s="844"/>
      <c r="GK3" s="844"/>
      <c r="GL3" s="844"/>
      <c r="GM3" s="844"/>
      <c r="GN3" s="844"/>
      <c r="GO3" s="844"/>
      <c r="GP3" s="823">
        <f>COUNTA(FX3:GO3)</f>
        <v>0</v>
      </c>
      <c r="GQ3" s="855">
        <f>FU90</f>
        <v>79</v>
      </c>
      <c r="GR3" s="118"/>
      <c r="GS3" s="840">
        <v>45962</v>
      </c>
      <c r="GT3" s="844"/>
      <c r="GU3" s="844"/>
      <c r="GV3" s="844"/>
      <c r="GW3" s="859"/>
      <c r="GX3" s="859"/>
      <c r="GY3" s="859"/>
      <c r="GZ3" s="834"/>
      <c r="HA3" s="835"/>
      <c r="HB3" s="836"/>
      <c r="HC3" s="867"/>
      <c r="HD3" s="868"/>
      <c r="HE3" s="869"/>
      <c r="HF3" s="834"/>
      <c r="HG3" s="835"/>
      <c r="HH3" s="836"/>
      <c r="HI3" s="834"/>
      <c r="HJ3" s="835"/>
      <c r="HK3" s="836"/>
      <c r="HL3" s="823">
        <f>COUNTA(GT3:HK3)</f>
        <v>0</v>
      </c>
      <c r="HM3" s="855">
        <f>GQ93</f>
        <v>78.099999999999994</v>
      </c>
      <c r="HN3" s="118"/>
      <c r="HO3" s="870">
        <v>45992</v>
      </c>
      <c r="HP3" s="844"/>
      <c r="HQ3" s="844"/>
      <c r="HR3" s="844"/>
      <c r="HS3" s="843"/>
      <c r="HT3" s="843"/>
      <c r="HU3" s="843"/>
      <c r="HV3" s="844"/>
      <c r="HW3" s="844"/>
      <c r="HX3" s="844"/>
      <c r="HY3" s="844"/>
      <c r="HZ3" s="844"/>
      <c r="IA3" s="844"/>
      <c r="IB3" s="844"/>
      <c r="IC3" s="844"/>
      <c r="ID3" s="844"/>
      <c r="IE3" s="834"/>
      <c r="IF3" s="835"/>
      <c r="IG3" s="836"/>
      <c r="IH3" s="823">
        <f>COUNTA(HP3:IG3)</f>
        <v>0</v>
      </c>
      <c r="II3" s="855">
        <f>HM90</f>
        <v>76.8</v>
      </c>
      <c r="IK3" s="873">
        <v>46023</v>
      </c>
      <c r="IL3" s="834"/>
      <c r="IM3" s="835"/>
      <c r="IN3" s="836"/>
      <c r="IO3" s="943"/>
      <c r="IP3" s="944"/>
      <c r="IQ3" s="945"/>
      <c r="IR3" s="834"/>
      <c r="IS3" s="835"/>
      <c r="IT3" s="836"/>
      <c r="IU3" s="834"/>
      <c r="IV3" s="835"/>
      <c r="IW3" s="836"/>
      <c r="IX3" s="834"/>
      <c r="IY3" s="835"/>
      <c r="IZ3" s="836"/>
      <c r="JA3" s="834"/>
      <c r="JB3" s="835"/>
      <c r="JC3" s="836"/>
      <c r="JD3" s="232" t="s">
        <v>425</v>
      </c>
      <c r="JE3" s="946">
        <f>COUNTA(IL3:JC3)</f>
        <v>0</v>
      </c>
      <c r="JF3" s="824">
        <f>II93</f>
        <v>76.900000000000006</v>
      </c>
      <c r="JH3" s="72">
        <v>1</v>
      </c>
      <c r="JI3" s="59" t="s">
        <v>54</v>
      </c>
      <c r="JJ3" s="72">
        <v>1</v>
      </c>
      <c r="JK3" s="59" t="str" cm="1">
        <f t="array" ref="JK3">IF(INDEX(AB:AB, (ROW()-ROW($JK$3))*3 + 3) &lt;&gt; "", "✔", "")</f>
        <v/>
      </c>
      <c r="JL3" s="72">
        <v>1</v>
      </c>
      <c r="JM3" s="59" t="str" cm="1">
        <f t="array" ref="JM3">IF(INDEX(AU:AU, (ROW()-ROW($JM$3))*3 + 3) &lt;&gt; "", "✔", "")</f>
        <v/>
      </c>
      <c r="JN3" s="123">
        <v>1</v>
      </c>
      <c r="JO3" s="82" t="str" cm="1">
        <f t="array" ref="JO3">IF(INDEX(BN:BN, (ROW()-ROW($BN$3))*3 + 3) &lt;&gt; "", "✔", "")</f>
        <v>✔</v>
      </c>
      <c r="JP3" s="123">
        <v>1</v>
      </c>
      <c r="JQ3" s="82" t="str" cm="1">
        <f t="array" ref="JQ3">IF(INDEX(CG:CG, (ROW()-ROW($CG$3))*3 + 3) &lt;&gt; "", "✔", "")</f>
        <v>✔</v>
      </c>
      <c r="JR3" s="123">
        <v>1</v>
      </c>
      <c r="JS3" s="82" t="str" cm="1">
        <f t="array" ref="JS3">IF(INDEX(CZ:CZ, (ROW()-ROW($CZ$3))*3 + 3) &lt;&gt; "", "✔", "")</f>
        <v/>
      </c>
      <c r="JT3" s="123">
        <v>1</v>
      </c>
      <c r="JU3" s="82" t="str" cm="1">
        <f t="array" ref="JU3">IF(INDEX(DS:DS, (ROW()-ROW($DS$3))*3 + 3) &lt;&gt; "", "✔", "")</f>
        <v>✔</v>
      </c>
      <c r="JV3" s="123">
        <v>1</v>
      </c>
      <c r="JW3" s="82" t="str" cm="1">
        <f t="array" ref="JW3">IF(INDEX(EL:EL, (ROW()-ROW($EL$3))*3 + 3) &lt;&gt; "", "✔", "")</f>
        <v>✔</v>
      </c>
      <c r="JX3" s="123">
        <v>1</v>
      </c>
      <c r="JY3" s="82" t="str" cm="1">
        <f t="array" ref="JY3">IF(INDEX(FE:FE, (ROW()-ROW($FE$3))*3 + 3) &lt;&gt; "", "✔", "")</f>
        <v/>
      </c>
      <c r="JZ3" s="123">
        <v>1</v>
      </c>
      <c r="KA3" s="82" t="str" cm="1">
        <f t="array" ref="KA3">IF(INDEX(FX:FX, (ROW()-ROW($FX$3))*3 + 3) &lt;&gt; "", "✔", "")</f>
        <v/>
      </c>
      <c r="KB3" s="123">
        <v>1</v>
      </c>
      <c r="KC3" s="82" t="str" cm="1">
        <f t="array" ref="KC3">IF(INDEX(GT:GT, (ROW()-ROW($GT$3))*3 + 3) &lt;&gt; "", "✔", "")</f>
        <v/>
      </c>
      <c r="KD3" s="123">
        <v>1</v>
      </c>
      <c r="KE3" s="82" t="str" cm="1">
        <f t="array" ref="KE3">IF(INDEX(HP:HP, (ROW()-ROW($HP$3))*3 + 3) &lt;&gt; "", "✔", "")</f>
        <v/>
      </c>
      <c r="KG3" s="231">
        <v>1</v>
      </c>
      <c r="KH3" s="130">
        <v>0.453592</v>
      </c>
    </row>
    <row r="4" spans="1:294">
      <c r="A4" s="926"/>
      <c r="B4" s="920"/>
      <c r="C4" s="93">
        <v>3</v>
      </c>
      <c r="D4" s="94" t="s">
        <v>72</v>
      </c>
      <c r="E4" s="95">
        <v>4</v>
      </c>
      <c r="F4" s="96">
        <v>8</v>
      </c>
      <c r="H4" s="934"/>
      <c r="I4" s="231" t="s">
        <v>59</v>
      </c>
      <c r="J4" s="231" t="s">
        <v>73</v>
      </c>
      <c r="K4" s="102" t="s">
        <v>4</v>
      </c>
      <c r="L4" s="231" t="s">
        <v>59</v>
      </c>
      <c r="M4" s="231" t="s">
        <v>73</v>
      </c>
      <c r="N4" s="102" t="s">
        <v>4</v>
      </c>
      <c r="O4" s="107" t="s">
        <v>59</v>
      </c>
      <c r="P4" s="107" t="s">
        <v>73</v>
      </c>
      <c r="Q4" s="108" t="s">
        <v>4</v>
      </c>
      <c r="R4" s="107" t="s">
        <v>59</v>
      </c>
      <c r="S4" s="107" t="s">
        <v>73</v>
      </c>
      <c r="T4" s="108" t="s">
        <v>4</v>
      </c>
      <c r="U4" s="107" t="s">
        <v>59</v>
      </c>
      <c r="V4" s="107" t="s">
        <v>73</v>
      </c>
      <c r="W4" s="108" t="s">
        <v>4</v>
      </c>
      <c r="X4" s="823"/>
      <c r="Y4" s="942"/>
      <c r="AA4" s="841"/>
      <c r="AB4" s="107" t="s">
        <v>59</v>
      </c>
      <c r="AC4" s="107" t="s">
        <v>73</v>
      </c>
      <c r="AD4" s="108" t="s">
        <v>4</v>
      </c>
      <c r="AE4" s="107" t="s">
        <v>59</v>
      </c>
      <c r="AF4" s="107" t="s">
        <v>73</v>
      </c>
      <c r="AG4" s="108" t="s">
        <v>4</v>
      </c>
      <c r="AH4" s="107" t="s">
        <v>59</v>
      </c>
      <c r="AI4" s="107" t="s">
        <v>73</v>
      </c>
      <c r="AJ4" s="108" t="s">
        <v>4</v>
      </c>
      <c r="AK4" s="107" t="s">
        <v>59</v>
      </c>
      <c r="AL4" s="107" t="s">
        <v>73</v>
      </c>
      <c r="AM4" s="108" t="s">
        <v>4</v>
      </c>
      <c r="AN4" s="107" t="s">
        <v>59</v>
      </c>
      <c r="AO4" s="107" t="s">
        <v>73</v>
      </c>
      <c r="AP4" s="108" t="s">
        <v>4</v>
      </c>
      <c r="AQ4" s="823"/>
      <c r="AR4" s="855"/>
      <c r="AT4" s="841"/>
      <c r="AU4" s="107" t="s">
        <v>59</v>
      </c>
      <c r="AV4" s="107" t="s">
        <v>73</v>
      </c>
      <c r="AW4" s="108" t="s">
        <v>4</v>
      </c>
      <c r="AX4" s="107" t="s">
        <v>59</v>
      </c>
      <c r="AY4" s="107" t="s">
        <v>73</v>
      </c>
      <c r="AZ4" s="108" t="s">
        <v>4</v>
      </c>
      <c r="BA4" s="107" t="s">
        <v>59</v>
      </c>
      <c r="BB4" s="107" t="s">
        <v>73</v>
      </c>
      <c r="BC4" s="108" t="s">
        <v>4</v>
      </c>
      <c r="BD4" s="107" t="s">
        <v>59</v>
      </c>
      <c r="BE4" s="107" t="s">
        <v>73</v>
      </c>
      <c r="BF4" s="108" t="s">
        <v>4</v>
      </c>
      <c r="BG4" s="107" t="s">
        <v>59</v>
      </c>
      <c r="BH4" s="107" t="s">
        <v>73</v>
      </c>
      <c r="BI4" s="108" t="s">
        <v>4</v>
      </c>
      <c r="BJ4" s="823"/>
      <c r="BK4" s="855"/>
      <c r="BL4" s="118"/>
      <c r="BM4" s="857"/>
      <c r="BN4" s="231" t="s">
        <v>59</v>
      </c>
      <c r="BO4" s="231" t="s">
        <v>73</v>
      </c>
      <c r="BP4" s="102" t="s">
        <v>4</v>
      </c>
      <c r="BQ4" s="107" t="s">
        <v>59</v>
      </c>
      <c r="BR4" s="107" t="s">
        <v>73</v>
      </c>
      <c r="BS4" s="108" t="s">
        <v>4</v>
      </c>
      <c r="BT4" s="107" t="s">
        <v>59</v>
      </c>
      <c r="BU4" s="107" t="s">
        <v>73</v>
      </c>
      <c r="BV4" s="108" t="s">
        <v>4</v>
      </c>
      <c r="BW4" s="107" t="s">
        <v>59</v>
      </c>
      <c r="BX4" s="107" t="s">
        <v>73</v>
      </c>
      <c r="BY4" s="108" t="s">
        <v>4</v>
      </c>
      <c r="BZ4" s="107" t="s">
        <v>59</v>
      </c>
      <c r="CA4" s="107" t="s">
        <v>73</v>
      </c>
      <c r="CB4" s="108" t="s">
        <v>4</v>
      </c>
      <c r="CC4" s="823"/>
      <c r="CD4" s="855"/>
      <c r="CF4" s="874"/>
      <c r="CG4" s="231" t="s">
        <v>59</v>
      </c>
      <c r="CH4" s="231" t="s">
        <v>73</v>
      </c>
      <c r="CI4" s="102" t="s">
        <v>4</v>
      </c>
      <c r="CJ4" s="107" t="s">
        <v>59</v>
      </c>
      <c r="CK4" s="107" t="s">
        <v>73</v>
      </c>
      <c r="CL4" s="108" t="s">
        <v>4</v>
      </c>
      <c r="CM4" s="107" t="s">
        <v>59</v>
      </c>
      <c r="CN4" s="107" t="s">
        <v>73</v>
      </c>
      <c r="CO4" s="108" t="s">
        <v>4</v>
      </c>
      <c r="CP4" s="107" t="s">
        <v>59</v>
      </c>
      <c r="CQ4" s="107" t="s">
        <v>73</v>
      </c>
      <c r="CR4" s="108" t="s">
        <v>4</v>
      </c>
      <c r="CS4" s="107" t="s">
        <v>59</v>
      </c>
      <c r="CT4" s="107" t="s">
        <v>73</v>
      </c>
      <c r="CU4" s="108" t="s">
        <v>4</v>
      </c>
      <c r="CV4" s="823"/>
      <c r="CW4" s="855"/>
      <c r="CX4" s="118"/>
      <c r="CY4" s="865"/>
      <c r="CZ4" s="107" t="s">
        <v>59</v>
      </c>
      <c r="DA4" s="107" t="s">
        <v>73</v>
      </c>
      <c r="DB4" s="108" t="s">
        <v>4</v>
      </c>
      <c r="DC4" s="107" t="s">
        <v>59</v>
      </c>
      <c r="DD4" s="107" t="s">
        <v>73</v>
      </c>
      <c r="DE4" s="108" t="s">
        <v>4</v>
      </c>
      <c r="DF4" s="107" t="s">
        <v>59</v>
      </c>
      <c r="DG4" s="107" t="s">
        <v>73</v>
      </c>
      <c r="DH4" s="108" t="s">
        <v>4</v>
      </c>
      <c r="DI4" s="107" t="s">
        <v>59</v>
      </c>
      <c r="DJ4" s="107" t="s">
        <v>73</v>
      </c>
      <c r="DK4" s="108" t="s">
        <v>4</v>
      </c>
      <c r="DL4" s="107" t="s">
        <v>59</v>
      </c>
      <c r="DM4" s="107" t="s">
        <v>73</v>
      </c>
      <c r="DN4" s="108" t="s">
        <v>4</v>
      </c>
      <c r="DO4" s="823"/>
      <c r="DP4" s="855"/>
      <c r="DR4" s="857"/>
      <c r="DS4" s="231" t="s">
        <v>59</v>
      </c>
      <c r="DT4" s="231" t="s">
        <v>73</v>
      </c>
      <c r="DU4" s="102" t="s">
        <v>4</v>
      </c>
      <c r="DV4" s="107" t="s">
        <v>59</v>
      </c>
      <c r="DW4" s="107" t="s">
        <v>73</v>
      </c>
      <c r="DX4" s="108" t="s">
        <v>4</v>
      </c>
      <c r="DY4" s="107" t="s">
        <v>59</v>
      </c>
      <c r="DZ4" s="107" t="s">
        <v>73</v>
      </c>
      <c r="EA4" s="108" t="s">
        <v>4</v>
      </c>
      <c r="EB4" s="107" t="s">
        <v>59</v>
      </c>
      <c r="EC4" s="107" t="s">
        <v>73</v>
      </c>
      <c r="ED4" s="108" t="s">
        <v>4</v>
      </c>
      <c r="EE4" s="107" t="s">
        <v>59</v>
      </c>
      <c r="EF4" s="107" t="s">
        <v>73</v>
      </c>
      <c r="EG4" s="108" t="s">
        <v>4</v>
      </c>
      <c r="EH4" s="823"/>
      <c r="EI4" s="855"/>
      <c r="EK4" s="877"/>
      <c r="EL4" s="231" t="s">
        <v>59</v>
      </c>
      <c r="EM4" s="231" t="s">
        <v>73</v>
      </c>
      <c r="EN4" s="102" t="s">
        <v>4</v>
      </c>
      <c r="EO4" s="231" t="s">
        <v>59</v>
      </c>
      <c r="EP4" s="231" t="s">
        <v>73</v>
      </c>
      <c r="EQ4" s="102" t="s">
        <v>4</v>
      </c>
      <c r="ER4" s="107" t="s">
        <v>59</v>
      </c>
      <c r="ES4" s="107" t="s">
        <v>73</v>
      </c>
      <c r="ET4" s="108" t="s">
        <v>4</v>
      </c>
      <c r="EU4" s="107" t="s">
        <v>59</v>
      </c>
      <c r="EV4" s="107" t="s">
        <v>73</v>
      </c>
      <c r="EW4" s="108" t="s">
        <v>4</v>
      </c>
      <c r="EX4" s="107" t="s">
        <v>59</v>
      </c>
      <c r="EY4" s="107" t="s">
        <v>73</v>
      </c>
      <c r="EZ4" s="108" t="s">
        <v>4</v>
      </c>
      <c r="FA4" s="823"/>
      <c r="FB4" s="855"/>
      <c r="FD4" s="871"/>
      <c r="FE4" s="107" t="s">
        <v>59</v>
      </c>
      <c r="FF4" s="107" t="s">
        <v>73</v>
      </c>
      <c r="FG4" s="108" t="s">
        <v>4</v>
      </c>
      <c r="FH4" s="107" t="s">
        <v>59</v>
      </c>
      <c r="FI4" s="107" t="s">
        <v>73</v>
      </c>
      <c r="FJ4" s="108" t="s">
        <v>4</v>
      </c>
      <c r="FK4" s="107" t="s">
        <v>59</v>
      </c>
      <c r="FL4" s="107" t="s">
        <v>73</v>
      </c>
      <c r="FM4" s="108" t="s">
        <v>4</v>
      </c>
      <c r="FN4" s="107" t="s">
        <v>59</v>
      </c>
      <c r="FO4" s="107" t="s">
        <v>73</v>
      </c>
      <c r="FP4" s="108" t="s">
        <v>4</v>
      </c>
      <c r="FQ4" s="107" t="s">
        <v>59</v>
      </c>
      <c r="FR4" s="107" t="s">
        <v>73</v>
      </c>
      <c r="FS4" s="108" t="s">
        <v>4</v>
      </c>
      <c r="FT4" s="823"/>
      <c r="FU4" s="855"/>
      <c r="FW4" s="846"/>
      <c r="FX4" s="107" t="s">
        <v>59</v>
      </c>
      <c r="FY4" s="107" t="s">
        <v>73</v>
      </c>
      <c r="FZ4" s="108" t="s">
        <v>4</v>
      </c>
      <c r="GA4" s="107" t="s">
        <v>59</v>
      </c>
      <c r="GB4" s="107" t="s">
        <v>73</v>
      </c>
      <c r="GC4" s="108" t="s">
        <v>4</v>
      </c>
      <c r="GD4" s="107" t="s">
        <v>59</v>
      </c>
      <c r="GE4" s="107" t="s">
        <v>73</v>
      </c>
      <c r="GF4" s="108" t="s">
        <v>4</v>
      </c>
      <c r="GG4" s="107" t="s">
        <v>59</v>
      </c>
      <c r="GH4" s="107" t="s">
        <v>73</v>
      </c>
      <c r="GI4" s="108" t="s">
        <v>4</v>
      </c>
      <c r="GJ4" s="107" t="s">
        <v>59</v>
      </c>
      <c r="GK4" s="107" t="s">
        <v>73</v>
      </c>
      <c r="GL4" s="108" t="s">
        <v>4</v>
      </c>
      <c r="GM4" s="107" t="s">
        <v>59</v>
      </c>
      <c r="GN4" s="107" t="s">
        <v>73</v>
      </c>
      <c r="GO4" s="108" t="s">
        <v>4</v>
      </c>
      <c r="GP4" s="823"/>
      <c r="GQ4" s="855"/>
      <c r="GR4" s="118"/>
      <c r="GS4" s="841"/>
      <c r="GT4" s="107" t="s">
        <v>59</v>
      </c>
      <c r="GU4" s="107" t="s">
        <v>73</v>
      </c>
      <c r="GV4" s="108" t="s">
        <v>4</v>
      </c>
      <c r="GW4" s="107" t="s">
        <v>59</v>
      </c>
      <c r="GX4" s="107" t="s">
        <v>73</v>
      </c>
      <c r="GY4" s="108" t="s">
        <v>4</v>
      </c>
      <c r="GZ4" s="107" t="s">
        <v>59</v>
      </c>
      <c r="HA4" s="107" t="s">
        <v>73</v>
      </c>
      <c r="HB4" s="108" t="s">
        <v>4</v>
      </c>
      <c r="HC4" s="107" t="s">
        <v>59</v>
      </c>
      <c r="HD4" s="107" t="s">
        <v>73</v>
      </c>
      <c r="HE4" s="108" t="s">
        <v>4</v>
      </c>
      <c r="HF4" s="107" t="s">
        <v>59</v>
      </c>
      <c r="HG4" s="107" t="s">
        <v>73</v>
      </c>
      <c r="HH4" s="108" t="s">
        <v>4</v>
      </c>
      <c r="HI4" s="107" t="s">
        <v>59</v>
      </c>
      <c r="HJ4" s="107" t="s">
        <v>73</v>
      </c>
      <c r="HK4" s="108" t="s">
        <v>4</v>
      </c>
      <c r="HL4" s="823"/>
      <c r="HM4" s="855"/>
      <c r="HN4" s="118"/>
      <c r="HO4" s="871"/>
      <c r="HP4" s="107" t="s">
        <v>59</v>
      </c>
      <c r="HQ4" s="107" t="s">
        <v>73</v>
      </c>
      <c r="HR4" s="108" t="s">
        <v>4</v>
      </c>
      <c r="HS4" s="107" t="s">
        <v>59</v>
      </c>
      <c r="HT4" s="107" t="s">
        <v>73</v>
      </c>
      <c r="HU4" s="108" t="s">
        <v>4</v>
      </c>
      <c r="HV4" s="107" t="s">
        <v>59</v>
      </c>
      <c r="HW4" s="107" t="s">
        <v>73</v>
      </c>
      <c r="HX4" s="108" t="s">
        <v>4</v>
      </c>
      <c r="HY4" s="107" t="s">
        <v>59</v>
      </c>
      <c r="HZ4" s="107" t="s">
        <v>73</v>
      </c>
      <c r="IA4" s="108" t="s">
        <v>4</v>
      </c>
      <c r="IB4" s="107" t="s">
        <v>59</v>
      </c>
      <c r="IC4" s="107" t="s">
        <v>73</v>
      </c>
      <c r="ID4" s="108" t="s">
        <v>4</v>
      </c>
      <c r="IE4" s="107" t="s">
        <v>59</v>
      </c>
      <c r="IF4" s="107" t="s">
        <v>73</v>
      </c>
      <c r="IG4" s="108" t="s">
        <v>4</v>
      </c>
      <c r="IH4" s="823"/>
      <c r="II4" s="855"/>
      <c r="IK4" s="874"/>
      <c r="IL4" s="107"/>
      <c r="IM4" s="107"/>
      <c r="IN4" s="108"/>
      <c r="IO4" s="107"/>
      <c r="IP4" s="107"/>
      <c r="IQ4" s="108"/>
      <c r="IR4" s="107"/>
      <c r="IS4" s="107"/>
      <c r="IT4" s="108"/>
      <c r="IU4" s="107"/>
      <c r="IV4" s="107"/>
      <c r="IW4" s="108"/>
      <c r="IX4" s="107"/>
      <c r="IY4" s="107"/>
      <c r="IZ4" s="108"/>
      <c r="JA4" s="107"/>
      <c r="JB4" s="107"/>
      <c r="JC4" s="108"/>
      <c r="JD4" s="948"/>
      <c r="JE4" s="947"/>
      <c r="JF4" s="825"/>
      <c r="JH4" s="61">
        <v>2</v>
      </c>
      <c r="JI4" s="62" t="s">
        <v>54</v>
      </c>
      <c r="JJ4" s="61">
        <v>2</v>
      </c>
      <c r="JK4" s="62" t="str" cm="1">
        <f t="array" ref="JK4">IF(INDEX(AB:AB, (ROW()-ROW($JK$3))*3 + 3) &lt;&gt; "", "✔", "")</f>
        <v/>
      </c>
      <c r="JL4" s="61">
        <v>2</v>
      </c>
      <c r="JM4" s="62" t="str" cm="1">
        <f t="array" ref="JM4">IF(INDEX(AU:AU, (ROW()-ROW($JM$3))*3 + 3) &lt;&gt; "", "✔", "")</f>
        <v>✔</v>
      </c>
      <c r="JN4" s="61">
        <v>2</v>
      </c>
      <c r="JO4" s="62" t="str" cm="1">
        <f t="array" ref="JO4">IF(INDEX(BN:BN, (ROW()-ROW($BN$3))*3 + 3) &lt;&gt; "", "✔", "")</f>
        <v>✔</v>
      </c>
      <c r="JP4" s="61">
        <v>2</v>
      </c>
      <c r="JQ4" s="62" t="str" cm="1">
        <f t="array" ref="JQ4">IF(INDEX(CG:CG, (ROW()-ROW($CG$3))*3 + 3) &lt;&gt; "", "✔", "")</f>
        <v>✔</v>
      </c>
      <c r="JR4" s="61">
        <v>2</v>
      </c>
      <c r="JS4" s="62" t="str" cm="1">
        <f t="array" ref="JS4">IF(INDEX(CZ:CZ, (ROW()-ROW($CZ$3))*3 + 3) &lt;&gt; "", "✔", "")</f>
        <v/>
      </c>
      <c r="JT4" s="61">
        <v>2</v>
      </c>
      <c r="JU4" s="62" t="str" cm="1">
        <f t="array" ref="JU4">IF(INDEX(DS:DS, (ROW()-ROW($DS$3))*3 + 3) &lt;&gt; "", "✔", "")</f>
        <v/>
      </c>
      <c r="JV4" s="61">
        <v>2</v>
      </c>
      <c r="JW4" s="62" t="str" cm="1">
        <f t="array" ref="JW4">IF(INDEX(EL:EL, (ROW()-ROW($EL$3))*3 + 3) &lt;&gt; "", "✔", "")</f>
        <v/>
      </c>
      <c r="JX4" s="61">
        <v>2</v>
      </c>
      <c r="JY4" s="62" t="str" cm="1">
        <f t="array" ref="JY4">IF(INDEX(FE:FE, (ROW()-ROW($FE$3))*3 + 3) &lt;&gt; "", "✔", "")</f>
        <v>✔</v>
      </c>
      <c r="JZ4" s="61">
        <v>2</v>
      </c>
      <c r="KA4" s="62" t="str" cm="1">
        <f t="array" ref="KA4">IF(INDEX(FX:FX, (ROW()-ROW($FX$3))*3 + 3) &lt;&gt; "", "✔", "")</f>
        <v/>
      </c>
      <c r="KB4" s="61">
        <v>2</v>
      </c>
      <c r="KC4" s="62" t="str" cm="1">
        <f t="array" ref="KC4">IF(INDEX(GT:GT, (ROW()-ROW($GT$3))*3 + 3) &lt;&gt; "", "✔", "")</f>
        <v>✔</v>
      </c>
      <c r="KD4" s="61">
        <v>2</v>
      </c>
      <c r="KE4" s="62" t="str" cm="1">
        <f t="array" ref="KE4">IF(INDEX(HP:HP, (ROW()-ROW($HP$3))*3 + 3) &lt;&gt; "", "✔", "")</f>
        <v>✔</v>
      </c>
      <c r="KG4" s="231">
        <v>5</v>
      </c>
      <c r="KH4" s="230">
        <f>KG4*$KH$3</f>
        <v>2.26796</v>
      </c>
    </row>
    <row r="5" spans="1:294">
      <c r="A5" s="926"/>
      <c r="B5" s="920"/>
      <c r="C5" s="93">
        <v>4</v>
      </c>
      <c r="D5" s="94" t="s">
        <v>74</v>
      </c>
      <c r="E5" s="95">
        <v>3</v>
      </c>
      <c r="F5" s="96">
        <v>10</v>
      </c>
      <c r="H5" s="934"/>
      <c r="I5" s="229">
        <v>4</v>
      </c>
      <c r="J5" s="229">
        <v>8</v>
      </c>
      <c r="K5" s="229">
        <v>49.9</v>
      </c>
      <c r="L5" s="229">
        <v>4</v>
      </c>
      <c r="M5" s="229">
        <v>8</v>
      </c>
      <c r="N5" s="229">
        <f>(5+1.25)*2+7</f>
        <v>19.5</v>
      </c>
      <c r="O5" s="233"/>
      <c r="P5" s="233"/>
      <c r="Q5" s="233"/>
      <c r="R5" s="233"/>
      <c r="S5" s="233"/>
      <c r="T5" s="233"/>
      <c r="U5" s="233"/>
      <c r="V5" s="233"/>
      <c r="W5" s="233"/>
      <c r="X5" s="229">
        <f>(I5*J5*K5)+(L5*M5*N5)+(O5*P5*Q5)+(R5*S5*T5)+(U5*V5*W5)</f>
        <v>2220.8000000000002</v>
      </c>
      <c r="Y5" s="942"/>
      <c r="AA5" s="842"/>
      <c r="AB5" s="233"/>
      <c r="AC5" s="233"/>
      <c r="AD5" s="233"/>
      <c r="AE5" s="233"/>
      <c r="AF5" s="233"/>
      <c r="AG5" s="233"/>
      <c r="AH5" s="233"/>
      <c r="AI5" s="233"/>
      <c r="AJ5" s="233"/>
      <c r="AK5" s="233"/>
      <c r="AL5" s="233"/>
      <c r="AM5" s="233"/>
      <c r="AN5" s="233"/>
      <c r="AO5" s="233"/>
      <c r="AP5" s="233"/>
      <c r="AQ5" s="229">
        <f>(AB5*AC5*AD5)+(AE5*AF5*AG5)+(AH5*AI5*AJ5)+(AK5*AL5*AM5)+(AN5*AO5*AP5)</f>
        <v>0</v>
      </c>
      <c r="AR5" s="855"/>
      <c r="AT5" s="842"/>
      <c r="AU5" s="233"/>
      <c r="AV5" s="233"/>
      <c r="AW5" s="233"/>
      <c r="AX5" s="233"/>
      <c r="AY5" s="233"/>
      <c r="AZ5" s="233"/>
      <c r="BA5" s="233"/>
      <c r="BB5" s="233"/>
      <c r="BC5" s="233"/>
      <c r="BD5" s="233"/>
      <c r="BE5" s="233"/>
      <c r="BF5" s="233"/>
      <c r="BG5" s="233"/>
      <c r="BH5" s="233"/>
      <c r="BI5" s="233"/>
      <c r="BJ5" s="229">
        <f>(AU5*AV5*AW5)+(AX5*AY5*AZ5)+(BA5*BB5*BC5)+(BD5*BE5*BF5)+(BG5*BH5*BI5)</f>
        <v>0</v>
      </c>
      <c r="BK5" s="855"/>
      <c r="BL5" s="118"/>
      <c r="BM5" s="858"/>
      <c r="BN5" s="229">
        <v>1</v>
      </c>
      <c r="BO5" s="229">
        <v>30</v>
      </c>
      <c r="BP5" s="229">
        <f>CD3</f>
        <v>88.5</v>
      </c>
      <c r="BQ5" s="233"/>
      <c r="BR5" s="233"/>
      <c r="BS5" s="233"/>
      <c r="BT5" s="233"/>
      <c r="BU5" s="233"/>
      <c r="BV5" s="233"/>
      <c r="BW5" s="233"/>
      <c r="BX5" s="233"/>
      <c r="BY5" s="233"/>
      <c r="BZ5" s="233"/>
      <c r="CA5" s="233"/>
      <c r="CB5" s="233"/>
      <c r="CC5" s="229">
        <f>(BN5*BO5*BP5)+(BQ5*BR5*BS5)+(BT5*BU5*BV5)+(BW5*BX5*BY5)+(BZ5*CA5*CB5)</f>
        <v>2655</v>
      </c>
      <c r="CD5" s="855"/>
      <c r="CF5" s="875"/>
      <c r="CG5" s="229">
        <v>1</v>
      </c>
      <c r="CH5" s="229">
        <v>40</v>
      </c>
      <c r="CI5" s="229">
        <f>CW3</f>
        <v>85.7</v>
      </c>
      <c r="CJ5" s="233"/>
      <c r="CK5" s="233"/>
      <c r="CL5" s="233"/>
      <c r="CM5" s="233"/>
      <c r="CN5" s="233"/>
      <c r="CO5" s="233"/>
      <c r="CP5" s="233"/>
      <c r="CQ5" s="233"/>
      <c r="CR5" s="233"/>
      <c r="CS5" s="233"/>
      <c r="CT5" s="233"/>
      <c r="CU5" s="233"/>
      <c r="CV5" s="229">
        <f>(CG5*CH5*CI5)+(CJ5*CK5*CL5)+(CM5*CN5*CO5)+(CP5*CQ5*CR5)+(CS5*CT5*CU5)</f>
        <v>3428</v>
      </c>
      <c r="CW5" s="855"/>
      <c r="CX5" s="118"/>
      <c r="CY5" s="866"/>
      <c r="CZ5" s="233"/>
      <c r="DA5" s="233"/>
      <c r="DB5" s="233"/>
      <c r="DC5" s="233"/>
      <c r="DD5" s="233"/>
      <c r="DE5" s="233"/>
      <c r="DF5" s="233"/>
      <c r="DG5" s="233"/>
      <c r="DH5" s="233"/>
      <c r="DI5" s="233"/>
      <c r="DJ5" s="233"/>
      <c r="DK5" s="233"/>
      <c r="DL5" s="233"/>
      <c r="DM5" s="233"/>
      <c r="DN5" s="233"/>
      <c r="DO5" s="229">
        <f>(CZ5*DA5*DB5)+(DC5*DD5*DE5)+(DF5*DG5*DH5)+(DI5*DJ5*DK5)+(DL5*DM5*DN5)</f>
        <v>0</v>
      </c>
      <c r="DP5" s="855"/>
      <c r="DR5" s="858"/>
      <c r="DS5" s="229">
        <v>1</v>
      </c>
      <c r="DT5" s="229">
        <v>30</v>
      </c>
      <c r="DU5" s="229">
        <f>$EI3+10</f>
        <v>92</v>
      </c>
      <c r="DV5" s="233"/>
      <c r="DW5" s="233"/>
      <c r="DX5" s="233"/>
      <c r="DY5" s="233"/>
      <c r="DZ5" s="233"/>
      <c r="EA5" s="233"/>
      <c r="EB5" s="233"/>
      <c r="EC5" s="233"/>
      <c r="ED5" s="233"/>
      <c r="EE5" s="233"/>
      <c r="EF5" s="233"/>
      <c r="EG5" s="233"/>
      <c r="EH5" s="229">
        <f>(DS5*DT5*DU5)+(DV5*DW5*DX5)+(DY5*DZ5*EA5)+(EB5*EC5*ED5)+(EE5*EF5*EG5)</f>
        <v>2760</v>
      </c>
      <c r="EI5" s="855"/>
      <c r="EK5" s="878"/>
      <c r="EL5" s="229">
        <v>3</v>
      </c>
      <c r="EM5" s="126">
        <v>12</v>
      </c>
      <c r="EN5" s="229">
        <v>59</v>
      </c>
      <c r="EO5" s="229">
        <v>3</v>
      </c>
      <c r="EP5" s="229">
        <v>12</v>
      </c>
      <c r="EQ5" s="229">
        <v>25</v>
      </c>
      <c r="ER5" s="233"/>
      <c r="ES5" s="233"/>
      <c r="ET5" s="233"/>
      <c r="EU5" s="233"/>
      <c r="EV5" s="233"/>
      <c r="EW5" s="233"/>
      <c r="EX5" s="233"/>
      <c r="EY5" s="233"/>
      <c r="EZ5" s="233"/>
      <c r="FA5" s="229">
        <f>(EL5*EM5*EN5)+(EO5*EP5*EQ5)+(ER5*ES5*ET5)+(EU5*EV5*EW5)+(EX5*EY5*EZ5)</f>
        <v>3024</v>
      </c>
      <c r="FB5" s="855"/>
      <c r="FD5" s="872"/>
      <c r="FE5" s="233"/>
      <c r="FF5" s="233"/>
      <c r="FG5" s="233"/>
      <c r="FH5" s="233"/>
      <c r="FI5" s="233"/>
      <c r="FJ5" s="233"/>
      <c r="FK5" s="233"/>
      <c r="FL5" s="233"/>
      <c r="FM5" s="233"/>
      <c r="FN5" s="233"/>
      <c r="FO5" s="233"/>
      <c r="FP5" s="233"/>
      <c r="FQ5" s="233"/>
      <c r="FR5" s="233"/>
      <c r="FS5" s="233"/>
      <c r="FT5" s="229">
        <f>(FE5*FF5*FG5)+(FH5*FI5*FJ5)+(FK5*FL5*FM5)+(FN5*FO5*FP5)+(FQ5*FR5*FS5)</f>
        <v>0</v>
      </c>
      <c r="FU5" s="855"/>
      <c r="FW5" s="847"/>
      <c r="FX5" s="233"/>
      <c r="FY5" s="233"/>
      <c r="FZ5" s="233"/>
      <c r="GA5" s="233"/>
      <c r="GB5" s="233"/>
      <c r="GC5" s="233"/>
      <c r="GD5" s="233"/>
      <c r="GE5" s="233"/>
      <c r="GF5" s="233"/>
      <c r="GG5" s="233"/>
      <c r="GH5" s="233"/>
      <c r="GI5" s="233"/>
      <c r="GJ5" s="233"/>
      <c r="GK5" s="233"/>
      <c r="GL5" s="233"/>
      <c r="GM5" s="233"/>
      <c r="GN5" s="233"/>
      <c r="GO5" s="233"/>
      <c r="GP5" s="229">
        <f>(FX5*FY5*FZ5)+(GA5*GB5*GC5)+(GD5*GE5*GF5)+(GG5*GH5*GI5)+(GJ5*GK5*GL5)+(GM5*GN5*GO5)</f>
        <v>0</v>
      </c>
      <c r="GQ5" s="855"/>
      <c r="GR5" s="118"/>
      <c r="GS5" s="842"/>
      <c r="GT5" s="233"/>
      <c r="GU5" s="233"/>
      <c r="GV5" s="233"/>
      <c r="GW5" s="233"/>
      <c r="GX5" s="233"/>
      <c r="GY5" s="233"/>
      <c r="GZ5" s="233"/>
      <c r="HA5" s="233"/>
      <c r="HB5" s="233"/>
      <c r="HC5" s="233"/>
      <c r="HD5" s="233"/>
      <c r="HE5" s="233"/>
      <c r="HF5" s="233"/>
      <c r="HG5" s="233"/>
      <c r="HH5" s="233"/>
      <c r="HI5" s="233"/>
      <c r="HJ5" s="233"/>
      <c r="HK5" s="233"/>
      <c r="HL5" s="229">
        <f>(GT5*GU5*GV5)+(GW5*GX5*GY5)+(GZ5*HA5*HB5)+(HC5*HD5*HE5)+(HF5*HG5*HH5)+(HI5*HJ5*HK5)</f>
        <v>0</v>
      </c>
      <c r="HM5" s="855"/>
      <c r="HN5" s="118"/>
      <c r="HO5" s="872"/>
      <c r="HP5" s="233"/>
      <c r="HQ5" s="233"/>
      <c r="HR5" s="233"/>
      <c r="HS5" s="233"/>
      <c r="HT5" s="233"/>
      <c r="HU5" s="233"/>
      <c r="HV5" s="233"/>
      <c r="HW5" s="233"/>
      <c r="HX5" s="233"/>
      <c r="HY5" s="233"/>
      <c r="HZ5" s="233"/>
      <c r="IA5" s="233"/>
      <c r="IB5" s="233"/>
      <c r="IC5" s="233"/>
      <c r="ID5" s="233"/>
      <c r="IE5" s="233"/>
      <c r="IF5" s="233"/>
      <c r="IG5" s="233"/>
      <c r="IH5" s="229">
        <f>(HP5*HQ5*HR5)+(HS5*HT5*HU5)+(HV5*HW5*HX5)+(HY5*HZ5*IA5)+(IB5*IC5*ID5)+(IE5*IF5*IG5)</f>
        <v>0</v>
      </c>
      <c r="II5" s="855"/>
      <c r="IK5" s="875"/>
      <c r="IL5" s="233"/>
      <c r="IM5" s="233"/>
      <c r="IN5" s="233"/>
      <c r="IO5" s="233"/>
      <c r="IP5" s="233"/>
      <c r="IQ5" s="233"/>
      <c r="IR5" s="233"/>
      <c r="IS5" s="233"/>
      <c r="IT5" s="233"/>
      <c r="IU5" s="233"/>
      <c r="IV5" s="233"/>
      <c r="IW5" s="233"/>
      <c r="IX5" s="233"/>
      <c r="IY5" s="233"/>
      <c r="IZ5" s="233"/>
      <c r="JA5" s="233"/>
      <c r="JB5" s="233"/>
      <c r="JC5" s="233"/>
      <c r="JD5" s="949"/>
      <c r="JE5" s="229">
        <f>(IL5*IM5*IN5)+(IO5*IP5*IQ5)+(IR5*IS5*IT5)+(IU5*IV5*IW5)+(IX5*IY5*IZ5)+(JA5*JB5*JC5)</f>
        <v>0</v>
      </c>
      <c r="JF5" s="826"/>
      <c r="JH5" s="61">
        <v>3</v>
      </c>
      <c r="JI5" s="62"/>
      <c r="JJ5" s="61">
        <v>3</v>
      </c>
      <c r="JK5" s="62" t="str" cm="1">
        <f t="array" ref="JK5">IF(INDEX(AB:AB, (ROW()-ROW($JK$3))*3 + 3) &lt;&gt; "", "✔", "")</f>
        <v>✔</v>
      </c>
      <c r="JL5" s="61">
        <v>3</v>
      </c>
      <c r="JM5" s="62" t="str" cm="1">
        <f t="array" ref="JM5">IF(INDEX(AU:AU, (ROW()-ROW($JM$3))*3 + 3) &lt;&gt; "", "✔", "")</f>
        <v/>
      </c>
      <c r="JN5" s="124">
        <v>3</v>
      </c>
      <c r="JO5" s="82" t="str" cm="1">
        <f t="array" ref="JO5">IF(INDEX(BN:BN, (ROW()-ROW($BN$3))*3 + 3) &lt;&gt; "", "✔", "")</f>
        <v>✔</v>
      </c>
      <c r="JP5" s="124">
        <v>3</v>
      </c>
      <c r="JQ5" s="82" t="str" cm="1">
        <f t="array" ref="JQ5">IF(INDEX(CG:CG, (ROW()-ROW($CG$3))*3 + 3) &lt;&gt; "", "✔", "")</f>
        <v>✔</v>
      </c>
      <c r="JR5" s="124">
        <v>3</v>
      </c>
      <c r="JS5" s="82" t="str" cm="1">
        <f t="array" ref="JS5">IF(INDEX(CZ:CZ, (ROW()-ROW($CZ$3))*3 + 3) &lt;&gt; "", "✔", "")</f>
        <v/>
      </c>
      <c r="JT5" s="124">
        <v>3</v>
      </c>
      <c r="JU5" s="82" t="str" cm="1">
        <f t="array" ref="JU5">IF(INDEX(DS:DS, (ROW()-ROW($DS$3))*3 + 3) &lt;&gt; "", "✔", "")</f>
        <v/>
      </c>
      <c r="JV5" s="124">
        <v>3</v>
      </c>
      <c r="JW5" s="82" t="str" cm="1">
        <f t="array" ref="JW5">IF(INDEX(EL:EL, (ROW()-ROW($EL$3))*3 + 3) &lt;&gt; "", "✔", "")</f>
        <v/>
      </c>
      <c r="JX5" s="124">
        <v>3</v>
      </c>
      <c r="JY5" s="82" t="str" cm="1">
        <f t="array" ref="JY5">IF(INDEX(FE:FE, (ROW()-ROW($FE$3))*3 + 3) &lt;&gt; "", "✔", "")</f>
        <v>✔</v>
      </c>
      <c r="JZ5" s="124">
        <v>3</v>
      </c>
      <c r="KA5" s="82" t="str" cm="1">
        <f t="array" ref="KA5">IF(INDEX(FX:FX, (ROW()-ROW($FX$3))*3 + 3) &lt;&gt; "", "✔", "")</f>
        <v/>
      </c>
      <c r="KB5" s="124">
        <v>3</v>
      </c>
      <c r="KC5" s="82" t="str" cm="1">
        <f t="array" ref="KC5">IF(INDEX(GT:GT, (ROW()-ROW($GT$3))*3 + 3) &lt;&gt; "", "✔", "")</f>
        <v>✔</v>
      </c>
      <c r="KD5" s="124">
        <v>3</v>
      </c>
      <c r="KE5" s="82" t="str" cm="1">
        <f t="array" ref="KE5">IF(INDEX(HP:HP, (ROW()-ROW($HP$3))*3 + 3) &lt;&gt; "", "✔", "")</f>
        <v/>
      </c>
      <c r="KG5" s="231">
        <v>10</v>
      </c>
      <c r="KH5" s="230">
        <f t="shared" ref="KH5:KH33" si="0">KG5*$KH$3</f>
        <v>4.53592</v>
      </c>
    </row>
    <row r="6" spans="1:294" ht="19.5" thickBot="1">
      <c r="A6" s="927"/>
      <c r="B6" s="921"/>
      <c r="C6" s="97">
        <v>5</v>
      </c>
      <c r="D6" s="98" t="s">
        <v>75</v>
      </c>
      <c r="E6" s="914" t="s">
        <v>76</v>
      </c>
      <c r="F6" s="915"/>
      <c r="H6" s="935">
        <v>45679</v>
      </c>
      <c r="I6" s="844"/>
      <c r="J6" s="844"/>
      <c r="K6" s="844"/>
      <c r="L6" s="844"/>
      <c r="M6" s="844"/>
      <c r="N6" s="844"/>
      <c r="O6" s="844"/>
      <c r="P6" s="844"/>
      <c r="Q6" s="844"/>
      <c r="R6" s="844"/>
      <c r="S6" s="844"/>
      <c r="T6" s="844"/>
      <c r="U6" s="844"/>
      <c r="V6" s="844"/>
      <c r="W6" s="844"/>
      <c r="X6" s="823">
        <f>COUNTA(I6:W6)</f>
        <v>0</v>
      </c>
      <c r="Y6" s="942">
        <v>95.4</v>
      </c>
      <c r="AA6" s="864">
        <v>45690</v>
      </c>
      <c r="AB6" s="844"/>
      <c r="AC6" s="844"/>
      <c r="AD6" s="844"/>
      <c r="AE6" s="844"/>
      <c r="AF6" s="844"/>
      <c r="AG6" s="844"/>
      <c r="AH6" s="844"/>
      <c r="AI6" s="844"/>
      <c r="AJ6" s="844"/>
      <c r="AK6" s="844"/>
      <c r="AL6" s="844"/>
      <c r="AM6" s="844"/>
      <c r="AN6" s="844"/>
      <c r="AO6" s="844"/>
      <c r="AP6" s="844"/>
      <c r="AQ6" s="823">
        <f>COUNTA(AB6:AP6)</f>
        <v>0</v>
      </c>
      <c r="AR6" s="855">
        <f>AR3</f>
        <v>94.6</v>
      </c>
      <c r="AT6" s="864">
        <v>45718</v>
      </c>
      <c r="AU6" s="848" t="s">
        <v>77</v>
      </c>
      <c r="AV6" s="848"/>
      <c r="AW6" s="848"/>
      <c r="AX6" s="849" t="s">
        <v>72</v>
      </c>
      <c r="AY6" s="849"/>
      <c r="AZ6" s="849"/>
      <c r="BA6" s="879" t="s">
        <v>78</v>
      </c>
      <c r="BB6" s="880"/>
      <c r="BC6" s="881"/>
      <c r="BD6" s="849" t="s">
        <v>70</v>
      </c>
      <c r="BE6" s="849"/>
      <c r="BF6" s="849"/>
      <c r="BG6" s="844"/>
      <c r="BH6" s="844"/>
      <c r="BI6" s="844"/>
      <c r="BJ6" s="823">
        <f>COUNTA(AU6:BI6)</f>
        <v>4</v>
      </c>
      <c r="BK6" s="855">
        <v>90.8</v>
      </c>
      <c r="BL6" s="118"/>
      <c r="BM6" s="845">
        <v>45749</v>
      </c>
      <c r="BN6" s="849" t="s">
        <v>79</v>
      </c>
      <c r="BO6" s="849"/>
      <c r="BP6" s="849"/>
      <c r="BQ6" s="886" t="s">
        <v>80</v>
      </c>
      <c r="BR6" s="886"/>
      <c r="BS6" s="886"/>
      <c r="BT6" s="886" t="s">
        <v>81</v>
      </c>
      <c r="BU6" s="886"/>
      <c r="BV6" s="886"/>
      <c r="BW6" s="886" t="s">
        <v>82</v>
      </c>
      <c r="BX6" s="886"/>
      <c r="BY6" s="886"/>
      <c r="BZ6" s="844"/>
      <c r="CA6" s="844"/>
      <c r="CB6" s="844"/>
      <c r="CC6" s="823">
        <f>COUNTA(BN6:CB6)</f>
        <v>4</v>
      </c>
      <c r="CD6" s="855">
        <v>88</v>
      </c>
      <c r="CF6" s="876">
        <v>45779</v>
      </c>
      <c r="CG6" s="849" t="s">
        <v>70</v>
      </c>
      <c r="CH6" s="849"/>
      <c r="CI6" s="849"/>
      <c r="CJ6" s="859"/>
      <c r="CK6" s="859"/>
      <c r="CL6" s="859"/>
      <c r="CM6" s="844"/>
      <c r="CN6" s="844"/>
      <c r="CO6" s="844"/>
      <c r="CP6" s="844"/>
      <c r="CQ6" s="844"/>
      <c r="CR6" s="844"/>
      <c r="CS6" s="844"/>
      <c r="CT6" s="844"/>
      <c r="CU6" s="844"/>
      <c r="CV6" s="823">
        <f>COUNTA(CG6:CU6)</f>
        <v>1</v>
      </c>
      <c r="CW6" s="855">
        <v>85.5</v>
      </c>
      <c r="CX6" s="118"/>
      <c r="CY6" s="870">
        <v>45810</v>
      </c>
      <c r="CZ6" s="859"/>
      <c r="DA6" s="859"/>
      <c r="DB6" s="859"/>
      <c r="DC6" s="859"/>
      <c r="DD6" s="859"/>
      <c r="DE6" s="859"/>
      <c r="DF6" s="844"/>
      <c r="DG6" s="844"/>
      <c r="DH6" s="844"/>
      <c r="DI6" s="844"/>
      <c r="DJ6" s="844"/>
      <c r="DK6" s="844"/>
      <c r="DL6" s="844"/>
      <c r="DM6" s="844"/>
      <c r="DN6" s="844"/>
      <c r="DO6" s="823">
        <f>COUNTA(CZ6:DN6)</f>
        <v>0</v>
      </c>
      <c r="DP6" s="855">
        <f>DP3</f>
        <v>83.6</v>
      </c>
      <c r="DR6" s="845">
        <v>45840</v>
      </c>
      <c r="DS6" s="859"/>
      <c r="DT6" s="859"/>
      <c r="DU6" s="859"/>
      <c r="DV6" s="859"/>
      <c r="DW6" s="859"/>
      <c r="DX6" s="859"/>
      <c r="DY6" s="844"/>
      <c r="DZ6" s="844"/>
      <c r="EA6" s="844"/>
      <c r="EB6" s="844"/>
      <c r="EC6" s="844"/>
      <c r="ED6" s="844"/>
      <c r="EE6" s="844"/>
      <c r="EF6" s="844"/>
      <c r="EG6" s="844"/>
      <c r="EH6" s="823">
        <f>COUNTA(DS6:EG6)</f>
        <v>0</v>
      </c>
      <c r="EI6" s="855">
        <f>EI3</f>
        <v>82</v>
      </c>
      <c r="EK6" s="840">
        <v>45871</v>
      </c>
      <c r="EL6" s="844"/>
      <c r="EM6" s="844"/>
      <c r="EN6" s="844"/>
      <c r="EO6" s="844"/>
      <c r="EP6" s="844"/>
      <c r="EQ6" s="844"/>
      <c r="ER6" s="844"/>
      <c r="ES6" s="844"/>
      <c r="ET6" s="844"/>
      <c r="EU6" s="844"/>
      <c r="EV6" s="844"/>
      <c r="EW6" s="844"/>
      <c r="EX6" s="844"/>
      <c r="EY6" s="844"/>
      <c r="EZ6" s="844"/>
      <c r="FA6" s="823">
        <f>COUNTA(EL6:EZ6)</f>
        <v>0</v>
      </c>
      <c r="FB6" s="855">
        <f>FB3</f>
        <v>80.3</v>
      </c>
      <c r="FD6" s="856">
        <v>45902</v>
      </c>
      <c r="FE6" s="882" t="s">
        <v>83</v>
      </c>
      <c r="FF6" s="883"/>
      <c r="FG6" s="884"/>
      <c r="FH6" s="890" t="s">
        <v>84</v>
      </c>
      <c r="FI6" s="890"/>
      <c r="FJ6" s="890"/>
      <c r="FK6" s="882" t="s">
        <v>85</v>
      </c>
      <c r="FL6" s="883"/>
      <c r="FM6" s="884"/>
      <c r="FN6" s="844"/>
      <c r="FO6" s="844"/>
      <c r="FP6" s="844"/>
      <c r="FQ6" s="844"/>
      <c r="FR6" s="844"/>
      <c r="FS6" s="844"/>
      <c r="FT6" s="823">
        <f>COUNTA(FE6:FS6)</f>
        <v>3</v>
      </c>
      <c r="FU6" s="855">
        <v>79.7</v>
      </c>
      <c r="FW6" s="873">
        <v>45932</v>
      </c>
      <c r="FX6" s="834"/>
      <c r="FY6" s="835"/>
      <c r="FZ6" s="836"/>
      <c r="GA6" s="843"/>
      <c r="GB6" s="843"/>
      <c r="GC6" s="843"/>
      <c r="GD6" s="834"/>
      <c r="GE6" s="835"/>
      <c r="GF6" s="836"/>
      <c r="GG6" s="844"/>
      <c r="GH6" s="844"/>
      <c r="GI6" s="844"/>
      <c r="GJ6" s="844"/>
      <c r="GK6" s="844"/>
      <c r="GL6" s="844"/>
      <c r="GM6" s="844"/>
      <c r="GN6" s="844"/>
      <c r="GO6" s="844"/>
      <c r="GP6" s="823">
        <f>COUNTA(FX6:GO6)</f>
        <v>0</v>
      </c>
      <c r="GQ6" s="855">
        <f>GQ3</f>
        <v>79</v>
      </c>
      <c r="GR6" s="118"/>
      <c r="GS6" s="864">
        <v>45963</v>
      </c>
      <c r="GT6" s="848" t="s">
        <v>86</v>
      </c>
      <c r="GU6" s="848"/>
      <c r="GV6" s="848"/>
      <c r="GW6" s="849" t="s">
        <v>38</v>
      </c>
      <c r="GX6" s="849"/>
      <c r="GY6" s="849"/>
      <c r="GZ6" s="887" t="s">
        <v>87</v>
      </c>
      <c r="HA6" s="888"/>
      <c r="HB6" s="889"/>
      <c r="HC6" s="897" t="s">
        <v>88</v>
      </c>
      <c r="HD6" s="898"/>
      <c r="HE6" s="899"/>
      <c r="HF6" s="834"/>
      <c r="HG6" s="835"/>
      <c r="HH6" s="836"/>
      <c r="HI6" s="834"/>
      <c r="HJ6" s="835"/>
      <c r="HK6" s="836"/>
      <c r="HL6" s="823">
        <f>COUNTA(GT6:HK6)</f>
        <v>4</v>
      </c>
      <c r="HM6" s="855">
        <f>HM3</f>
        <v>78.099999999999994</v>
      </c>
      <c r="HN6" s="118"/>
      <c r="HO6" s="856">
        <v>45993</v>
      </c>
      <c r="HP6" s="849" t="s">
        <v>89</v>
      </c>
      <c r="HQ6" s="849"/>
      <c r="HR6" s="849"/>
      <c r="HS6" s="891" t="s">
        <v>85</v>
      </c>
      <c r="HT6" s="892"/>
      <c r="HU6" s="893"/>
      <c r="HV6" s="834"/>
      <c r="HW6" s="835"/>
      <c r="HX6" s="836"/>
      <c r="HY6" s="844"/>
      <c r="HZ6" s="844"/>
      <c r="IA6" s="844"/>
      <c r="IB6" s="844"/>
      <c r="IC6" s="844"/>
      <c r="ID6" s="844"/>
      <c r="IE6" s="834"/>
      <c r="IF6" s="835"/>
      <c r="IG6" s="836"/>
      <c r="IH6" s="823">
        <f>COUNTA(HP6:IG6)</f>
        <v>2</v>
      </c>
      <c r="II6" s="855">
        <v>78.099999999999994</v>
      </c>
      <c r="IK6" s="876">
        <v>46024</v>
      </c>
      <c r="IL6" s="859"/>
      <c r="IM6" s="859"/>
      <c r="IN6" s="859"/>
      <c r="IO6" s="950"/>
      <c r="IP6" s="951"/>
      <c r="IQ6" s="952"/>
      <c r="IR6" s="834"/>
      <c r="IS6" s="835"/>
      <c r="IT6" s="836"/>
      <c r="IU6" s="844"/>
      <c r="IV6" s="844"/>
      <c r="IW6" s="844"/>
      <c r="IX6" s="844"/>
      <c r="IY6" s="844"/>
      <c r="IZ6" s="844"/>
      <c r="JA6" s="834"/>
      <c r="JB6" s="835"/>
      <c r="JC6" s="836"/>
      <c r="JD6" s="232" t="s">
        <v>425</v>
      </c>
      <c r="JE6" s="823">
        <f>COUNTA(IL6:JC6)</f>
        <v>0</v>
      </c>
      <c r="JF6" s="855">
        <f>JF3</f>
        <v>76.900000000000006</v>
      </c>
      <c r="JH6" s="58">
        <v>4</v>
      </c>
      <c r="JI6" s="59" t="s">
        <v>54</v>
      </c>
      <c r="JJ6" s="61">
        <v>4</v>
      </c>
      <c r="JK6" s="62" t="str" cm="1">
        <f t="array" ref="JK6">IF(INDEX(AB:AB, (ROW()-ROW($JK$3))*3 + 3) &lt;&gt; "", "✔", "")</f>
        <v/>
      </c>
      <c r="JL6" s="61">
        <v>4</v>
      </c>
      <c r="JM6" s="62" t="str" cm="1">
        <f t="array" ref="JM6">IF(INDEX(AU:AU, (ROW()-ROW($JM$3))*3 + 3) &lt;&gt; "", "✔", "")</f>
        <v>✔</v>
      </c>
      <c r="JN6" s="61">
        <v>4</v>
      </c>
      <c r="JO6" s="62" t="str" cm="1">
        <f t="array" ref="JO6">IF(INDEX(BN:BN, (ROW()-ROW($BN$3))*3 + 3) &lt;&gt; "", "✔", "")</f>
        <v/>
      </c>
      <c r="JP6" s="61">
        <v>4</v>
      </c>
      <c r="JQ6" s="62" t="str" cm="1">
        <f t="array" ref="JQ6">IF(INDEX(CG:CG, (ROW()-ROW($CG$3))*3 + 3) &lt;&gt; "", "✔", "")</f>
        <v>✔</v>
      </c>
      <c r="JR6" s="61">
        <v>4</v>
      </c>
      <c r="JS6" s="62" t="str" cm="1">
        <f t="array" ref="JS6">IF(INDEX(CZ:CZ, (ROW()-ROW($CZ$3))*3 + 3) &lt;&gt; "", "✔", "")</f>
        <v>✔</v>
      </c>
      <c r="JT6" s="61">
        <v>4</v>
      </c>
      <c r="JU6" s="62" t="str" cm="1">
        <f t="array" ref="JU6">IF(INDEX(DS:DS, (ROW()-ROW($DS$3))*3 + 3) &lt;&gt; "", "✔", "")</f>
        <v/>
      </c>
      <c r="JV6" s="61">
        <v>4</v>
      </c>
      <c r="JW6" s="62" t="str" cm="1">
        <f t="array" ref="JW6">IF(INDEX(EL:EL, (ROW()-ROW($EL$3))*3 + 3) &lt;&gt; "", "✔", "")</f>
        <v>✔</v>
      </c>
      <c r="JX6" s="61">
        <v>4</v>
      </c>
      <c r="JY6" s="62" t="str" cm="1">
        <f t="array" ref="JY6">IF(INDEX(FE:FE, (ROW()-ROW($FE$3))*3 + 3) &lt;&gt; "", "✔", "")</f>
        <v/>
      </c>
      <c r="JZ6" s="61">
        <v>4</v>
      </c>
      <c r="KA6" s="62" t="str" cm="1">
        <f t="array" ref="KA6">IF(INDEX(FX:FX, (ROW()-ROW($FX$3))*3 + 3) &lt;&gt; "", "✔", "")</f>
        <v>✔</v>
      </c>
      <c r="KB6" s="61">
        <v>4</v>
      </c>
      <c r="KC6" s="62" t="str" cm="1">
        <f t="array" ref="KC6">IF(INDEX(GT:GT, (ROW()-ROW($GT$3))*3 + 3) &lt;&gt; "", "✔", "")</f>
        <v>✔</v>
      </c>
      <c r="KD6" s="61">
        <v>4</v>
      </c>
      <c r="KE6" s="62" t="str" cm="1">
        <f t="array" ref="KE6">IF(INDEX(HP:HP, (ROW()-ROW($HP$3))*3 + 3) &lt;&gt; "", "✔", "")</f>
        <v>✔</v>
      </c>
      <c r="KG6" s="231">
        <v>15</v>
      </c>
      <c r="KH6" s="230">
        <f t="shared" si="0"/>
        <v>6.8038799999999995</v>
      </c>
    </row>
    <row r="7" spans="1:294">
      <c r="A7" s="928" t="s">
        <v>29</v>
      </c>
      <c r="B7" s="919" t="s">
        <v>90</v>
      </c>
      <c r="C7" s="89">
        <v>1</v>
      </c>
      <c r="D7" s="99" t="s">
        <v>72</v>
      </c>
      <c r="E7" s="91">
        <v>4</v>
      </c>
      <c r="F7" s="92">
        <v>8</v>
      </c>
      <c r="H7" s="935"/>
      <c r="I7" s="107" t="s">
        <v>59</v>
      </c>
      <c r="J7" s="107" t="s">
        <v>73</v>
      </c>
      <c r="K7" s="108" t="s">
        <v>4</v>
      </c>
      <c r="L7" s="107" t="s">
        <v>59</v>
      </c>
      <c r="M7" s="107" t="s">
        <v>73</v>
      </c>
      <c r="N7" s="108" t="s">
        <v>4</v>
      </c>
      <c r="O7" s="107" t="s">
        <v>59</v>
      </c>
      <c r="P7" s="107" t="s">
        <v>73</v>
      </c>
      <c r="Q7" s="108" t="s">
        <v>4</v>
      </c>
      <c r="R7" s="107" t="s">
        <v>59</v>
      </c>
      <c r="S7" s="107" t="s">
        <v>73</v>
      </c>
      <c r="T7" s="108" t="s">
        <v>4</v>
      </c>
      <c r="U7" s="107" t="s">
        <v>59</v>
      </c>
      <c r="V7" s="107" t="s">
        <v>73</v>
      </c>
      <c r="W7" s="108" t="s">
        <v>4</v>
      </c>
      <c r="X7" s="823"/>
      <c r="Y7" s="942"/>
      <c r="AA7" s="865"/>
      <c r="AB7" s="107" t="s">
        <v>59</v>
      </c>
      <c r="AC7" s="107" t="s">
        <v>73</v>
      </c>
      <c r="AD7" s="108" t="s">
        <v>4</v>
      </c>
      <c r="AE7" s="107" t="s">
        <v>59</v>
      </c>
      <c r="AF7" s="107" t="s">
        <v>73</v>
      </c>
      <c r="AG7" s="108" t="s">
        <v>4</v>
      </c>
      <c r="AH7" s="107" t="s">
        <v>59</v>
      </c>
      <c r="AI7" s="107" t="s">
        <v>73</v>
      </c>
      <c r="AJ7" s="108" t="s">
        <v>4</v>
      </c>
      <c r="AK7" s="107" t="s">
        <v>59</v>
      </c>
      <c r="AL7" s="107" t="s">
        <v>73</v>
      </c>
      <c r="AM7" s="108" t="s">
        <v>4</v>
      </c>
      <c r="AN7" s="107" t="s">
        <v>59</v>
      </c>
      <c r="AO7" s="107" t="s">
        <v>73</v>
      </c>
      <c r="AP7" s="108" t="s">
        <v>4</v>
      </c>
      <c r="AQ7" s="823"/>
      <c r="AR7" s="855"/>
      <c r="AT7" s="865"/>
      <c r="AU7" s="231" t="s">
        <v>59</v>
      </c>
      <c r="AV7" s="231" t="s">
        <v>73</v>
      </c>
      <c r="AW7" s="102" t="s">
        <v>4</v>
      </c>
      <c r="AX7" s="231" t="s">
        <v>59</v>
      </c>
      <c r="AY7" s="231" t="s">
        <v>73</v>
      </c>
      <c r="AZ7" s="102" t="s">
        <v>4</v>
      </c>
      <c r="BA7" s="231" t="s">
        <v>59</v>
      </c>
      <c r="BB7" s="231" t="s">
        <v>73</v>
      </c>
      <c r="BC7" s="102" t="s">
        <v>4</v>
      </c>
      <c r="BD7" s="231" t="s">
        <v>59</v>
      </c>
      <c r="BE7" s="231" t="s">
        <v>73</v>
      </c>
      <c r="BF7" s="102" t="s">
        <v>4</v>
      </c>
      <c r="BG7" s="107" t="s">
        <v>59</v>
      </c>
      <c r="BH7" s="107" t="s">
        <v>73</v>
      </c>
      <c r="BI7" s="108" t="s">
        <v>4</v>
      </c>
      <c r="BJ7" s="823"/>
      <c r="BK7" s="855"/>
      <c r="BL7" s="118"/>
      <c r="BM7" s="846"/>
      <c r="BN7" s="231" t="s">
        <v>59</v>
      </c>
      <c r="BO7" s="231" t="s">
        <v>73</v>
      </c>
      <c r="BP7" s="102" t="s">
        <v>4</v>
      </c>
      <c r="BQ7" s="231" t="s">
        <v>59</v>
      </c>
      <c r="BR7" s="231" t="s">
        <v>73</v>
      </c>
      <c r="BS7" s="102" t="s">
        <v>4</v>
      </c>
      <c r="BT7" s="231" t="s">
        <v>59</v>
      </c>
      <c r="BU7" s="231" t="s">
        <v>73</v>
      </c>
      <c r="BV7" s="102" t="s">
        <v>4</v>
      </c>
      <c r="BW7" s="231" t="s">
        <v>59</v>
      </c>
      <c r="BX7" s="231" t="s">
        <v>73</v>
      </c>
      <c r="BY7" s="102" t="s">
        <v>4</v>
      </c>
      <c r="BZ7" s="107" t="s">
        <v>59</v>
      </c>
      <c r="CA7" s="107" t="s">
        <v>73</v>
      </c>
      <c r="CB7" s="108" t="s">
        <v>4</v>
      </c>
      <c r="CC7" s="823"/>
      <c r="CD7" s="855"/>
      <c r="CF7" s="877"/>
      <c r="CG7" s="231" t="s">
        <v>59</v>
      </c>
      <c r="CH7" s="231" t="s">
        <v>73</v>
      </c>
      <c r="CI7" s="102" t="s">
        <v>4</v>
      </c>
      <c r="CJ7" s="107" t="s">
        <v>59</v>
      </c>
      <c r="CK7" s="107" t="s">
        <v>73</v>
      </c>
      <c r="CL7" s="108" t="s">
        <v>4</v>
      </c>
      <c r="CM7" s="107" t="s">
        <v>59</v>
      </c>
      <c r="CN7" s="107" t="s">
        <v>73</v>
      </c>
      <c r="CO7" s="108" t="s">
        <v>4</v>
      </c>
      <c r="CP7" s="107" t="s">
        <v>59</v>
      </c>
      <c r="CQ7" s="107" t="s">
        <v>73</v>
      </c>
      <c r="CR7" s="108" t="s">
        <v>4</v>
      </c>
      <c r="CS7" s="107" t="s">
        <v>59</v>
      </c>
      <c r="CT7" s="107" t="s">
        <v>73</v>
      </c>
      <c r="CU7" s="108" t="s">
        <v>4</v>
      </c>
      <c r="CV7" s="823"/>
      <c r="CW7" s="855"/>
      <c r="CX7" s="118"/>
      <c r="CY7" s="871"/>
      <c r="CZ7" s="107" t="s">
        <v>59</v>
      </c>
      <c r="DA7" s="107" t="s">
        <v>73</v>
      </c>
      <c r="DB7" s="108" t="s">
        <v>4</v>
      </c>
      <c r="DC7" s="107" t="s">
        <v>59</v>
      </c>
      <c r="DD7" s="107" t="s">
        <v>73</v>
      </c>
      <c r="DE7" s="108" t="s">
        <v>4</v>
      </c>
      <c r="DF7" s="107" t="s">
        <v>59</v>
      </c>
      <c r="DG7" s="107" t="s">
        <v>73</v>
      </c>
      <c r="DH7" s="108" t="s">
        <v>4</v>
      </c>
      <c r="DI7" s="107" t="s">
        <v>59</v>
      </c>
      <c r="DJ7" s="107" t="s">
        <v>73</v>
      </c>
      <c r="DK7" s="108" t="s">
        <v>4</v>
      </c>
      <c r="DL7" s="107" t="s">
        <v>59</v>
      </c>
      <c r="DM7" s="107" t="s">
        <v>73</v>
      </c>
      <c r="DN7" s="108" t="s">
        <v>4</v>
      </c>
      <c r="DO7" s="823"/>
      <c r="DP7" s="855"/>
      <c r="DR7" s="846"/>
      <c r="DS7" s="107" t="s">
        <v>59</v>
      </c>
      <c r="DT7" s="107" t="s">
        <v>73</v>
      </c>
      <c r="DU7" s="108" t="s">
        <v>4</v>
      </c>
      <c r="DV7" s="107" t="s">
        <v>59</v>
      </c>
      <c r="DW7" s="107" t="s">
        <v>73</v>
      </c>
      <c r="DX7" s="108" t="s">
        <v>4</v>
      </c>
      <c r="DY7" s="107" t="s">
        <v>59</v>
      </c>
      <c r="DZ7" s="107" t="s">
        <v>73</v>
      </c>
      <c r="EA7" s="108" t="s">
        <v>4</v>
      </c>
      <c r="EB7" s="107" t="s">
        <v>59</v>
      </c>
      <c r="EC7" s="107" t="s">
        <v>73</v>
      </c>
      <c r="ED7" s="108" t="s">
        <v>4</v>
      </c>
      <c r="EE7" s="107" t="s">
        <v>59</v>
      </c>
      <c r="EF7" s="107" t="s">
        <v>73</v>
      </c>
      <c r="EG7" s="108" t="s">
        <v>4</v>
      </c>
      <c r="EH7" s="823"/>
      <c r="EI7" s="855"/>
      <c r="EK7" s="841"/>
      <c r="EL7" s="107" t="s">
        <v>59</v>
      </c>
      <c r="EM7" s="107" t="s">
        <v>73</v>
      </c>
      <c r="EN7" s="108" t="s">
        <v>4</v>
      </c>
      <c r="EO7" s="107" t="s">
        <v>59</v>
      </c>
      <c r="EP7" s="107" t="s">
        <v>73</v>
      </c>
      <c r="EQ7" s="108" t="s">
        <v>4</v>
      </c>
      <c r="ER7" s="107" t="s">
        <v>59</v>
      </c>
      <c r="ES7" s="107" t="s">
        <v>73</v>
      </c>
      <c r="ET7" s="108" t="s">
        <v>4</v>
      </c>
      <c r="EU7" s="107" t="s">
        <v>59</v>
      </c>
      <c r="EV7" s="107" t="s">
        <v>73</v>
      </c>
      <c r="EW7" s="108" t="s">
        <v>4</v>
      </c>
      <c r="EX7" s="107" t="s">
        <v>59</v>
      </c>
      <c r="EY7" s="107" t="s">
        <v>73</v>
      </c>
      <c r="EZ7" s="108" t="s">
        <v>4</v>
      </c>
      <c r="FA7" s="823"/>
      <c r="FB7" s="855"/>
      <c r="FD7" s="857"/>
      <c r="FE7" s="231" t="s">
        <v>59</v>
      </c>
      <c r="FF7" s="231" t="s">
        <v>73</v>
      </c>
      <c r="FG7" s="102" t="s">
        <v>4</v>
      </c>
      <c r="FH7" s="231" t="s">
        <v>59</v>
      </c>
      <c r="FI7" s="231" t="s">
        <v>73</v>
      </c>
      <c r="FJ7" s="102" t="s">
        <v>4</v>
      </c>
      <c r="FK7" s="231" t="s">
        <v>59</v>
      </c>
      <c r="FL7" s="231" t="s">
        <v>73</v>
      </c>
      <c r="FM7" s="102" t="s">
        <v>4</v>
      </c>
      <c r="FN7" s="107" t="s">
        <v>59</v>
      </c>
      <c r="FO7" s="107" t="s">
        <v>73</v>
      </c>
      <c r="FP7" s="108" t="s">
        <v>4</v>
      </c>
      <c r="FQ7" s="107" t="s">
        <v>59</v>
      </c>
      <c r="FR7" s="107" t="s">
        <v>73</v>
      </c>
      <c r="FS7" s="108" t="s">
        <v>4</v>
      </c>
      <c r="FT7" s="823"/>
      <c r="FU7" s="855"/>
      <c r="FW7" s="874"/>
      <c r="FX7" s="107" t="s">
        <v>59</v>
      </c>
      <c r="FY7" s="107" t="s">
        <v>73</v>
      </c>
      <c r="FZ7" s="108" t="s">
        <v>4</v>
      </c>
      <c r="GA7" s="107" t="s">
        <v>59</v>
      </c>
      <c r="GB7" s="107" t="s">
        <v>73</v>
      </c>
      <c r="GC7" s="108" t="s">
        <v>4</v>
      </c>
      <c r="GD7" s="107" t="s">
        <v>59</v>
      </c>
      <c r="GE7" s="107" t="s">
        <v>73</v>
      </c>
      <c r="GF7" s="108" t="s">
        <v>4</v>
      </c>
      <c r="GG7" s="107" t="s">
        <v>59</v>
      </c>
      <c r="GH7" s="107" t="s">
        <v>73</v>
      </c>
      <c r="GI7" s="108" t="s">
        <v>4</v>
      </c>
      <c r="GJ7" s="107" t="s">
        <v>59</v>
      </c>
      <c r="GK7" s="107" t="s">
        <v>73</v>
      </c>
      <c r="GL7" s="108" t="s">
        <v>4</v>
      </c>
      <c r="GM7" s="107" t="s">
        <v>59</v>
      </c>
      <c r="GN7" s="107" t="s">
        <v>73</v>
      </c>
      <c r="GO7" s="108" t="s">
        <v>4</v>
      </c>
      <c r="GP7" s="823"/>
      <c r="GQ7" s="855"/>
      <c r="GR7" s="118"/>
      <c r="GS7" s="865"/>
      <c r="GT7" s="231" t="s">
        <v>59</v>
      </c>
      <c r="GU7" s="231" t="s">
        <v>73</v>
      </c>
      <c r="GV7" s="102" t="s">
        <v>4</v>
      </c>
      <c r="GW7" s="231" t="s">
        <v>59</v>
      </c>
      <c r="GX7" s="231" t="s">
        <v>73</v>
      </c>
      <c r="GY7" s="102" t="s">
        <v>4</v>
      </c>
      <c r="GZ7" s="231" t="s">
        <v>59</v>
      </c>
      <c r="HA7" s="231" t="s">
        <v>73</v>
      </c>
      <c r="HB7" s="102" t="s">
        <v>4</v>
      </c>
      <c r="HC7" s="231" t="s">
        <v>59</v>
      </c>
      <c r="HD7" s="231" t="s">
        <v>73</v>
      </c>
      <c r="HE7" s="102" t="s">
        <v>4</v>
      </c>
      <c r="HF7" s="107" t="s">
        <v>59</v>
      </c>
      <c r="HG7" s="107" t="s">
        <v>73</v>
      </c>
      <c r="HH7" s="108" t="s">
        <v>4</v>
      </c>
      <c r="HI7" s="107" t="s">
        <v>59</v>
      </c>
      <c r="HJ7" s="107" t="s">
        <v>73</v>
      </c>
      <c r="HK7" s="108" t="s">
        <v>4</v>
      </c>
      <c r="HL7" s="823"/>
      <c r="HM7" s="855"/>
      <c r="HN7" s="118"/>
      <c r="HO7" s="857"/>
      <c r="HP7" s="231" t="s">
        <v>59</v>
      </c>
      <c r="HQ7" s="231" t="s">
        <v>73</v>
      </c>
      <c r="HR7" s="102" t="s">
        <v>4</v>
      </c>
      <c r="HS7" s="231" t="s">
        <v>59</v>
      </c>
      <c r="HT7" s="231" t="s">
        <v>73</v>
      </c>
      <c r="HU7" s="102" t="s">
        <v>4</v>
      </c>
      <c r="HV7" s="107" t="s">
        <v>59</v>
      </c>
      <c r="HW7" s="107" t="s">
        <v>73</v>
      </c>
      <c r="HX7" s="108" t="s">
        <v>4</v>
      </c>
      <c r="HY7" s="107" t="s">
        <v>59</v>
      </c>
      <c r="HZ7" s="107" t="s">
        <v>73</v>
      </c>
      <c r="IA7" s="108" t="s">
        <v>4</v>
      </c>
      <c r="IB7" s="107" t="s">
        <v>59</v>
      </c>
      <c r="IC7" s="107" t="s">
        <v>73</v>
      </c>
      <c r="ID7" s="108" t="s">
        <v>4</v>
      </c>
      <c r="IE7" s="107" t="s">
        <v>59</v>
      </c>
      <c r="IF7" s="107" t="s">
        <v>73</v>
      </c>
      <c r="IG7" s="108" t="s">
        <v>4</v>
      </c>
      <c r="IH7" s="823"/>
      <c r="II7" s="855"/>
      <c r="IK7" s="877"/>
      <c r="IL7" s="107"/>
      <c r="IM7" s="107"/>
      <c r="IN7" s="108"/>
      <c r="IO7" s="107"/>
      <c r="IP7" s="107"/>
      <c r="IQ7" s="108"/>
      <c r="IR7" s="107"/>
      <c r="IS7" s="107"/>
      <c r="IT7" s="108"/>
      <c r="IU7" s="107"/>
      <c r="IV7" s="107"/>
      <c r="IW7" s="108"/>
      <c r="IX7" s="107"/>
      <c r="IY7" s="107"/>
      <c r="IZ7" s="108"/>
      <c r="JA7" s="107"/>
      <c r="JB7" s="107"/>
      <c r="JC7" s="108"/>
      <c r="JD7" s="948"/>
      <c r="JE7" s="823"/>
      <c r="JF7" s="855"/>
      <c r="JH7" s="61">
        <v>5</v>
      </c>
      <c r="JI7" s="62" t="s">
        <v>54</v>
      </c>
      <c r="JJ7" s="58">
        <v>5</v>
      </c>
      <c r="JK7" s="59" t="str" cm="1">
        <f t="array" ref="JK7">IF(INDEX(AB:AB, (ROW()-ROW($JK$3))*3 + 3) &lt;&gt; "", "✔", "")</f>
        <v/>
      </c>
      <c r="JL7" s="58">
        <v>5</v>
      </c>
      <c r="JM7" s="59" t="str" cm="1">
        <f t="array" ref="JM7">IF(INDEX(AU:AU, (ROW()-ROW($JM$3))*3 + 3) &lt;&gt; "", "✔", "")</f>
        <v/>
      </c>
      <c r="JN7" s="124">
        <v>5</v>
      </c>
      <c r="JO7" s="82" t="str" cm="1">
        <f t="array" ref="JO7">IF(INDEX(BN:BN, (ROW()-ROW($BN$3))*3 + 3) &lt;&gt; "", "✔", "")</f>
        <v>✔</v>
      </c>
      <c r="JP7" s="124">
        <v>5</v>
      </c>
      <c r="JQ7" s="82" t="str" cm="1">
        <f t="array" ref="JQ7">IF(INDEX(CG:CG, (ROW()-ROW($CG$3))*3 + 3) &lt;&gt; "", "✔", "")</f>
        <v/>
      </c>
      <c r="JR7" s="124">
        <v>5</v>
      </c>
      <c r="JS7" s="82" t="str" cm="1">
        <f t="array" ref="JS7">IF(INDEX(CZ:CZ, (ROW()-ROW($CZ$3))*3 + 3) &lt;&gt; "", "✔", "")</f>
        <v/>
      </c>
      <c r="JT7" s="124">
        <v>5</v>
      </c>
      <c r="JU7" s="82" t="str" cm="1">
        <f t="array" ref="JU7">IF(INDEX(DS:DS, (ROW()-ROW($DS$3))*3 + 3) &lt;&gt; "", "✔", "")</f>
        <v>✔</v>
      </c>
      <c r="JV7" s="124">
        <v>5</v>
      </c>
      <c r="JW7" s="82" t="str" cm="1">
        <f t="array" ref="JW7">IF(INDEX(EL:EL, (ROW()-ROW($EL$3))*3 + 3) &lt;&gt; "", "✔", "")</f>
        <v>✔</v>
      </c>
      <c r="JX7" s="124">
        <v>5</v>
      </c>
      <c r="JY7" s="82" t="str" cm="1">
        <f t="array" ref="JY7">IF(INDEX(FE:FE, (ROW()-ROW($FE$3))*3 + 3) &lt;&gt; "", "✔", "")</f>
        <v>✔</v>
      </c>
      <c r="JZ7" s="124">
        <v>5</v>
      </c>
      <c r="KA7" s="82" t="str" cm="1">
        <f t="array" ref="KA7">IF(INDEX(FX:FX, (ROW()-ROW($FX$3))*3 + 3) &lt;&gt; "", "✔", "")</f>
        <v>✔</v>
      </c>
      <c r="KB7" s="124">
        <v>5</v>
      </c>
      <c r="KC7" s="82" t="str" cm="1">
        <f t="array" ref="KC7">IF(INDEX(GT:GT, (ROW()-ROW($GT$3))*3 + 3) &lt;&gt; "", "✔", "")</f>
        <v/>
      </c>
      <c r="KD7" s="124">
        <v>5</v>
      </c>
      <c r="KE7" s="82" t="str" cm="1">
        <f t="array" ref="KE7">IF(INDEX(HP:HP, (ROW()-ROW($HP$3))*3 + 3) &lt;&gt; "", "✔", "")</f>
        <v/>
      </c>
      <c r="KG7" s="231">
        <v>20</v>
      </c>
      <c r="KH7" s="230">
        <f t="shared" si="0"/>
        <v>9.0718399999999999</v>
      </c>
    </row>
    <row r="8" spans="1:294">
      <c r="A8" s="929"/>
      <c r="B8" s="920"/>
      <c r="C8" s="93">
        <v>2</v>
      </c>
      <c r="D8" s="94" t="s">
        <v>91</v>
      </c>
      <c r="E8" s="95">
        <v>4</v>
      </c>
      <c r="F8" s="96">
        <v>8</v>
      </c>
      <c r="H8" s="935"/>
      <c r="I8" s="233"/>
      <c r="J8" s="233"/>
      <c r="K8" s="233"/>
      <c r="L8" s="233"/>
      <c r="M8" s="233"/>
      <c r="N8" s="233"/>
      <c r="O8" s="233"/>
      <c r="P8" s="233"/>
      <c r="Q8" s="233"/>
      <c r="R8" s="233"/>
      <c r="S8" s="233"/>
      <c r="T8" s="233"/>
      <c r="U8" s="233"/>
      <c r="V8" s="233"/>
      <c r="W8" s="233"/>
      <c r="X8" s="229">
        <f t="shared" ref="X8" si="1">(I8*J8*K8)+(L8*M8*N8)+(O8*P8*Q8)+(R8*S8*T8)+(U8*V8*W8)</f>
        <v>0</v>
      </c>
      <c r="Y8" s="942"/>
      <c r="AA8" s="866"/>
      <c r="AB8" s="233"/>
      <c r="AC8" s="233"/>
      <c r="AD8" s="233"/>
      <c r="AE8" s="233"/>
      <c r="AF8" s="233"/>
      <c r="AG8" s="233"/>
      <c r="AH8" s="233"/>
      <c r="AI8" s="233"/>
      <c r="AJ8" s="233"/>
      <c r="AK8" s="233"/>
      <c r="AL8" s="233"/>
      <c r="AM8" s="233"/>
      <c r="AN8" s="233"/>
      <c r="AO8" s="233"/>
      <c r="AP8" s="233"/>
      <c r="AQ8" s="229">
        <f t="shared" ref="AQ8" si="2">(AB8*AC8*AD8)+(AE8*AF8*AG8)+(AH8*AI8*AJ8)+(AK8*AL8*AM8)+(AN8*AO8*AP8)</f>
        <v>0</v>
      </c>
      <c r="AR8" s="855"/>
      <c r="AT8" s="866"/>
      <c r="AU8" s="229">
        <v>4</v>
      </c>
      <c r="AV8" s="229">
        <v>8</v>
      </c>
      <c r="AW8" s="229">
        <f>((22.5*1)+(25*3))/4</f>
        <v>24.375</v>
      </c>
      <c r="AX8" s="229">
        <v>4</v>
      </c>
      <c r="AY8" s="229">
        <v>8</v>
      </c>
      <c r="AZ8" s="229">
        <v>59</v>
      </c>
      <c r="BA8" s="229">
        <v>2</v>
      </c>
      <c r="BB8" s="229">
        <v>5</v>
      </c>
      <c r="BC8" s="229">
        <v>17.5</v>
      </c>
      <c r="BD8" s="229">
        <v>1</v>
      </c>
      <c r="BE8" s="229">
        <v>20</v>
      </c>
      <c r="BF8" s="229">
        <f>BK6</f>
        <v>90.8</v>
      </c>
      <c r="BG8" s="233"/>
      <c r="BH8" s="233"/>
      <c r="BI8" s="233"/>
      <c r="BJ8" s="229">
        <f t="shared" ref="BJ8" si="3">(AU8*AV8*AW8)+(AX8*AY8*AZ8)+(BA8*BB8*BC8)+(BD8*BE8*BF8)+(BG8*BH8*BI8)</f>
        <v>4659</v>
      </c>
      <c r="BK8" s="855"/>
      <c r="BL8" s="118"/>
      <c r="BM8" s="847"/>
      <c r="BN8" s="229">
        <v>4</v>
      </c>
      <c r="BO8" s="229">
        <v>10</v>
      </c>
      <c r="BP8" s="229">
        <v>12.5</v>
      </c>
      <c r="BQ8" s="229">
        <v>4</v>
      </c>
      <c r="BR8" s="229">
        <v>8</v>
      </c>
      <c r="BS8" s="229">
        <v>17.5</v>
      </c>
      <c r="BT8" s="229">
        <v>4</v>
      </c>
      <c r="BU8" s="229">
        <v>10</v>
      </c>
      <c r="BV8" s="229">
        <v>5</v>
      </c>
      <c r="BW8" s="229">
        <v>4</v>
      </c>
      <c r="BX8" s="229">
        <v>8</v>
      </c>
      <c r="BY8" s="229">
        <f>70*$FU$3</f>
        <v>5572</v>
      </c>
      <c r="BZ8" s="233"/>
      <c r="CA8" s="233"/>
      <c r="CB8" s="233"/>
      <c r="CC8" s="229">
        <f t="shared" ref="CC8" si="4">(BN8*BO8*BP8)+(BQ8*BR8*BS8)+(BT8*BU8*BV8)+(BW8*BX8*BY8)+(BZ8*CA8*CB8)</f>
        <v>179564</v>
      </c>
      <c r="CD8" s="855"/>
      <c r="CF8" s="878"/>
      <c r="CG8" s="229">
        <v>1</v>
      </c>
      <c r="CH8" s="229">
        <v>43</v>
      </c>
      <c r="CI8" s="229">
        <f>CW6</f>
        <v>85.5</v>
      </c>
      <c r="CJ8" s="233"/>
      <c r="CK8" s="233"/>
      <c r="CL8" s="233"/>
      <c r="CM8" s="233"/>
      <c r="CN8" s="233"/>
      <c r="CO8" s="233"/>
      <c r="CP8" s="233"/>
      <c r="CQ8" s="233"/>
      <c r="CR8" s="233"/>
      <c r="CS8" s="233"/>
      <c r="CT8" s="233"/>
      <c r="CU8" s="233"/>
      <c r="CV8" s="229">
        <f t="shared" ref="CV8" si="5">(CG8*CH8*CI8)+(CJ8*CK8*CL8)+(CM8*CN8*CO8)+(CP8*CQ8*CR8)+(CS8*CT8*CU8)</f>
        <v>3676.5</v>
      </c>
      <c r="CW8" s="855"/>
      <c r="CX8" s="118"/>
      <c r="CY8" s="872"/>
      <c r="CZ8" s="233"/>
      <c r="DA8" s="233"/>
      <c r="DB8" s="233"/>
      <c r="DC8" s="233"/>
      <c r="DD8" s="233"/>
      <c r="DE8" s="233"/>
      <c r="DF8" s="233"/>
      <c r="DG8" s="233"/>
      <c r="DH8" s="233"/>
      <c r="DI8" s="233"/>
      <c r="DJ8" s="233"/>
      <c r="DK8" s="233"/>
      <c r="DL8" s="233"/>
      <c r="DM8" s="233"/>
      <c r="DN8" s="233"/>
      <c r="DO8" s="229">
        <f t="shared" ref="DO8" si="6">(CZ8*DA8*DB8)+(DC8*DD8*DE8)+(DF8*DG8*DH8)+(DI8*DJ8*DK8)+(DL8*DM8*DN8)</f>
        <v>0</v>
      </c>
      <c r="DP8" s="855"/>
      <c r="DR8" s="847"/>
      <c r="DS8" s="233"/>
      <c r="DT8" s="233"/>
      <c r="DU8" s="233"/>
      <c r="DV8" s="233"/>
      <c r="DW8" s="233"/>
      <c r="DX8" s="233"/>
      <c r="DY8" s="233"/>
      <c r="DZ8" s="233"/>
      <c r="EA8" s="233"/>
      <c r="EB8" s="233"/>
      <c r="EC8" s="233"/>
      <c r="ED8" s="233"/>
      <c r="EE8" s="233"/>
      <c r="EF8" s="233"/>
      <c r="EG8" s="233"/>
      <c r="EH8" s="229">
        <f t="shared" ref="EH8" si="7">(DS8*DT8*DU8)+(DV8*DW8*DX8)+(DY8*DZ8*EA8)+(EB8*EC8*ED8)+(EE8*EF8*EG8)</f>
        <v>0</v>
      </c>
      <c r="EI8" s="855"/>
      <c r="EK8" s="842"/>
      <c r="EL8" s="233"/>
      <c r="EM8" s="233"/>
      <c r="EN8" s="233"/>
      <c r="EO8" s="233"/>
      <c r="EP8" s="233"/>
      <c r="EQ8" s="233"/>
      <c r="ER8" s="233"/>
      <c r="ES8" s="233"/>
      <c r="ET8" s="233"/>
      <c r="EU8" s="233"/>
      <c r="EV8" s="233"/>
      <c r="EW8" s="233"/>
      <c r="EX8" s="233"/>
      <c r="EY8" s="233"/>
      <c r="EZ8" s="233"/>
      <c r="FA8" s="229">
        <f t="shared" ref="FA8" si="8">(EL8*EM8*EN8)+(EO8*EP8*EQ8)+(ER8*ES8*ET8)+(EU8*EV8*EW8)+(EX8*EY8*EZ8)</f>
        <v>0</v>
      </c>
      <c r="FB8" s="855"/>
      <c r="FD8" s="858"/>
      <c r="FE8" s="229">
        <v>4</v>
      </c>
      <c r="FF8" s="229">
        <v>12</v>
      </c>
      <c r="FG8" s="229">
        <f>((40*KH3*1)+(70*KH3*3))/4</f>
        <v>28.349499999999999</v>
      </c>
      <c r="FH8" s="229">
        <v>3</v>
      </c>
      <c r="FI8" s="126">
        <v>8</v>
      </c>
      <c r="FJ8" s="126">
        <v>15</v>
      </c>
      <c r="FK8" s="229">
        <v>3</v>
      </c>
      <c r="FL8" s="229">
        <v>24</v>
      </c>
      <c r="FM8" s="229">
        <f>(1/3)*FU6</f>
        <v>26.566666666666666</v>
      </c>
      <c r="FN8" s="233"/>
      <c r="FO8" s="233"/>
      <c r="FP8" s="233"/>
      <c r="FQ8" s="233"/>
      <c r="FR8" s="233"/>
      <c r="FS8" s="233"/>
      <c r="FT8" s="229">
        <f t="shared" ref="FT8" si="9">(FE8*FF8*FG8)+(FH8*FI8*FJ8)+(FK8*FL8*FM8)+(FN8*FO8*FP8)+(FQ8*FR8*FS8)</f>
        <v>3633.576</v>
      </c>
      <c r="FU8" s="855"/>
      <c r="FW8" s="875"/>
      <c r="FX8" s="233"/>
      <c r="FY8" s="233"/>
      <c r="FZ8" s="233"/>
      <c r="GA8" s="233"/>
      <c r="GB8" s="233"/>
      <c r="GC8" s="233"/>
      <c r="GD8" s="233"/>
      <c r="GE8" s="233"/>
      <c r="GF8" s="233"/>
      <c r="GG8" s="233"/>
      <c r="GH8" s="233"/>
      <c r="GI8" s="233"/>
      <c r="GJ8" s="233"/>
      <c r="GK8" s="233"/>
      <c r="GL8" s="233"/>
      <c r="GM8" s="233"/>
      <c r="GN8" s="233"/>
      <c r="GO8" s="233"/>
      <c r="GP8" s="229">
        <f>(FX8*FY8*FZ8)+(GA8*GB8*GC8)+(GD8*GE8*GF8)+(GG8*GH8*GI8)+(GJ8*GK8*GL8)+(GM8*GN8*GO8)</f>
        <v>0</v>
      </c>
      <c r="GQ8" s="855"/>
      <c r="GR8" s="118"/>
      <c r="GS8" s="866"/>
      <c r="GT8" s="229">
        <v>4</v>
      </c>
      <c r="GU8" s="229">
        <v>12</v>
      </c>
      <c r="GV8" s="229">
        <v>12</v>
      </c>
      <c r="GW8" s="229">
        <v>4</v>
      </c>
      <c r="GX8" s="229">
        <v>20</v>
      </c>
      <c r="GY8" s="229">
        <v>12</v>
      </c>
      <c r="GZ8" s="229">
        <v>4</v>
      </c>
      <c r="HA8" s="229">
        <v>12</v>
      </c>
      <c r="HB8" s="229">
        <v>12</v>
      </c>
      <c r="HC8" s="229">
        <v>4</v>
      </c>
      <c r="HD8" s="229">
        <v>12</v>
      </c>
      <c r="HE8" s="229">
        <v>12</v>
      </c>
      <c r="HF8" s="233"/>
      <c r="HG8" s="233"/>
      <c r="HH8" s="233"/>
      <c r="HI8" s="233"/>
      <c r="HJ8" s="233"/>
      <c r="HK8" s="233"/>
      <c r="HL8" s="229">
        <f>(GT8*GU8*GV8)+(GW8*GX8*GY8)+(GZ8*HA8*HB8)+(HC8*HD8*HE8)+(HF8*HG8*HH8)+(HI8*HJ8*HK8)</f>
        <v>2688</v>
      </c>
      <c r="HM8" s="855"/>
      <c r="HN8" s="118"/>
      <c r="HO8" s="858"/>
      <c r="HP8" s="229">
        <v>3</v>
      </c>
      <c r="HQ8" s="229">
        <v>12</v>
      </c>
      <c r="HR8" s="229">
        <v>63</v>
      </c>
      <c r="HS8" s="229">
        <v>3</v>
      </c>
      <c r="HT8" s="229">
        <v>40</v>
      </c>
      <c r="HU8" s="229">
        <f>II6*(1/3)</f>
        <v>26.033333333333331</v>
      </c>
      <c r="HV8" s="233"/>
      <c r="HW8" s="233"/>
      <c r="HX8" s="233"/>
      <c r="HY8" s="233"/>
      <c r="HZ8" s="233"/>
      <c r="IA8" s="233"/>
      <c r="IB8" s="233"/>
      <c r="IC8" s="233"/>
      <c r="ID8" s="233"/>
      <c r="IE8" s="233"/>
      <c r="IF8" s="233"/>
      <c r="IG8" s="233"/>
      <c r="IH8" s="229">
        <f>(HP8*HQ8*HR8)+(HS8*HT8*HU8)+(HV8*HW8*HX8)+(HY8*HZ8*IA8)+(IB8*IC8*ID8)+(IE8*IF8*IG8)</f>
        <v>5392</v>
      </c>
      <c r="II8" s="855"/>
      <c r="IK8" s="878"/>
      <c r="IL8" s="233"/>
      <c r="IM8" s="233"/>
      <c r="IN8" s="233"/>
      <c r="IO8" s="233"/>
      <c r="IP8" s="233"/>
      <c r="IQ8" s="233"/>
      <c r="IR8" s="233"/>
      <c r="IS8" s="233"/>
      <c r="IT8" s="233"/>
      <c r="IU8" s="233"/>
      <c r="IV8" s="233"/>
      <c r="IW8" s="233"/>
      <c r="IX8" s="233"/>
      <c r="IY8" s="233"/>
      <c r="IZ8" s="233"/>
      <c r="JA8" s="233"/>
      <c r="JB8" s="233"/>
      <c r="JC8" s="233"/>
      <c r="JD8" s="949"/>
      <c r="JE8" s="229">
        <f>(IL8*IM8*IN8)+(IO8*IP8*IQ8)+(IR8*IS8*IT8)+(IU8*IV8*IW8)+(IX8*IY8*IZ8)+(JA8*JB8*JC8)</f>
        <v>0</v>
      </c>
      <c r="JF8" s="855"/>
      <c r="JH8" s="61">
        <v>6</v>
      </c>
      <c r="JI8" s="62" t="s">
        <v>54</v>
      </c>
      <c r="JJ8" s="61">
        <v>6</v>
      </c>
      <c r="JK8" s="62" t="str" cm="1">
        <f t="array" ref="JK8">IF(INDEX(AB:AB, (ROW()-ROW($JK$3))*3 + 3) &lt;&gt; "", "✔", "")</f>
        <v>✔</v>
      </c>
      <c r="JL8" s="61">
        <v>6</v>
      </c>
      <c r="JM8" s="62" t="str" cm="1">
        <f t="array" ref="JM8">IF(INDEX(AU:AU, (ROW()-ROW($JM$3))*3 + 3) &lt;&gt; "", "✔", "")</f>
        <v>✔</v>
      </c>
      <c r="JN8" s="61">
        <v>6</v>
      </c>
      <c r="JO8" s="62" t="str" cm="1">
        <f t="array" ref="JO8">IF(INDEX(BN:BN, (ROW()-ROW($BN$3))*3 + 3) &lt;&gt; "", "✔", "")</f>
        <v>✔</v>
      </c>
      <c r="JP8" s="61">
        <v>6</v>
      </c>
      <c r="JQ8" s="62" t="str" cm="1">
        <f t="array" ref="JQ8">IF(INDEX(CG:CG, (ROW()-ROW($CG$3))*3 + 3) &lt;&gt; "", "✔", "")</f>
        <v>✔</v>
      </c>
      <c r="JR8" s="61">
        <v>6</v>
      </c>
      <c r="JS8" s="62" t="str" cm="1">
        <f t="array" ref="JS8">IF(INDEX(CZ:CZ, (ROW()-ROW($CZ$3))*3 + 3) &lt;&gt; "", "✔", "")</f>
        <v>✔</v>
      </c>
      <c r="JT8" s="61">
        <v>6</v>
      </c>
      <c r="JU8" s="62" t="str" cm="1">
        <f t="array" ref="JU8">IF(INDEX(DS:DS, (ROW()-ROW($DS$3))*3 + 3) &lt;&gt; "", "✔", "")</f>
        <v>✔</v>
      </c>
      <c r="JV8" s="61">
        <v>6</v>
      </c>
      <c r="JW8" s="62" t="str" cm="1">
        <f t="array" ref="JW8">IF(INDEX(EL:EL, (ROW()-ROW($EL$3))*3 + 3) &lt;&gt; "", "✔", "")</f>
        <v/>
      </c>
      <c r="JX8" s="61">
        <v>6</v>
      </c>
      <c r="JY8" s="62" t="str" cm="1">
        <f t="array" ref="JY8">IF(INDEX(FE:FE, (ROW()-ROW($FE$3))*3 + 3) &lt;&gt; "", "✔", "")</f>
        <v/>
      </c>
      <c r="JZ8" s="61">
        <v>6</v>
      </c>
      <c r="KA8" s="62" t="str" cm="1">
        <f t="array" ref="KA8">IF(INDEX(FX:FX, (ROW()-ROW($FX$3))*3 + 3) &lt;&gt; "", "✔", "")</f>
        <v>✔</v>
      </c>
      <c r="KB8" s="61">
        <v>6</v>
      </c>
      <c r="KC8" s="62" t="str" cm="1">
        <f t="array" ref="KC8">IF(INDEX(GT:GT, (ROW()-ROW($GT$3))*3 + 3) &lt;&gt; "", "✔", "")</f>
        <v>✔</v>
      </c>
      <c r="KD8" s="61">
        <v>6</v>
      </c>
      <c r="KE8" s="62" t="str" cm="1">
        <f t="array" ref="KE8">IF(INDEX(HP:HP, (ROW()-ROW($HP$3))*3 + 3) &lt;&gt; "", "✔", "")</f>
        <v>✔</v>
      </c>
      <c r="KG8" s="231">
        <v>25</v>
      </c>
      <c r="KH8" s="230">
        <f t="shared" si="0"/>
        <v>11.3398</v>
      </c>
    </row>
    <row r="9" spans="1:294">
      <c r="A9" s="929"/>
      <c r="B9" s="920"/>
      <c r="C9" s="93">
        <v>3</v>
      </c>
      <c r="D9" s="94" t="s">
        <v>92</v>
      </c>
      <c r="E9" s="95">
        <v>3</v>
      </c>
      <c r="F9" s="96">
        <v>10</v>
      </c>
      <c r="H9" s="873">
        <v>45680</v>
      </c>
      <c r="I9" s="849" t="s">
        <v>72</v>
      </c>
      <c r="J9" s="849"/>
      <c r="K9" s="849"/>
      <c r="L9" s="890" t="s">
        <v>93</v>
      </c>
      <c r="M9" s="890"/>
      <c r="N9" s="890"/>
      <c r="O9" s="890" t="s">
        <v>94</v>
      </c>
      <c r="P9" s="890"/>
      <c r="Q9" s="890"/>
      <c r="R9" s="844"/>
      <c r="S9" s="844"/>
      <c r="T9" s="844"/>
      <c r="U9" s="844"/>
      <c r="V9" s="844"/>
      <c r="W9" s="844"/>
      <c r="X9" s="823">
        <f t="shared" ref="X9" si="10">COUNTA(I9:W9)</f>
        <v>3</v>
      </c>
      <c r="Y9" s="829">
        <v>95.4</v>
      </c>
      <c r="AA9" s="870">
        <v>45691</v>
      </c>
      <c r="AB9" s="848" t="s">
        <v>92</v>
      </c>
      <c r="AC9" s="848"/>
      <c r="AD9" s="848"/>
      <c r="AE9" s="849" t="s">
        <v>72</v>
      </c>
      <c r="AF9" s="849"/>
      <c r="AG9" s="849"/>
      <c r="AH9" s="882" t="s">
        <v>95</v>
      </c>
      <c r="AI9" s="883"/>
      <c r="AJ9" s="884"/>
      <c r="AK9" s="848" t="s">
        <v>96</v>
      </c>
      <c r="AL9" s="848"/>
      <c r="AM9" s="848"/>
      <c r="AN9" s="844"/>
      <c r="AO9" s="844"/>
      <c r="AP9" s="844"/>
      <c r="AQ9" s="823">
        <f t="shared" ref="AQ9" si="11">COUNTA(AB9:AP9)</f>
        <v>4</v>
      </c>
      <c r="AR9" s="855">
        <v>94.2</v>
      </c>
      <c r="AT9" s="870">
        <v>45719</v>
      </c>
      <c r="AU9" s="844"/>
      <c r="AV9" s="844"/>
      <c r="AW9" s="844"/>
      <c r="AX9" s="859"/>
      <c r="AY9" s="859"/>
      <c r="AZ9" s="859"/>
      <c r="BA9" s="834"/>
      <c r="BB9" s="835"/>
      <c r="BC9" s="836"/>
      <c r="BD9" s="844"/>
      <c r="BE9" s="844"/>
      <c r="BF9" s="844"/>
      <c r="BG9" s="844"/>
      <c r="BH9" s="844"/>
      <c r="BI9" s="844"/>
      <c r="BJ9" s="823">
        <f t="shared" ref="BJ9" si="12">COUNTA(AU9:BI9)</f>
        <v>0</v>
      </c>
      <c r="BK9" s="855">
        <f>BK6</f>
        <v>90.8</v>
      </c>
      <c r="BL9" s="118"/>
      <c r="BM9" s="873">
        <v>45750</v>
      </c>
      <c r="BN9" s="849" t="s">
        <v>70</v>
      </c>
      <c r="BO9" s="849"/>
      <c r="BP9" s="849"/>
      <c r="BQ9" s="859"/>
      <c r="BR9" s="859"/>
      <c r="BS9" s="859"/>
      <c r="BT9" s="844"/>
      <c r="BU9" s="844"/>
      <c r="BV9" s="844"/>
      <c r="BW9" s="844"/>
      <c r="BX9" s="844"/>
      <c r="BY9" s="844"/>
      <c r="BZ9" s="844"/>
      <c r="CA9" s="844"/>
      <c r="CB9" s="844"/>
      <c r="CC9" s="823">
        <f t="shared" ref="CC9" si="13">COUNTA(BN9:CB9)</f>
        <v>1</v>
      </c>
      <c r="CD9" s="855">
        <v>87.5</v>
      </c>
      <c r="CF9" s="840">
        <v>45780</v>
      </c>
      <c r="CG9" s="849" t="s">
        <v>70</v>
      </c>
      <c r="CH9" s="849"/>
      <c r="CI9" s="849"/>
      <c r="CJ9" s="859"/>
      <c r="CK9" s="859"/>
      <c r="CL9" s="859"/>
      <c r="CM9" s="844"/>
      <c r="CN9" s="844"/>
      <c r="CO9" s="844"/>
      <c r="CP9" s="844"/>
      <c r="CQ9" s="844"/>
      <c r="CR9" s="844"/>
      <c r="CS9" s="844"/>
      <c r="CT9" s="844"/>
      <c r="CU9" s="844"/>
      <c r="CV9" s="823">
        <f t="shared" ref="CV9" si="14">COUNTA(CG9:CU9)</f>
        <v>1</v>
      </c>
      <c r="CW9" s="855">
        <v>85.8</v>
      </c>
      <c r="CX9" s="118"/>
      <c r="CY9" s="856">
        <v>45811</v>
      </c>
      <c r="CZ9" s="859"/>
      <c r="DA9" s="859"/>
      <c r="DB9" s="859"/>
      <c r="DC9" s="859"/>
      <c r="DD9" s="859"/>
      <c r="DE9" s="859"/>
      <c r="DF9" s="844"/>
      <c r="DG9" s="844"/>
      <c r="DH9" s="844"/>
      <c r="DI9" s="844"/>
      <c r="DJ9" s="844"/>
      <c r="DK9" s="844"/>
      <c r="DL9" s="844"/>
      <c r="DM9" s="844"/>
      <c r="DN9" s="844"/>
      <c r="DO9" s="823">
        <f t="shared" ref="DO9" si="15">COUNTA(CZ9:DN9)</f>
        <v>0</v>
      </c>
      <c r="DP9" s="855">
        <f>DP6</f>
        <v>83.6</v>
      </c>
      <c r="DR9" s="873">
        <v>45841</v>
      </c>
      <c r="DS9" s="859"/>
      <c r="DT9" s="859"/>
      <c r="DU9" s="859"/>
      <c r="DV9" s="859"/>
      <c r="DW9" s="859"/>
      <c r="DX9" s="859"/>
      <c r="DY9" s="844"/>
      <c r="DZ9" s="844"/>
      <c r="EA9" s="844"/>
      <c r="EB9" s="844"/>
      <c r="EC9" s="844"/>
      <c r="ED9" s="844"/>
      <c r="EE9" s="844"/>
      <c r="EF9" s="844"/>
      <c r="EG9" s="844"/>
      <c r="EH9" s="823">
        <f t="shared" ref="EH9" si="16">COUNTA(DS9:EG9)</f>
        <v>0</v>
      </c>
      <c r="EI9" s="855">
        <f>EI6</f>
        <v>82</v>
      </c>
      <c r="EK9" s="864">
        <v>45872</v>
      </c>
      <c r="EL9" s="844"/>
      <c r="EM9" s="844"/>
      <c r="EN9" s="844"/>
      <c r="EO9" s="844"/>
      <c r="EP9" s="844"/>
      <c r="EQ9" s="844"/>
      <c r="ER9" s="844"/>
      <c r="ES9" s="844"/>
      <c r="ET9" s="844"/>
      <c r="EU9" s="844"/>
      <c r="EV9" s="844"/>
      <c r="EW9" s="844"/>
      <c r="EX9" s="844"/>
      <c r="EY9" s="844"/>
      <c r="EZ9" s="844"/>
      <c r="FA9" s="823">
        <f t="shared" ref="FA9" si="17">COUNTA(EL9:EZ9)</f>
        <v>0</v>
      </c>
      <c r="FB9" s="855">
        <f>FB6</f>
        <v>80.3</v>
      </c>
      <c r="FD9" s="845">
        <v>45903</v>
      </c>
      <c r="FE9" s="848" t="s">
        <v>70</v>
      </c>
      <c r="FF9" s="848"/>
      <c r="FG9" s="848"/>
      <c r="FH9" s="859"/>
      <c r="FI9" s="859"/>
      <c r="FJ9" s="859"/>
      <c r="FK9" s="834"/>
      <c r="FL9" s="835"/>
      <c r="FM9" s="836"/>
      <c r="FN9" s="867"/>
      <c r="FO9" s="868"/>
      <c r="FP9" s="869"/>
      <c r="FQ9" s="834"/>
      <c r="FR9" s="835"/>
      <c r="FS9" s="836"/>
      <c r="FT9" s="823">
        <f t="shared" ref="FT9" si="18">COUNTA(FE9:FS9)</f>
        <v>1</v>
      </c>
      <c r="FU9" s="855">
        <v>79.2</v>
      </c>
      <c r="FW9" s="876">
        <v>45933</v>
      </c>
      <c r="FX9" s="844"/>
      <c r="FY9" s="844"/>
      <c r="FZ9" s="844"/>
      <c r="GA9" s="859"/>
      <c r="GB9" s="859"/>
      <c r="GC9" s="859"/>
      <c r="GD9" s="834"/>
      <c r="GE9" s="835"/>
      <c r="GF9" s="836"/>
      <c r="GG9" s="867"/>
      <c r="GH9" s="868"/>
      <c r="GI9" s="869"/>
      <c r="GJ9" s="834"/>
      <c r="GK9" s="835"/>
      <c r="GL9" s="836"/>
      <c r="GM9" s="834"/>
      <c r="GN9" s="835"/>
      <c r="GO9" s="836"/>
      <c r="GP9" s="823">
        <f>COUNTA(FX9:GO9)</f>
        <v>0</v>
      </c>
      <c r="GQ9" s="855">
        <f>GQ6</f>
        <v>79</v>
      </c>
      <c r="GR9" s="118"/>
      <c r="GS9" s="870">
        <v>45964</v>
      </c>
      <c r="GT9" s="848" t="s">
        <v>86</v>
      </c>
      <c r="GU9" s="848"/>
      <c r="GV9" s="848"/>
      <c r="GW9" s="859"/>
      <c r="GX9" s="859"/>
      <c r="GY9" s="859"/>
      <c r="GZ9" s="834"/>
      <c r="HA9" s="835"/>
      <c r="HB9" s="836"/>
      <c r="HC9" s="867"/>
      <c r="HD9" s="868"/>
      <c r="HE9" s="869"/>
      <c r="HF9" s="834"/>
      <c r="HG9" s="835"/>
      <c r="HH9" s="836"/>
      <c r="HI9" s="834"/>
      <c r="HJ9" s="835"/>
      <c r="HK9" s="836"/>
      <c r="HL9" s="823">
        <f>COUNTA(GT9:HK9)</f>
        <v>1</v>
      </c>
      <c r="HM9" s="855">
        <f>HM6</f>
        <v>78.099999999999994</v>
      </c>
      <c r="HN9" s="118"/>
      <c r="HO9" s="845">
        <v>45994</v>
      </c>
      <c r="HP9" s="844"/>
      <c r="HQ9" s="844"/>
      <c r="HR9" s="844"/>
      <c r="HS9" s="859"/>
      <c r="HT9" s="859"/>
      <c r="HU9" s="859"/>
      <c r="HV9" s="834"/>
      <c r="HW9" s="835"/>
      <c r="HX9" s="836"/>
      <c r="HY9" s="867"/>
      <c r="HZ9" s="868"/>
      <c r="IA9" s="869"/>
      <c r="IB9" s="834"/>
      <c r="IC9" s="835"/>
      <c r="ID9" s="836"/>
      <c r="IE9" s="834"/>
      <c r="IF9" s="835"/>
      <c r="IG9" s="836"/>
      <c r="IH9" s="823">
        <f>COUNTA(HP9:IG9)</f>
        <v>0</v>
      </c>
      <c r="II9" s="855">
        <f>II6</f>
        <v>78.099999999999994</v>
      </c>
      <c r="IK9" s="840">
        <v>46025</v>
      </c>
      <c r="IL9" s="844"/>
      <c r="IM9" s="844"/>
      <c r="IN9" s="844"/>
      <c r="IO9" s="859"/>
      <c r="IP9" s="859"/>
      <c r="IQ9" s="859"/>
      <c r="IR9" s="834"/>
      <c r="IS9" s="835"/>
      <c r="IT9" s="836"/>
      <c r="IU9" s="867"/>
      <c r="IV9" s="868"/>
      <c r="IW9" s="869"/>
      <c r="IX9" s="834"/>
      <c r="IY9" s="835"/>
      <c r="IZ9" s="836"/>
      <c r="JA9" s="834"/>
      <c r="JB9" s="835"/>
      <c r="JC9" s="836"/>
      <c r="JD9" s="232" t="s">
        <v>425</v>
      </c>
      <c r="JE9" s="823">
        <f>COUNTA(IL9:JC9)</f>
        <v>0</v>
      </c>
      <c r="JF9" s="855">
        <f>JF6</f>
        <v>76.900000000000006</v>
      </c>
      <c r="JH9" s="61">
        <v>7</v>
      </c>
      <c r="JI9" s="62" t="s">
        <v>54</v>
      </c>
      <c r="JJ9" s="61">
        <v>7</v>
      </c>
      <c r="JK9" s="62" t="str" cm="1">
        <f t="array" ref="JK9">IF(INDEX(AB:AB, (ROW()-ROW($JK$3))*3 + 3) &lt;&gt; "", "✔", "")</f>
        <v>✔</v>
      </c>
      <c r="JL9" s="61">
        <v>7</v>
      </c>
      <c r="JM9" s="62" t="str" cm="1">
        <f t="array" ref="JM9">IF(INDEX(AU:AU, (ROW()-ROW($JM$3))*3 + 3) &lt;&gt; "", "✔", "")</f>
        <v>✔</v>
      </c>
      <c r="JN9" s="61">
        <v>7</v>
      </c>
      <c r="JO9" s="62" t="str" cm="1">
        <f t="array" ref="JO9">IF(INDEX(BN:BN, (ROW()-ROW($BN$3))*3 + 3) &lt;&gt; "", "✔", "")</f>
        <v>✔</v>
      </c>
      <c r="JP9" s="61">
        <v>7</v>
      </c>
      <c r="JQ9" s="62" t="str" cm="1">
        <f t="array" ref="JQ9">IF(INDEX(CG:CG, (ROW()-ROW($CG$3))*3 + 3) &lt;&gt; "", "✔", "")</f>
        <v>✔</v>
      </c>
      <c r="JR9" s="61">
        <v>7</v>
      </c>
      <c r="JS9" s="62" t="str" cm="1">
        <f t="array" ref="JS9">IF(INDEX(CZ:CZ, (ROW()-ROW($CZ$3))*3 + 3) &lt;&gt; "", "✔", "")</f>
        <v/>
      </c>
      <c r="JT9" s="61">
        <v>7</v>
      </c>
      <c r="JU9" s="62" t="str" cm="1">
        <f t="array" ref="JU9">IF(INDEX(DS:DS, (ROW()-ROW($DS$3))*3 + 3) &lt;&gt; "", "✔", "")</f>
        <v>✔</v>
      </c>
      <c r="JV9" s="61">
        <v>7</v>
      </c>
      <c r="JW9" s="62" t="str" cm="1">
        <f t="array" ref="JW9">IF(INDEX(EL:EL, (ROW()-ROW($EL$3))*3 + 3) &lt;&gt; "", "✔", "")</f>
        <v/>
      </c>
      <c r="JX9" s="61">
        <v>7</v>
      </c>
      <c r="JY9" s="62" t="str" cm="1">
        <f t="array" ref="JY9">IF(INDEX(FE:FE, (ROW()-ROW($FE$3))*3 + 3) &lt;&gt; "", "✔", "")</f>
        <v>✔</v>
      </c>
      <c r="JZ9" s="61">
        <v>7</v>
      </c>
      <c r="KA9" s="62" t="str" cm="1">
        <f t="array" ref="KA9">IF(INDEX(FX:FX, (ROW()-ROW($FX$3))*3 + 3) &lt;&gt; "", "✔", "")</f>
        <v>✔</v>
      </c>
      <c r="KB9" s="61">
        <v>7</v>
      </c>
      <c r="KC9" s="62" t="str" cm="1">
        <f t="array" ref="KC9">IF(INDEX(GT:GT, (ROW()-ROW($GT$3))*3 + 3) &lt;&gt; "", "✔", "")</f>
        <v/>
      </c>
      <c r="KD9" s="61">
        <v>7</v>
      </c>
      <c r="KE9" s="62" t="str" cm="1">
        <f t="array" ref="KE9">IF(INDEX(HP:HP, (ROW()-ROW($HP$3))*3 + 3) &lt;&gt; "", "✔", "")</f>
        <v>✔</v>
      </c>
      <c r="KG9" s="231">
        <v>30</v>
      </c>
      <c r="KH9" s="230">
        <f t="shared" si="0"/>
        <v>13.607759999999999</v>
      </c>
    </row>
    <row r="10" spans="1:294" ht="19.5" thickBot="1">
      <c r="A10" s="930"/>
      <c r="B10" s="921"/>
      <c r="C10" s="97">
        <v>4</v>
      </c>
      <c r="D10" s="98" t="s">
        <v>97</v>
      </c>
      <c r="E10" s="100">
        <v>3</v>
      </c>
      <c r="F10" s="101">
        <v>10</v>
      </c>
      <c r="H10" s="874"/>
      <c r="I10" s="231" t="s">
        <v>59</v>
      </c>
      <c r="J10" s="231" t="s">
        <v>73</v>
      </c>
      <c r="K10" s="102" t="s">
        <v>4</v>
      </c>
      <c r="L10" s="231" t="s">
        <v>59</v>
      </c>
      <c r="M10" s="231" t="s">
        <v>73</v>
      </c>
      <c r="N10" s="102" t="s">
        <v>4</v>
      </c>
      <c r="O10" s="231" t="s">
        <v>59</v>
      </c>
      <c r="P10" s="231" t="s">
        <v>73</v>
      </c>
      <c r="Q10" s="102" t="s">
        <v>4</v>
      </c>
      <c r="R10" s="107" t="s">
        <v>59</v>
      </c>
      <c r="S10" s="107" t="s">
        <v>73</v>
      </c>
      <c r="T10" s="108" t="s">
        <v>4</v>
      </c>
      <c r="U10" s="107" t="s">
        <v>59</v>
      </c>
      <c r="V10" s="107" t="s">
        <v>73</v>
      </c>
      <c r="W10" s="108" t="s">
        <v>4</v>
      </c>
      <c r="X10" s="823"/>
      <c r="Y10" s="829"/>
      <c r="AA10" s="871"/>
      <c r="AB10" s="231" t="s">
        <v>59</v>
      </c>
      <c r="AC10" s="231" t="s">
        <v>73</v>
      </c>
      <c r="AD10" s="102" t="s">
        <v>4</v>
      </c>
      <c r="AE10" s="231" t="s">
        <v>59</v>
      </c>
      <c r="AF10" s="231" t="s">
        <v>73</v>
      </c>
      <c r="AG10" s="102" t="s">
        <v>4</v>
      </c>
      <c r="AH10" s="231" t="s">
        <v>59</v>
      </c>
      <c r="AI10" s="231" t="s">
        <v>73</v>
      </c>
      <c r="AJ10" s="102" t="s">
        <v>4</v>
      </c>
      <c r="AK10" s="231" t="s">
        <v>59</v>
      </c>
      <c r="AL10" s="231" t="s">
        <v>73</v>
      </c>
      <c r="AM10" s="102" t="s">
        <v>4</v>
      </c>
      <c r="AN10" s="107" t="s">
        <v>59</v>
      </c>
      <c r="AO10" s="107" t="s">
        <v>73</v>
      </c>
      <c r="AP10" s="108" t="s">
        <v>4</v>
      </c>
      <c r="AQ10" s="823"/>
      <c r="AR10" s="855"/>
      <c r="AT10" s="871"/>
      <c r="AU10" s="107" t="s">
        <v>59</v>
      </c>
      <c r="AV10" s="107" t="s">
        <v>73</v>
      </c>
      <c r="AW10" s="108" t="s">
        <v>4</v>
      </c>
      <c r="AX10" s="107" t="s">
        <v>59</v>
      </c>
      <c r="AY10" s="107" t="s">
        <v>73</v>
      </c>
      <c r="AZ10" s="108" t="s">
        <v>4</v>
      </c>
      <c r="BA10" s="107" t="s">
        <v>59</v>
      </c>
      <c r="BB10" s="107" t="s">
        <v>73</v>
      </c>
      <c r="BC10" s="108" t="s">
        <v>4</v>
      </c>
      <c r="BD10" s="107" t="s">
        <v>59</v>
      </c>
      <c r="BE10" s="107" t="s">
        <v>73</v>
      </c>
      <c r="BF10" s="108" t="s">
        <v>4</v>
      </c>
      <c r="BG10" s="107" t="s">
        <v>59</v>
      </c>
      <c r="BH10" s="107" t="s">
        <v>73</v>
      </c>
      <c r="BI10" s="108" t="s">
        <v>4</v>
      </c>
      <c r="BJ10" s="823"/>
      <c r="BK10" s="855"/>
      <c r="BL10" s="118"/>
      <c r="BM10" s="874"/>
      <c r="BN10" s="231" t="s">
        <v>59</v>
      </c>
      <c r="BO10" s="231" t="s">
        <v>73</v>
      </c>
      <c r="BP10" s="102" t="s">
        <v>4</v>
      </c>
      <c r="BQ10" s="107" t="s">
        <v>59</v>
      </c>
      <c r="BR10" s="107" t="s">
        <v>73</v>
      </c>
      <c r="BS10" s="108" t="s">
        <v>4</v>
      </c>
      <c r="BT10" s="107" t="s">
        <v>59</v>
      </c>
      <c r="BU10" s="107" t="s">
        <v>73</v>
      </c>
      <c r="BV10" s="108" t="s">
        <v>4</v>
      </c>
      <c r="BW10" s="107" t="s">
        <v>59</v>
      </c>
      <c r="BX10" s="107" t="s">
        <v>73</v>
      </c>
      <c r="BY10" s="108" t="s">
        <v>4</v>
      </c>
      <c r="BZ10" s="107" t="s">
        <v>59</v>
      </c>
      <c r="CA10" s="107" t="s">
        <v>73</v>
      </c>
      <c r="CB10" s="108" t="s">
        <v>4</v>
      </c>
      <c r="CC10" s="823"/>
      <c r="CD10" s="855"/>
      <c r="CF10" s="841"/>
      <c r="CG10" s="231" t="s">
        <v>59</v>
      </c>
      <c r="CH10" s="231" t="s">
        <v>73</v>
      </c>
      <c r="CI10" s="102" t="s">
        <v>4</v>
      </c>
      <c r="CJ10" s="107" t="s">
        <v>59</v>
      </c>
      <c r="CK10" s="107" t="s">
        <v>73</v>
      </c>
      <c r="CL10" s="108" t="s">
        <v>4</v>
      </c>
      <c r="CM10" s="107" t="s">
        <v>59</v>
      </c>
      <c r="CN10" s="107" t="s">
        <v>73</v>
      </c>
      <c r="CO10" s="108" t="s">
        <v>4</v>
      </c>
      <c r="CP10" s="107" t="s">
        <v>59</v>
      </c>
      <c r="CQ10" s="107" t="s">
        <v>73</v>
      </c>
      <c r="CR10" s="108" t="s">
        <v>4</v>
      </c>
      <c r="CS10" s="107" t="s">
        <v>59</v>
      </c>
      <c r="CT10" s="107" t="s">
        <v>73</v>
      </c>
      <c r="CU10" s="108" t="s">
        <v>4</v>
      </c>
      <c r="CV10" s="823"/>
      <c r="CW10" s="855"/>
      <c r="CX10" s="118"/>
      <c r="CY10" s="857"/>
      <c r="CZ10" s="107" t="s">
        <v>59</v>
      </c>
      <c r="DA10" s="107" t="s">
        <v>73</v>
      </c>
      <c r="DB10" s="108" t="s">
        <v>4</v>
      </c>
      <c r="DC10" s="107" t="s">
        <v>59</v>
      </c>
      <c r="DD10" s="107" t="s">
        <v>73</v>
      </c>
      <c r="DE10" s="108" t="s">
        <v>4</v>
      </c>
      <c r="DF10" s="107" t="s">
        <v>59</v>
      </c>
      <c r="DG10" s="107" t="s">
        <v>73</v>
      </c>
      <c r="DH10" s="108" t="s">
        <v>4</v>
      </c>
      <c r="DI10" s="107" t="s">
        <v>59</v>
      </c>
      <c r="DJ10" s="107" t="s">
        <v>73</v>
      </c>
      <c r="DK10" s="108" t="s">
        <v>4</v>
      </c>
      <c r="DL10" s="107" t="s">
        <v>59</v>
      </c>
      <c r="DM10" s="107" t="s">
        <v>73</v>
      </c>
      <c r="DN10" s="108" t="s">
        <v>4</v>
      </c>
      <c r="DO10" s="823"/>
      <c r="DP10" s="855"/>
      <c r="DR10" s="874"/>
      <c r="DS10" s="107" t="s">
        <v>59</v>
      </c>
      <c r="DT10" s="107" t="s">
        <v>73</v>
      </c>
      <c r="DU10" s="108" t="s">
        <v>4</v>
      </c>
      <c r="DV10" s="107" t="s">
        <v>59</v>
      </c>
      <c r="DW10" s="107" t="s">
        <v>73</v>
      </c>
      <c r="DX10" s="108" t="s">
        <v>4</v>
      </c>
      <c r="DY10" s="107" t="s">
        <v>59</v>
      </c>
      <c r="DZ10" s="107" t="s">
        <v>73</v>
      </c>
      <c r="EA10" s="108" t="s">
        <v>4</v>
      </c>
      <c r="EB10" s="107" t="s">
        <v>59</v>
      </c>
      <c r="EC10" s="107" t="s">
        <v>73</v>
      </c>
      <c r="ED10" s="108" t="s">
        <v>4</v>
      </c>
      <c r="EE10" s="107" t="s">
        <v>59</v>
      </c>
      <c r="EF10" s="107" t="s">
        <v>73</v>
      </c>
      <c r="EG10" s="108" t="s">
        <v>4</v>
      </c>
      <c r="EH10" s="823"/>
      <c r="EI10" s="855"/>
      <c r="EK10" s="865"/>
      <c r="EL10" s="107" t="s">
        <v>59</v>
      </c>
      <c r="EM10" s="107" t="s">
        <v>73</v>
      </c>
      <c r="EN10" s="108" t="s">
        <v>4</v>
      </c>
      <c r="EO10" s="107" t="s">
        <v>59</v>
      </c>
      <c r="EP10" s="107" t="s">
        <v>73</v>
      </c>
      <c r="EQ10" s="108" t="s">
        <v>4</v>
      </c>
      <c r="ER10" s="107" t="s">
        <v>59</v>
      </c>
      <c r="ES10" s="107" t="s">
        <v>73</v>
      </c>
      <c r="ET10" s="108" t="s">
        <v>4</v>
      </c>
      <c r="EU10" s="107" t="s">
        <v>59</v>
      </c>
      <c r="EV10" s="107" t="s">
        <v>73</v>
      </c>
      <c r="EW10" s="108" t="s">
        <v>4</v>
      </c>
      <c r="EX10" s="107" t="s">
        <v>59</v>
      </c>
      <c r="EY10" s="107" t="s">
        <v>73</v>
      </c>
      <c r="EZ10" s="108" t="s">
        <v>4</v>
      </c>
      <c r="FA10" s="823"/>
      <c r="FB10" s="855"/>
      <c r="FD10" s="846"/>
      <c r="FE10" s="231" t="s">
        <v>59</v>
      </c>
      <c r="FF10" s="231" t="s">
        <v>73</v>
      </c>
      <c r="FG10" s="102" t="s">
        <v>4</v>
      </c>
      <c r="FH10" s="107" t="s">
        <v>59</v>
      </c>
      <c r="FI10" s="107" t="s">
        <v>73</v>
      </c>
      <c r="FJ10" s="108" t="s">
        <v>4</v>
      </c>
      <c r="FK10" s="107" t="s">
        <v>59</v>
      </c>
      <c r="FL10" s="107" t="s">
        <v>73</v>
      </c>
      <c r="FM10" s="108" t="s">
        <v>4</v>
      </c>
      <c r="FN10" s="107" t="s">
        <v>59</v>
      </c>
      <c r="FO10" s="107" t="s">
        <v>73</v>
      </c>
      <c r="FP10" s="108" t="s">
        <v>4</v>
      </c>
      <c r="FQ10" s="107" t="s">
        <v>59</v>
      </c>
      <c r="FR10" s="107" t="s">
        <v>73</v>
      </c>
      <c r="FS10" s="108" t="s">
        <v>4</v>
      </c>
      <c r="FT10" s="823"/>
      <c r="FU10" s="855"/>
      <c r="FW10" s="877"/>
      <c r="FX10" s="107" t="s">
        <v>59</v>
      </c>
      <c r="FY10" s="107" t="s">
        <v>73</v>
      </c>
      <c r="FZ10" s="108" t="s">
        <v>4</v>
      </c>
      <c r="GA10" s="107" t="s">
        <v>59</v>
      </c>
      <c r="GB10" s="107" t="s">
        <v>73</v>
      </c>
      <c r="GC10" s="108" t="s">
        <v>4</v>
      </c>
      <c r="GD10" s="107" t="s">
        <v>59</v>
      </c>
      <c r="GE10" s="107" t="s">
        <v>73</v>
      </c>
      <c r="GF10" s="108" t="s">
        <v>4</v>
      </c>
      <c r="GG10" s="107" t="s">
        <v>59</v>
      </c>
      <c r="GH10" s="107" t="s">
        <v>73</v>
      </c>
      <c r="GI10" s="108" t="s">
        <v>4</v>
      </c>
      <c r="GJ10" s="107" t="s">
        <v>59</v>
      </c>
      <c r="GK10" s="107" t="s">
        <v>73</v>
      </c>
      <c r="GL10" s="108" t="s">
        <v>4</v>
      </c>
      <c r="GM10" s="107" t="s">
        <v>59</v>
      </c>
      <c r="GN10" s="107" t="s">
        <v>73</v>
      </c>
      <c r="GO10" s="108" t="s">
        <v>4</v>
      </c>
      <c r="GP10" s="823"/>
      <c r="GQ10" s="855"/>
      <c r="GR10" s="118"/>
      <c r="GS10" s="871"/>
      <c r="GT10" s="231" t="s">
        <v>59</v>
      </c>
      <c r="GU10" s="231" t="s">
        <v>73</v>
      </c>
      <c r="GV10" s="102" t="s">
        <v>4</v>
      </c>
      <c r="GW10" s="107" t="s">
        <v>59</v>
      </c>
      <c r="GX10" s="107" t="s">
        <v>73</v>
      </c>
      <c r="GY10" s="108" t="s">
        <v>4</v>
      </c>
      <c r="GZ10" s="107" t="s">
        <v>59</v>
      </c>
      <c r="HA10" s="107" t="s">
        <v>73</v>
      </c>
      <c r="HB10" s="108" t="s">
        <v>4</v>
      </c>
      <c r="HC10" s="107" t="s">
        <v>59</v>
      </c>
      <c r="HD10" s="107" t="s">
        <v>73</v>
      </c>
      <c r="HE10" s="108" t="s">
        <v>4</v>
      </c>
      <c r="HF10" s="107" t="s">
        <v>59</v>
      </c>
      <c r="HG10" s="107" t="s">
        <v>73</v>
      </c>
      <c r="HH10" s="108" t="s">
        <v>4</v>
      </c>
      <c r="HI10" s="107" t="s">
        <v>59</v>
      </c>
      <c r="HJ10" s="107" t="s">
        <v>73</v>
      </c>
      <c r="HK10" s="108" t="s">
        <v>4</v>
      </c>
      <c r="HL10" s="823"/>
      <c r="HM10" s="855"/>
      <c r="HN10" s="118"/>
      <c r="HO10" s="846"/>
      <c r="HP10" s="107" t="s">
        <v>59</v>
      </c>
      <c r="HQ10" s="107" t="s">
        <v>73</v>
      </c>
      <c r="HR10" s="108" t="s">
        <v>4</v>
      </c>
      <c r="HS10" s="107" t="s">
        <v>59</v>
      </c>
      <c r="HT10" s="107" t="s">
        <v>73</v>
      </c>
      <c r="HU10" s="108" t="s">
        <v>4</v>
      </c>
      <c r="HV10" s="107" t="s">
        <v>59</v>
      </c>
      <c r="HW10" s="107" t="s">
        <v>73</v>
      </c>
      <c r="HX10" s="108" t="s">
        <v>4</v>
      </c>
      <c r="HY10" s="107" t="s">
        <v>59</v>
      </c>
      <c r="HZ10" s="107" t="s">
        <v>73</v>
      </c>
      <c r="IA10" s="108" t="s">
        <v>4</v>
      </c>
      <c r="IB10" s="107" t="s">
        <v>59</v>
      </c>
      <c r="IC10" s="107" t="s">
        <v>73</v>
      </c>
      <c r="ID10" s="108" t="s">
        <v>4</v>
      </c>
      <c r="IE10" s="107" t="s">
        <v>59</v>
      </c>
      <c r="IF10" s="107" t="s">
        <v>73</v>
      </c>
      <c r="IG10" s="108" t="s">
        <v>4</v>
      </c>
      <c r="IH10" s="823"/>
      <c r="II10" s="855"/>
      <c r="IK10" s="841"/>
      <c r="IL10" s="107"/>
      <c r="IM10" s="107"/>
      <c r="IN10" s="108"/>
      <c r="IO10" s="107"/>
      <c r="IP10" s="107"/>
      <c r="IQ10" s="108"/>
      <c r="IR10" s="107"/>
      <c r="IS10" s="107"/>
      <c r="IT10" s="108"/>
      <c r="IU10" s="107"/>
      <c r="IV10" s="107"/>
      <c r="IW10" s="108"/>
      <c r="IX10" s="107"/>
      <c r="IY10" s="107"/>
      <c r="IZ10" s="108"/>
      <c r="JA10" s="107"/>
      <c r="JB10" s="107"/>
      <c r="JC10" s="108"/>
      <c r="JD10" s="948"/>
      <c r="JE10" s="823"/>
      <c r="JF10" s="855"/>
      <c r="JH10" s="58">
        <v>8</v>
      </c>
      <c r="JI10" s="59"/>
      <c r="JJ10" s="58">
        <v>8</v>
      </c>
      <c r="JK10" s="59" t="str" cm="1">
        <f t="array" ref="JK10">IF(INDEX(AB:AB, (ROW()-ROW($JK$3))*3 + 3) &lt;&gt; "", "✔", "")</f>
        <v/>
      </c>
      <c r="JL10" s="58">
        <v>8</v>
      </c>
      <c r="JM10" s="59" t="str" cm="1">
        <f t="array" ref="JM10">IF(INDEX(AU:AU, (ROW()-ROW($JM$3))*3 + 3) &lt;&gt; "", "✔", "")</f>
        <v>✔</v>
      </c>
      <c r="JN10" s="124">
        <v>8</v>
      </c>
      <c r="JO10" s="82" t="str" cm="1">
        <f t="array" ref="JO10">IF(INDEX(BN:BN, (ROW()-ROW($BN$3))*3 + 3) &lt;&gt; "", "✔", "")</f>
        <v>✔</v>
      </c>
      <c r="JP10" s="124">
        <v>8</v>
      </c>
      <c r="JQ10" s="82" t="str" cm="1">
        <f t="array" ref="JQ10">IF(INDEX(CG:CG, (ROW()-ROW($CG$3))*3 + 3) &lt;&gt; "", "✔", "")</f>
        <v>✔</v>
      </c>
      <c r="JR10" s="124">
        <v>8</v>
      </c>
      <c r="JS10" s="82" t="str" cm="1">
        <f t="array" ref="JS10">IF(INDEX(CZ:CZ, (ROW()-ROW($CZ$3))*3 + 3) &lt;&gt; "", "✔", "")</f>
        <v>✔</v>
      </c>
      <c r="JT10" s="124">
        <v>8</v>
      </c>
      <c r="JU10" s="82" t="str" cm="1">
        <f t="array" ref="JU10">IF(INDEX(DS:DS, (ROW()-ROW($DS$3))*3 + 3) &lt;&gt; "", "✔", "")</f>
        <v>✔</v>
      </c>
      <c r="JV10" s="124">
        <v>8</v>
      </c>
      <c r="JW10" s="82" t="str" cm="1">
        <f t="array" ref="JW10">IF(INDEX(EL:EL, (ROW()-ROW($EL$3))*3 + 3) &lt;&gt; "", "✔", "")</f>
        <v>✔</v>
      </c>
      <c r="JX10" s="124">
        <v>8</v>
      </c>
      <c r="JY10" s="82" t="str" cm="1">
        <f t="array" ref="JY10">IF(INDEX(FE:FE, (ROW()-ROW($FE$3))*3 + 3) &lt;&gt; "", "✔", "")</f>
        <v>✔</v>
      </c>
      <c r="JZ10" s="124">
        <v>8</v>
      </c>
      <c r="KA10" s="82" t="str" cm="1">
        <f t="array" ref="KA10">IF(INDEX(FX:FX, (ROW()-ROW($FX$3))*3 + 3) &lt;&gt; "", "✔", "")</f>
        <v/>
      </c>
      <c r="KB10" s="124">
        <v>8</v>
      </c>
      <c r="KC10" s="82" t="str" cm="1">
        <f t="array" ref="KC10">IF(INDEX(GT:GT, (ROW()-ROW($GT$3))*3 + 3) &lt;&gt; "", "✔", "")</f>
        <v>✔</v>
      </c>
      <c r="KD10" s="124">
        <v>8</v>
      </c>
      <c r="KE10" s="82" t="str" cm="1">
        <f t="array" ref="KE10">IF(INDEX(HP:HP, (ROW()-ROW($HP$3))*3 + 3) &lt;&gt; "", "✔", "")</f>
        <v>✔</v>
      </c>
      <c r="KG10" s="231">
        <v>35</v>
      </c>
      <c r="KH10" s="230">
        <f t="shared" si="0"/>
        <v>15.875719999999999</v>
      </c>
    </row>
    <row r="11" spans="1:294">
      <c r="A11" s="931" t="s">
        <v>30</v>
      </c>
      <c r="B11" s="919" t="s">
        <v>98</v>
      </c>
      <c r="C11" s="89">
        <v>1</v>
      </c>
      <c r="D11" s="99" t="s">
        <v>69</v>
      </c>
      <c r="E11" s="91">
        <v>4</v>
      </c>
      <c r="F11" s="92">
        <v>8</v>
      </c>
      <c r="H11" s="875"/>
      <c r="I11" s="229">
        <v>4</v>
      </c>
      <c r="J11" s="229">
        <v>8</v>
      </c>
      <c r="K11" s="229">
        <v>54.4</v>
      </c>
      <c r="L11" s="229">
        <v>4</v>
      </c>
      <c r="M11" s="229">
        <v>8</v>
      </c>
      <c r="N11" s="229">
        <v>20</v>
      </c>
      <c r="O11" s="229">
        <v>4</v>
      </c>
      <c r="P11" s="229">
        <v>8</v>
      </c>
      <c r="Q11" s="229">
        <v>15</v>
      </c>
      <c r="R11" s="233"/>
      <c r="S11" s="233"/>
      <c r="T11" s="233"/>
      <c r="U11" s="233"/>
      <c r="V11" s="233"/>
      <c r="W11" s="233"/>
      <c r="X11" s="229">
        <f t="shared" ref="X11" si="19">(I11*J11*K11)+(L11*M11*N11)+(O11*P11*Q11)+(R11*S11*T11)+(U11*V11*W11)</f>
        <v>2860.8</v>
      </c>
      <c r="Y11" s="829"/>
      <c r="AA11" s="872"/>
      <c r="AB11" s="229">
        <v>4</v>
      </c>
      <c r="AC11" s="229">
        <v>8</v>
      </c>
      <c r="AD11" s="229">
        <v>12.5</v>
      </c>
      <c r="AE11" s="229">
        <v>4</v>
      </c>
      <c r="AF11" s="229">
        <v>8</v>
      </c>
      <c r="AG11" s="229">
        <f>((54.4*3)+(59*1))/4</f>
        <v>55.55</v>
      </c>
      <c r="AH11" s="229">
        <v>4</v>
      </c>
      <c r="AI11" s="229">
        <v>8</v>
      </c>
      <c r="AJ11" s="229">
        <f>((6.8*2)+(9.1*2))/4</f>
        <v>7.9499999999999993</v>
      </c>
      <c r="AK11" s="229">
        <v>4</v>
      </c>
      <c r="AL11" s="229">
        <v>8</v>
      </c>
      <c r="AM11" s="229">
        <f>((6.8*3)+(9.1*1))/4</f>
        <v>7.375</v>
      </c>
      <c r="AN11" s="233"/>
      <c r="AO11" s="233"/>
      <c r="AP11" s="233"/>
      <c r="AQ11" s="229">
        <f t="shared" ref="AQ11" si="20">(AB11*AC11*AD11)+(AE11*AF11*AG11)+(AH11*AI11*AJ11)+(AK11*AL11*AM11)+(AN11*AO11*AP11)</f>
        <v>2668</v>
      </c>
      <c r="AR11" s="855"/>
      <c r="AT11" s="872"/>
      <c r="AU11" s="233"/>
      <c r="AV11" s="233"/>
      <c r="AW11" s="233"/>
      <c r="AX11" s="233"/>
      <c r="AY11" s="233"/>
      <c r="AZ11" s="233"/>
      <c r="BA11" s="233"/>
      <c r="BB11" s="233"/>
      <c r="BC11" s="233"/>
      <c r="BD11" s="233"/>
      <c r="BE11" s="233"/>
      <c r="BF11" s="233"/>
      <c r="BG11" s="233"/>
      <c r="BH11" s="233"/>
      <c r="BI11" s="233"/>
      <c r="BJ11" s="229">
        <f t="shared" ref="BJ11" si="21">(AU11*AV11*AW11)+(AX11*AY11*AZ11)+(BA11*BB11*BC11)+(BD11*BE11*BF11)+(BG11*BH11*BI11)</f>
        <v>0</v>
      </c>
      <c r="BK11" s="855"/>
      <c r="BL11" s="118"/>
      <c r="BM11" s="875"/>
      <c r="BN11" s="229">
        <v>1</v>
      </c>
      <c r="BO11" s="229">
        <v>30</v>
      </c>
      <c r="BP11" s="229">
        <f>CD9</f>
        <v>87.5</v>
      </c>
      <c r="BQ11" s="233"/>
      <c r="BR11" s="233"/>
      <c r="BS11" s="233"/>
      <c r="BT11" s="233"/>
      <c r="BU11" s="233"/>
      <c r="BV11" s="233"/>
      <c r="BW11" s="233"/>
      <c r="BX11" s="233"/>
      <c r="BY11" s="233"/>
      <c r="BZ11" s="233"/>
      <c r="CA11" s="233"/>
      <c r="CB11" s="233"/>
      <c r="CC11" s="229">
        <f t="shared" ref="CC11" si="22">(BN11*BO11*BP11)+(BQ11*BR11*BS11)+(BT11*BU11*BV11)+(BW11*BX11*BY11)+(BZ11*CA11*CB11)</f>
        <v>2625</v>
      </c>
      <c r="CD11" s="855"/>
      <c r="CF11" s="842"/>
      <c r="CG11" s="229">
        <v>1</v>
      </c>
      <c r="CH11" s="229">
        <v>42</v>
      </c>
      <c r="CI11" s="229">
        <f>CW9</f>
        <v>85.8</v>
      </c>
      <c r="CJ11" s="233"/>
      <c r="CK11" s="233"/>
      <c r="CL11" s="233"/>
      <c r="CM11" s="233"/>
      <c r="CN11" s="233"/>
      <c r="CO11" s="233"/>
      <c r="CP11" s="233"/>
      <c r="CQ11" s="233"/>
      <c r="CR11" s="233"/>
      <c r="CS11" s="233"/>
      <c r="CT11" s="233"/>
      <c r="CU11" s="233"/>
      <c r="CV11" s="229">
        <f t="shared" ref="CV11" si="23">(CG11*CH11*CI11)+(CJ11*CK11*CL11)+(CM11*CN11*CO11)+(CP11*CQ11*CR11)+(CS11*CT11*CU11)</f>
        <v>3603.6</v>
      </c>
      <c r="CW11" s="855"/>
      <c r="CX11" s="118"/>
      <c r="CY11" s="858"/>
      <c r="CZ11" s="233"/>
      <c r="DA11" s="233"/>
      <c r="DB11" s="233"/>
      <c r="DC11" s="233"/>
      <c r="DD11" s="233"/>
      <c r="DE11" s="233"/>
      <c r="DF11" s="233"/>
      <c r="DG11" s="233"/>
      <c r="DH11" s="233"/>
      <c r="DI11" s="233"/>
      <c r="DJ11" s="233"/>
      <c r="DK11" s="233"/>
      <c r="DL11" s="233"/>
      <c r="DM11" s="233"/>
      <c r="DN11" s="233"/>
      <c r="DO11" s="229">
        <f t="shared" ref="DO11" si="24">(CZ11*DA11*DB11)+(DC11*DD11*DE11)+(DF11*DG11*DH11)+(DI11*DJ11*DK11)+(DL11*DM11*DN11)</f>
        <v>0</v>
      </c>
      <c r="DP11" s="855"/>
      <c r="DR11" s="875"/>
      <c r="DS11" s="233"/>
      <c r="DT11" s="233"/>
      <c r="DU11" s="233"/>
      <c r="DV11" s="233"/>
      <c r="DW11" s="233"/>
      <c r="DX11" s="233"/>
      <c r="DY11" s="233"/>
      <c r="DZ11" s="233"/>
      <c r="EA11" s="233"/>
      <c r="EB11" s="233"/>
      <c r="EC11" s="233"/>
      <c r="ED11" s="233"/>
      <c r="EE11" s="233"/>
      <c r="EF11" s="233"/>
      <c r="EG11" s="233"/>
      <c r="EH11" s="229">
        <f t="shared" ref="EH11" si="25">(DS11*DT11*DU11)+(DV11*DW11*DX11)+(DY11*DZ11*EA11)+(EB11*EC11*ED11)+(EE11*EF11*EG11)</f>
        <v>0</v>
      </c>
      <c r="EI11" s="855"/>
      <c r="EK11" s="866"/>
      <c r="EL11" s="233"/>
      <c r="EM11" s="233"/>
      <c r="EN11" s="233"/>
      <c r="EO11" s="233"/>
      <c r="EP11" s="233"/>
      <c r="EQ11" s="233"/>
      <c r="ER11" s="233"/>
      <c r="ES11" s="233"/>
      <c r="ET11" s="233"/>
      <c r="EU11" s="233"/>
      <c r="EV11" s="233"/>
      <c r="EW11" s="233"/>
      <c r="EX11" s="233"/>
      <c r="EY11" s="233"/>
      <c r="EZ11" s="233"/>
      <c r="FA11" s="229">
        <f t="shared" ref="FA11" si="26">(EL11*EM11*EN11)+(EO11*EP11*EQ11)+(ER11*ES11*ET11)+(EU11*EV11*EW11)+(EX11*EY11*EZ11)</f>
        <v>0</v>
      </c>
      <c r="FB11" s="855"/>
      <c r="FD11" s="847"/>
      <c r="FE11" s="229">
        <v>1</v>
      </c>
      <c r="FF11" s="229">
        <v>33</v>
      </c>
      <c r="FG11" s="229">
        <f>FU9</f>
        <v>79.2</v>
      </c>
      <c r="FH11" s="233"/>
      <c r="FI11" s="233"/>
      <c r="FJ11" s="233"/>
      <c r="FK11" s="233"/>
      <c r="FL11" s="233"/>
      <c r="FM11" s="233"/>
      <c r="FN11" s="233"/>
      <c r="FO11" s="233"/>
      <c r="FP11" s="233"/>
      <c r="FQ11" s="233"/>
      <c r="FR11" s="233"/>
      <c r="FS11" s="233"/>
      <c r="FT11" s="229">
        <f t="shared" ref="FT11" si="27">(FE11*FF11*FG11)+(FH11*FI11*FJ11)+(FK11*FL11*FM11)+(FN11*FO11*FP11)+(FQ11*FR11*FS11)</f>
        <v>2613.6</v>
      </c>
      <c r="FU11" s="855"/>
      <c r="FW11" s="878"/>
      <c r="FX11" s="233"/>
      <c r="FY11" s="233"/>
      <c r="FZ11" s="233"/>
      <c r="GA11" s="233"/>
      <c r="GB11" s="233"/>
      <c r="GC11" s="233"/>
      <c r="GD11" s="233"/>
      <c r="GE11" s="233"/>
      <c r="GF11" s="233"/>
      <c r="GG11" s="233"/>
      <c r="GH11" s="233"/>
      <c r="GI11" s="233"/>
      <c r="GJ11" s="233"/>
      <c r="GK11" s="233"/>
      <c r="GL11" s="233"/>
      <c r="GM11" s="233"/>
      <c r="GN11" s="233"/>
      <c r="GO11" s="233"/>
      <c r="GP11" s="229">
        <f>(FX11*FY11*FZ11)+(GA11*GB11*GC11)+(GD11*GE11*GF11)+(GG11*GH11*GI11)+(GJ11*GK11*GL11)+(GM11*GN11*GO11)</f>
        <v>0</v>
      </c>
      <c r="GQ11" s="855"/>
      <c r="GR11" s="118"/>
      <c r="GS11" s="872"/>
      <c r="GT11" s="229">
        <v>4</v>
      </c>
      <c r="GU11" s="126">
        <v>14</v>
      </c>
      <c r="GV11" s="229">
        <v>12</v>
      </c>
      <c r="GW11" s="233"/>
      <c r="GX11" s="233"/>
      <c r="GY11" s="233"/>
      <c r="GZ11" s="233"/>
      <c r="HA11" s="233"/>
      <c r="HB11" s="233"/>
      <c r="HC11" s="233"/>
      <c r="HD11" s="233"/>
      <c r="HE11" s="233"/>
      <c r="HF11" s="233"/>
      <c r="HG11" s="233"/>
      <c r="HH11" s="233"/>
      <c r="HI11" s="233"/>
      <c r="HJ11" s="233"/>
      <c r="HK11" s="233"/>
      <c r="HL11" s="229">
        <f>(GT11*GU11*GV11)+(GW11*GX11*GY11)+(GZ11*HA11*HB11)+(HC11*HD11*HE11)+(HF11*HG11*HH11)+(HI11*HJ11*HK11)</f>
        <v>672</v>
      </c>
      <c r="HM11" s="855"/>
      <c r="HN11" s="118"/>
      <c r="HO11" s="847"/>
      <c r="HP11" s="233"/>
      <c r="HQ11" s="233"/>
      <c r="HR11" s="233"/>
      <c r="HS11" s="233"/>
      <c r="HT11" s="233"/>
      <c r="HU11" s="233"/>
      <c r="HV11" s="233"/>
      <c r="HW11" s="233"/>
      <c r="HX11" s="233"/>
      <c r="HY11" s="233"/>
      <c r="HZ11" s="233"/>
      <c r="IA11" s="233"/>
      <c r="IB11" s="233"/>
      <c r="IC11" s="233"/>
      <c r="ID11" s="233"/>
      <c r="IE11" s="233"/>
      <c r="IF11" s="233"/>
      <c r="IG11" s="233"/>
      <c r="IH11" s="229">
        <f>(HP11*HQ11*HR11)+(HS11*HT11*HU11)+(HV11*HW11*HX11)+(HY11*HZ11*IA11)+(IB11*IC11*ID11)+(IE11*IF11*IG11)</f>
        <v>0</v>
      </c>
      <c r="II11" s="855"/>
      <c r="IK11" s="842"/>
      <c r="IL11" s="233"/>
      <c r="IM11" s="233"/>
      <c r="IN11" s="233"/>
      <c r="IO11" s="233"/>
      <c r="IP11" s="233"/>
      <c r="IQ11" s="233"/>
      <c r="IR11" s="233"/>
      <c r="IS11" s="233"/>
      <c r="IT11" s="233"/>
      <c r="IU11" s="233"/>
      <c r="IV11" s="233"/>
      <c r="IW11" s="233"/>
      <c r="IX11" s="233"/>
      <c r="IY11" s="233"/>
      <c r="IZ11" s="233"/>
      <c r="JA11" s="233"/>
      <c r="JB11" s="233"/>
      <c r="JC11" s="233"/>
      <c r="JD11" s="949"/>
      <c r="JE11" s="229">
        <f>(IL11*IM11*IN11)+(IO11*IP11*IQ11)+(IR11*IS11*IT11)+(IU11*IV11*IW11)+(IX11*IY11*IZ11)+(JA11*JB11*JC11)</f>
        <v>0</v>
      </c>
      <c r="JF11" s="855"/>
      <c r="JH11" s="61">
        <v>9</v>
      </c>
      <c r="JI11" s="62" t="s">
        <v>54</v>
      </c>
      <c r="JJ11" s="61">
        <v>9</v>
      </c>
      <c r="JK11" s="62" t="str" cm="1">
        <f t="array" ref="JK11">IF(INDEX(AB:AB, (ROW()-ROW($JK$3))*3 + 3) &lt;&gt; "", "✔", "")</f>
        <v>✔</v>
      </c>
      <c r="JL11" s="61">
        <v>9</v>
      </c>
      <c r="JM11" s="62" t="str" cm="1">
        <f t="array" ref="JM11">IF(INDEX(AU:AU, (ROW()-ROW($JM$3))*3 + 3) &lt;&gt; "", "✔", "")</f>
        <v>✔</v>
      </c>
      <c r="JN11" s="61">
        <v>9</v>
      </c>
      <c r="JO11" s="62" t="str" cm="1">
        <f t="array" ref="JO11">IF(INDEX(BN:BN, (ROW()-ROW($BN$3))*3 + 3) &lt;&gt; "", "✔", "")</f>
        <v>✔</v>
      </c>
      <c r="JP11" s="61">
        <v>9</v>
      </c>
      <c r="JQ11" s="62" t="str" cm="1">
        <f t="array" ref="JQ11">IF(INDEX(CG:CG, (ROW()-ROW($CG$3))*3 + 3) &lt;&gt; "", "✔", "")</f>
        <v/>
      </c>
      <c r="JR11" s="61">
        <v>9</v>
      </c>
      <c r="JS11" s="62" t="str" cm="1">
        <f t="array" ref="JS11">IF(INDEX(CZ:CZ, (ROW()-ROW($CZ$3))*3 + 3) &lt;&gt; "", "✔", "")</f>
        <v>✔</v>
      </c>
      <c r="JT11" s="61">
        <v>9</v>
      </c>
      <c r="JU11" s="62" t="str" cm="1">
        <f t="array" ref="JU11">IF(INDEX(DS:DS, (ROW()-ROW($DS$3))*3 + 3) &lt;&gt; "", "✔", "")</f>
        <v/>
      </c>
      <c r="JV11" s="61">
        <v>9</v>
      </c>
      <c r="JW11" s="62" t="str" cm="1">
        <f t="array" ref="JW11">IF(INDEX(EL:EL, (ROW()-ROW($EL$3))*3 + 3) &lt;&gt; "", "✔", "")</f>
        <v/>
      </c>
      <c r="JX11" s="61">
        <v>9</v>
      </c>
      <c r="JY11" s="62" t="str" cm="1">
        <f t="array" ref="JY11">IF(INDEX(FE:FE, (ROW()-ROW($FE$3))*3 + 3) &lt;&gt; "", "✔", "")</f>
        <v>✔</v>
      </c>
      <c r="JZ11" s="61">
        <v>9</v>
      </c>
      <c r="KA11" s="62" t="str" cm="1">
        <f t="array" ref="KA11">IF(INDEX(FX:FX, (ROW()-ROW($FX$3))*3 + 3) &lt;&gt; "", "✔", "")</f>
        <v>✔</v>
      </c>
      <c r="KB11" s="61">
        <v>9</v>
      </c>
      <c r="KC11" s="62" t="str" cm="1">
        <f t="array" ref="KC11">IF(INDEX(GT:GT, (ROW()-ROW($GT$3))*3 + 3) &lt;&gt; "", "✔", "")</f>
        <v>✔</v>
      </c>
      <c r="KD11" s="61">
        <v>9</v>
      </c>
      <c r="KE11" s="62" t="str" cm="1">
        <f t="array" ref="KE11">IF(INDEX(HP:HP, (ROW()-ROW($HP$3))*3 + 3) &lt;&gt; "", "✔", "")</f>
        <v>✔</v>
      </c>
      <c r="KG11" s="231">
        <v>40</v>
      </c>
      <c r="KH11" s="230">
        <f t="shared" si="0"/>
        <v>18.14368</v>
      </c>
    </row>
    <row r="12" spans="1:294">
      <c r="A12" s="932"/>
      <c r="B12" s="920"/>
      <c r="C12" s="93">
        <v>2</v>
      </c>
      <c r="D12" s="94" t="s">
        <v>99</v>
      </c>
      <c r="E12" s="95">
        <v>4</v>
      </c>
      <c r="F12" s="96">
        <v>12</v>
      </c>
      <c r="H12" s="876">
        <v>45681</v>
      </c>
      <c r="I12" s="848" t="s">
        <v>100</v>
      </c>
      <c r="J12" s="848"/>
      <c r="K12" s="848"/>
      <c r="L12" s="844"/>
      <c r="M12" s="844"/>
      <c r="N12" s="844"/>
      <c r="O12" s="844"/>
      <c r="P12" s="844"/>
      <c r="Q12" s="844"/>
      <c r="R12" s="844"/>
      <c r="S12" s="844"/>
      <c r="T12" s="844"/>
      <c r="U12" s="844"/>
      <c r="V12" s="844"/>
      <c r="W12" s="844"/>
      <c r="X12" s="823">
        <f t="shared" ref="X12" si="28">COUNTA(I12:W12)</f>
        <v>1</v>
      </c>
      <c r="Y12" s="829">
        <v>94.4</v>
      </c>
      <c r="AA12" s="856">
        <v>45692</v>
      </c>
      <c r="AB12" s="844"/>
      <c r="AC12" s="844"/>
      <c r="AD12" s="844"/>
      <c r="AE12" s="844"/>
      <c r="AF12" s="844"/>
      <c r="AG12" s="844"/>
      <c r="AH12" s="844"/>
      <c r="AI12" s="844"/>
      <c r="AJ12" s="844"/>
      <c r="AK12" s="844"/>
      <c r="AL12" s="844"/>
      <c r="AM12" s="844"/>
      <c r="AN12" s="844"/>
      <c r="AO12" s="844"/>
      <c r="AP12" s="844"/>
      <c r="AQ12" s="823">
        <f t="shared" ref="AQ12" si="29">COUNTA(AB12:AP12)</f>
        <v>0</v>
      </c>
      <c r="AR12" s="855">
        <f>AR9</f>
        <v>94.2</v>
      </c>
      <c r="AT12" s="856">
        <v>45720</v>
      </c>
      <c r="AU12" s="848" t="s">
        <v>92</v>
      </c>
      <c r="AV12" s="848"/>
      <c r="AW12" s="848"/>
      <c r="AX12" s="848" t="s">
        <v>101</v>
      </c>
      <c r="AY12" s="848"/>
      <c r="AZ12" s="848"/>
      <c r="BA12" s="882" t="s">
        <v>95</v>
      </c>
      <c r="BB12" s="883"/>
      <c r="BC12" s="884"/>
      <c r="BD12" s="844"/>
      <c r="BE12" s="844"/>
      <c r="BF12" s="844"/>
      <c r="BG12" s="844"/>
      <c r="BH12" s="844"/>
      <c r="BI12" s="844"/>
      <c r="BJ12" s="823">
        <f t="shared" ref="BJ12" si="30">COUNTA(AU12:BI12)</f>
        <v>3</v>
      </c>
      <c r="BK12" s="855">
        <v>91.4</v>
      </c>
      <c r="BL12" s="118"/>
      <c r="BM12" s="876">
        <v>45751</v>
      </c>
      <c r="BN12" s="844"/>
      <c r="BO12" s="844"/>
      <c r="BP12" s="844"/>
      <c r="BQ12" s="859"/>
      <c r="BR12" s="859"/>
      <c r="BS12" s="859"/>
      <c r="BT12" s="844"/>
      <c r="BU12" s="844"/>
      <c r="BV12" s="844"/>
      <c r="BW12" s="844"/>
      <c r="BX12" s="844"/>
      <c r="BY12" s="844"/>
      <c r="BZ12" s="844"/>
      <c r="CA12" s="844"/>
      <c r="CB12" s="844"/>
      <c r="CC12" s="823">
        <f t="shared" ref="CC12" si="31">COUNTA(BN12:CB12)</f>
        <v>0</v>
      </c>
      <c r="CD12" s="855">
        <f>CD9</f>
        <v>87.5</v>
      </c>
      <c r="CF12" s="864">
        <v>45781</v>
      </c>
      <c r="CG12" s="849" t="s">
        <v>70</v>
      </c>
      <c r="CH12" s="849"/>
      <c r="CI12" s="849"/>
      <c r="CJ12" s="859"/>
      <c r="CK12" s="859"/>
      <c r="CL12" s="859"/>
      <c r="CM12" s="844"/>
      <c r="CN12" s="844"/>
      <c r="CO12" s="844"/>
      <c r="CP12" s="844"/>
      <c r="CQ12" s="844"/>
      <c r="CR12" s="844"/>
      <c r="CS12" s="844"/>
      <c r="CT12" s="844"/>
      <c r="CU12" s="844"/>
      <c r="CV12" s="823">
        <f t="shared" ref="CV12" si="32">COUNTA(CG12:CU12)</f>
        <v>1</v>
      </c>
      <c r="CW12" s="855">
        <v>85.7</v>
      </c>
      <c r="CX12" s="118"/>
      <c r="CY12" s="845">
        <v>45812</v>
      </c>
      <c r="CZ12" s="848" t="s">
        <v>102</v>
      </c>
      <c r="DA12" s="848"/>
      <c r="DB12" s="848"/>
      <c r="DC12" s="848" t="s">
        <v>103</v>
      </c>
      <c r="DD12" s="848"/>
      <c r="DE12" s="848"/>
      <c r="DF12" s="848" t="s">
        <v>104</v>
      </c>
      <c r="DG12" s="848"/>
      <c r="DH12" s="848"/>
      <c r="DI12" s="844"/>
      <c r="DJ12" s="844"/>
      <c r="DK12" s="844"/>
      <c r="DL12" s="844"/>
      <c r="DM12" s="844"/>
      <c r="DN12" s="844"/>
      <c r="DO12" s="823">
        <f t="shared" ref="DO12" si="33">COUNTA(CZ12:DN12)</f>
        <v>3</v>
      </c>
      <c r="DP12" s="855">
        <v>83.3</v>
      </c>
      <c r="DR12" s="876">
        <v>45842</v>
      </c>
      <c r="DS12" s="859"/>
      <c r="DT12" s="859"/>
      <c r="DU12" s="859"/>
      <c r="DV12" s="859"/>
      <c r="DW12" s="859"/>
      <c r="DX12" s="859"/>
      <c r="DY12" s="844"/>
      <c r="DZ12" s="844"/>
      <c r="EA12" s="844"/>
      <c r="EB12" s="844"/>
      <c r="EC12" s="844"/>
      <c r="ED12" s="844"/>
      <c r="EE12" s="844"/>
      <c r="EF12" s="844"/>
      <c r="EG12" s="844"/>
      <c r="EH12" s="823">
        <f t="shared" ref="EH12" si="34">COUNTA(DS12:EG12)</f>
        <v>0</v>
      </c>
      <c r="EI12" s="855">
        <f>EI9</f>
        <v>82</v>
      </c>
      <c r="EK12" s="870">
        <v>45873</v>
      </c>
      <c r="EL12" s="849" t="s">
        <v>72</v>
      </c>
      <c r="EM12" s="849"/>
      <c r="EN12" s="849"/>
      <c r="EO12" s="848" t="s">
        <v>105</v>
      </c>
      <c r="EP12" s="848"/>
      <c r="EQ12" s="848"/>
      <c r="ER12" s="882" t="s">
        <v>101</v>
      </c>
      <c r="ES12" s="883"/>
      <c r="ET12" s="884"/>
      <c r="EU12" s="882" t="s">
        <v>85</v>
      </c>
      <c r="EV12" s="883"/>
      <c r="EW12" s="884"/>
      <c r="EX12" s="844"/>
      <c r="EY12" s="844"/>
      <c r="EZ12" s="844"/>
      <c r="FA12" s="823">
        <f t="shared" ref="FA12" si="35">COUNTA(EL12:EZ12)</f>
        <v>4</v>
      </c>
      <c r="FB12" s="855">
        <v>79.099999999999994</v>
      </c>
      <c r="FD12" s="873">
        <v>45904</v>
      </c>
      <c r="FE12" s="844"/>
      <c r="FF12" s="844"/>
      <c r="FG12" s="844"/>
      <c r="FH12" s="844"/>
      <c r="FI12" s="844"/>
      <c r="FJ12" s="844"/>
      <c r="FK12" s="844"/>
      <c r="FL12" s="844"/>
      <c r="FM12" s="844"/>
      <c r="FN12" s="844"/>
      <c r="FO12" s="844"/>
      <c r="FP12" s="844"/>
      <c r="FQ12" s="844"/>
      <c r="FR12" s="844"/>
      <c r="FS12" s="844"/>
      <c r="FT12" s="823">
        <f t="shared" ref="FT12" si="36">COUNTA(FE12:FS12)</f>
        <v>0</v>
      </c>
      <c r="FU12" s="855">
        <f>FU9</f>
        <v>79.2</v>
      </c>
      <c r="FW12" s="840">
        <v>45934</v>
      </c>
      <c r="FX12" s="848" t="s">
        <v>68</v>
      </c>
      <c r="FY12" s="848"/>
      <c r="FZ12" s="848"/>
      <c r="GA12" s="890" t="s">
        <v>106</v>
      </c>
      <c r="GB12" s="890"/>
      <c r="GC12" s="890"/>
      <c r="GD12" s="890" t="s">
        <v>71</v>
      </c>
      <c r="GE12" s="890"/>
      <c r="GF12" s="890"/>
      <c r="GG12" s="844"/>
      <c r="GH12" s="844"/>
      <c r="GI12" s="844"/>
      <c r="GJ12" s="844"/>
      <c r="GK12" s="844"/>
      <c r="GL12" s="844"/>
      <c r="GM12" s="844"/>
      <c r="GN12" s="844"/>
      <c r="GO12" s="844"/>
      <c r="GP12" s="823">
        <f>COUNTA(FX12:GO12)</f>
        <v>3</v>
      </c>
      <c r="GQ12" s="855">
        <v>78.5</v>
      </c>
      <c r="GR12" s="118"/>
      <c r="GS12" s="856">
        <v>45965</v>
      </c>
      <c r="GT12" s="848" t="s">
        <v>70</v>
      </c>
      <c r="GU12" s="848"/>
      <c r="GV12" s="848"/>
      <c r="GW12" s="859"/>
      <c r="GX12" s="859"/>
      <c r="GY12" s="859"/>
      <c r="GZ12" s="834"/>
      <c r="HA12" s="835"/>
      <c r="HB12" s="836"/>
      <c r="HC12" s="867"/>
      <c r="HD12" s="868"/>
      <c r="HE12" s="869"/>
      <c r="HF12" s="834"/>
      <c r="HG12" s="835"/>
      <c r="HH12" s="836"/>
      <c r="HI12" s="834"/>
      <c r="HJ12" s="835"/>
      <c r="HK12" s="836"/>
      <c r="HL12" s="823">
        <f>COUNTA(GT12:HK12)</f>
        <v>1</v>
      </c>
      <c r="HM12" s="855">
        <v>79</v>
      </c>
      <c r="HN12" s="118"/>
      <c r="HO12" s="873">
        <v>45995</v>
      </c>
      <c r="HP12" s="879" t="s">
        <v>78</v>
      </c>
      <c r="HQ12" s="880"/>
      <c r="HR12" s="881"/>
      <c r="HS12" s="882" t="s">
        <v>85</v>
      </c>
      <c r="HT12" s="883"/>
      <c r="HU12" s="884"/>
      <c r="HV12" s="849" t="s">
        <v>72</v>
      </c>
      <c r="HW12" s="849"/>
      <c r="HX12" s="849"/>
      <c r="HY12" s="844"/>
      <c r="HZ12" s="844"/>
      <c r="IA12" s="844"/>
      <c r="IB12" s="844"/>
      <c r="IC12" s="844"/>
      <c r="ID12" s="844"/>
      <c r="IE12" s="834"/>
      <c r="IF12" s="835"/>
      <c r="IG12" s="836"/>
      <c r="IH12" s="823">
        <f>COUNTA(HP12:IG12)</f>
        <v>3</v>
      </c>
      <c r="II12" s="855">
        <v>77.3</v>
      </c>
      <c r="IK12" s="864">
        <v>46026</v>
      </c>
      <c r="IL12" s="844"/>
      <c r="IM12" s="844"/>
      <c r="IN12" s="844"/>
      <c r="IO12" s="859"/>
      <c r="IP12" s="859"/>
      <c r="IQ12" s="859"/>
      <c r="IR12" s="834"/>
      <c r="IS12" s="835"/>
      <c r="IT12" s="836"/>
      <c r="IU12" s="867"/>
      <c r="IV12" s="868"/>
      <c r="IW12" s="869"/>
      <c r="IX12" s="834"/>
      <c r="IY12" s="835"/>
      <c r="IZ12" s="836"/>
      <c r="JA12" s="834"/>
      <c r="JB12" s="835"/>
      <c r="JC12" s="836"/>
      <c r="JD12" s="232" t="s">
        <v>425</v>
      </c>
      <c r="JE12" s="823">
        <f>COUNTA(IL12:JC12)</f>
        <v>0</v>
      </c>
      <c r="JF12" s="855">
        <f>JF9</f>
        <v>76.900000000000006</v>
      </c>
      <c r="JH12" s="61">
        <v>10</v>
      </c>
      <c r="JI12" s="62" t="s">
        <v>54</v>
      </c>
      <c r="JJ12" s="61">
        <v>10</v>
      </c>
      <c r="JK12" s="62" t="str" cm="1">
        <f t="array" ref="JK12">IF(INDEX(AB:AB, (ROW()-ROW($JK$3))*3 + 3) &lt;&gt; "", "✔", "")</f>
        <v/>
      </c>
      <c r="JL12" s="61">
        <v>10</v>
      </c>
      <c r="JM12" s="62" t="str" cm="1">
        <f t="array" ref="JM12">IF(INDEX(AU:AU, (ROW()-ROW($JM$3))*3 + 3) &lt;&gt; "", "✔", "")</f>
        <v>✔</v>
      </c>
      <c r="JN12" s="124">
        <v>10</v>
      </c>
      <c r="JO12" s="82" t="str" cm="1">
        <f t="array" ref="JO12">IF(INDEX(BN:BN, (ROW()-ROW($BN$3))*3 + 3) &lt;&gt; "", "✔", "")</f>
        <v/>
      </c>
      <c r="JP12" s="124">
        <v>10</v>
      </c>
      <c r="JQ12" s="82" t="str" cm="1">
        <f t="array" ref="JQ12">IF(INDEX(CG:CG, (ROW()-ROW($CG$3))*3 + 3) &lt;&gt; "", "✔", "")</f>
        <v>✔</v>
      </c>
      <c r="JR12" s="124">
        <v>10</v>
      </c>
      <c r="JS12" s="82" t="str" cm="1">
        <f t="array" ref="JS12">IF(INDEX(CZ:CZ, (ROW()-ROW($CZ$3))*3 + 3) &lt;&gt; "", "✔", "")</f>
        <v>✔</v>
      </c>
      <c r="JT12" s="124">
        <v>10</v>
      </c>
      <c r="JU12" s="82" t="str" cm="1">
        <f t="array" ref="JU12">IF(INDEX(DS:DS, (ROW()-ROW($DS$3))*3 + 3) &lt;&gt; "", "✔", "")</f>
        <v>✔</v>
      </c>
      <c r="JV12" s="124">
        <v>10</v>
      </c>
      <c r="JW12" s="82" t="str" cm="1">
        <f t="array" ref="JW12">IF(INDEX(EL:EL, (ROW()-ROW($EL$3))*3 + 3) &lt;&gt; "", "✔", "")</f>
        <v>✔</v>
      </c>
      <c r="JX12" s="124">
        <v>10</v>
      </c>
      <c r="JY12" s="82" t="str" cm="1">
        <f t="array" ref="JY12">IF(INDEX(FE:FE, (ROW()-ROW($FE$3))*3 + 3) &lt;&gt; "", "✔", "")</f>
        <v/>
      </c>
      <c r="JZ12" s="124">
        <v>10</v>
      </c>
      <c r="KA12" s="82" t="str" cm="1">
        <f t="array" ref="KA12">IF(INDEX(FX:FX, (ROW()-ROW($FX$3))*3 + 3) &lt;&gt; "", "✔", "")</f>
        <v/>
      </c>
      <c r="KB12" s="124">
        <v>10</v>
      </c>
      <c r="KC12" s="82" t="str" cm="1">
        <f t="array" ref="KC12">IF(INDEX(GT:GT, (ROW()-ROW($GT$3))*3 + 3) &lt;&gt; "", "✔", "")</f>
        <v/>
      </c>
      <c r="KD12" s="124">
        <v>10</v>
      </c>
      <c r="KE12" s="82" t="str" cm="1">
        <f t="array" ref="KE12">IF(INDEX(HP:HP, (ROW()-ROW($HP$3))*3 + 3) &lt;&gt; "", "✔", "")</f>
        <v>✔</v>
      </c>
      <c r="KG12" s="231">
        <v>45</v>
      </c>
      <c r="KH12" s="230">
        <f t="shared" si="0"/>
        <v>20.411639999999998</v>
      </c>
    </row>
    <row r="13" spans="1:294" ht="19.5" thickBot="1">
      <c r="A13" s="933"/>
      <c r="B13" s="921"/>
      <c r="C13" s="97">
        <v>3</v>
      </c>
      <c r="D13" s="98" t="s">
        <v>107</v>
      </c>
      <c r="E13" s="100">
        <v>3</v>
      </c>
      <c r="F13" s="101">
        <v>20</v>
      </c>
      <c r="H13" s="877"/>
      <c r="I13" s="231" t="s">
        <v>59</v>
      </c>
      <c r="J13" s="231" t="s">
        <v>73</v>
      </c>
      <c r="K13" s="102" t="s">
        <v>4</v>
      </c>
      <c r="L13" s="107" t="s">
        <v>59</v>
      </c>
      <c r="M13" s="107" t="s">
        <v>73</v>
      </c>
      <c r="N13" s="108" t="s">
        <v>4</v>
      </c>
      <c r="O13" s="107" t="s">
        <v>59</v>
      </c>
      <c r="P13" s="107" t="s">
        <v>73</v>
      </c>
      <c r="Q13" s="108" t="s">
        <v>4</v>
      </c>
      <c r="R13" s="107" t="s">
        <v>59</v>
      </c>
      <c r="S13" s="107" t="s">
        <v>73</v>
      </c>
      <c r="T13" s="108" t="s">
        <v>4</v>
      </c>
      <c r="U13" s="107" t="s">
        <v>59</v>
      </c>
      <c r="V13" s="107" t="s">
        <v>73</v>
      </c>
      <c r="W13" s="108" t="s">
        <v>4</v>
      </c>
      <c r="X13" s="823"/>
      <c r="Y13" s="829"/>
      <c r="AA13" s="857"/>
      <c r="AB13" s="107" t="s">
        <v>59</v>
      </c>
      <c r="AC13" s="107" t="s">
        <v>73</v>
      </c>
      <c r="AD13" s="108" t="s">
        <v>4</v>
      </c>
      <c r="AE13" s="107" t="s">
        <v>59</v>
      </c>
      <c r="AF13" s="107" t="s">
        <v>73</v>
      </c>
      <c r="AG13" s="108" t="s">
        <v>4</v>
      </c>
      <c r="AH13" s="107" t="s">
        <v>59</v>
      </c>
      <c r="AI13" s="107" t="s">
        <v>73</v>
      </c>
      <c r="AJ13" s="108" t="s">
        <v>4</v>
      </c>
      <c r="AK13" s="107" t="s">
        <v>59</v>
      </c>
      <c r="AL13" s="107" t="s">
        <v>73</v>
      </c>
      <c r="AM13" s="108" t="s">
        <v>4</v>
      </c>
      <c r="AN13" s="107" t="s">
        <v>59</v>
      </c>
      <c r="AO13" s="107" t="s">
        <v>73</v>
      </c>
      <c r="AP13" s="108" t="s">
        <v>4</v>
      </c>
      <c r="AQ13" s="823"/>
      <c r="AR13" s="855"/>
      <c r="AT13" s="857"/>
      <c r="AU13" s="231" t="s">
        <v>59</v>
      </c>
      <c r="AV13" s="231" t="s">
        <v>73</v>
      </c>
      <c r="AW13" s="102" t="s">
        <v>4</v>
      </c>
      <c r="AX13" s="231" t="s">
        <v>59</v>
      </c>
      <c r="AY13" s="231" t="s">
        <v>73</v>
      </c>
      <c r="AZ13" s="102" t="s">
        <v>4</v>
      </c>
      <c r="BA13" s="231" t="s">
        <v>59</v>
      </c>
      <c r="BB13" s="231" t="s">
        <v>73</v>
      </c>
      <c r="BC13" s="102" t="s">
        <v>4</v>
      </c>
      <c r="BD13" s="107" t="s">
        <v>59</v>
      </c>
      <c r="BE13" s="107" t="s">
        <v>73</v>
      </c>
      <c r="BF13" s="108" t="s">
        <v>4</v>
      </c>
      <c r="BG13" s="107" t="s">
        <v>59</v>
      </c>
      <c r="BH13" s="107" t="s">
        <v>73</v>
      </c>
      <c r="BI13" s="108" t="s">
        <v>4</v>
      </c>
      <c r="BJ13" s="823"/>
      <c r="BK13" s="855"/>
      <c r="BL13" s="118"/>
      <c r="BM13" s="877"/>
      <c r="BN13" s="107" t="s">
        <v>59</v>
      </c>
      <c r="BO13" s="107" t="s">
        <v>73</v>
      </c>
      <c r="BP13" s="108" t="s">
        <v>4</v>
      </c>
      <c r="BQ13" s="107" t="s">
        <v>59</v>
      </c>
      <c r="BR13" s="107" t="s">
        <v>73</v>
      </c>
      <c r="BS13" s="108" t="s">
        <v>4</v>
      </c>
      <c r="BT13" s="107" t="s">
        <v>59</v>
      </c>
      <c r="BU13" s="107" t="s">
        <v>73</v>
      </c>
      <c r="BV13" s="108" t="s">
        <v>4</v>
      </c>
      <c r="BW13" s="107" t="s">
        <v>59</v>
      </c>
      <c r="BX13" s="107" t="s">
        <v>73</v>
      </c>
      <c r="BY13" s="108" t="s">
        <v>4</v>
      </c>
      <c r="BZ13" s="107" t="s">
        <v>59</v>
      </c>
      <c r="CA13" s="107" t="s">
        <v>73</v>
      </c>
      <c r="CB13" s="108" t="s">
        <v>4</v>
      </c>
      <c r="CC13" s="823"/>
      <c r="CD13" s="855"/>
      <c r="CF13" s="865"/>
      <c r="CG13" s="231" t="s">
        <v>59</v>
      </c>
      <c r="CH13" s="231" t="s">
        <v>73</v>
      </c>
      <c r="CI13" s="102" t="s">
        <v>4</v>
      </c>
      <c r="CJ13" s="107" t="s">
        <v>59</v>
      </c>
      <c r="CK13" s="107" t="s">
        <v>73</v>
      </c>
      <c r="CL13" s="108" t="s">
        <v>4</v>
      </c>
      <c r="CM13" s="107" t="s">
        <v>59</v>
      </c>
      <c r="CN13" s="107" t="s">
        <v>73</v>
      </c>
      <c r="CO13" s="108" t="s">
        <v>4</v>
      </c>
      <c r="CP13" s="107" t="s">
        <v>59</v>
      </c>
      <c r="CQ13" s="107" t="s">
        <v>73</v>
      </c>
      <c r="CR13" s="108" t="s">
        <v>4</v>
      </c>
      <c r="CS13" s="107" t="s">
        <v>59</v>
      </c>
      <c r="CT13" s="107" t="s">
        <v>73</v>
      </c>
      <c r="CU13" s="108" t="s">
        <v>4</v>
      </c>
      <c r="CV13" s="823"/>
      <c r="CW13" s="855"/>
      <c r="CX13" s="118"/>
      <c r="CY13" s="846"/>
      <c r="CZ13" s="231" t="s">
        <v>59</v>
      </c>
      <c r="DA13" s="231" t="s">
        <v>73</v>
      </c>
      <c r="DB13" s="102" t="s">
        <v>4</v>
      </c>
      <c r="DC13" s="231" t="s">
        <v>59</v>
      </c>
      <c r="DD13" s="231" t="s">
        <v>73</v>
      </c>
      <c r="DE13" s="102" t="s">
        <v>4</v>
      </c>
      <c r="DF13" s="231" t="s">
        <v>59</v>
      </c>
      <c r="DG13" s="231" t="s">
        <v>73</v>
      </c>
      <c r="DH13" s="102" t="s">
        <v>4</v>
      </c>
      <c r="DI13" s="107" t="s">
        <v>59</v>
      </c>
      <c r="DJ13" s="107" t="s">
        <v>73</v>
      </c>
      <c r="DK13" s="108" t="s">
        <v>4</v>
      </c>
      <c r="DL13" s="107" t="s">
        <v>59</v>
      </c>
      <c r="DM13" s="107" t="s">
        <v>73</v>
      </c>
      <c r="DN13" s="108" t="s">
        <v>4</v>
      </c>
      <c r="DO13" s="823"/>
      <c r="DP13" s="855"/>
      <c r="DR13" s="877"/>
      <c r="DS13" s="107" t="s">
        <v>59</v>
      </c>
      <c r="DT13" s="107" t="s">
        <v>73</v>
      </c>
      <c r="DU13" s="108" t="s">
        <v>4</v>
      </c>
      <c r="DV13" s="107" t="s">
        <v>59</v>
      </c>
      <c r="DW13" s="107" t="s">
        <v>73</v>
      </c>
      <c r="DX13" s="108" t="s">
        <v>4</v>
      </c>
      <c r="DY13" s="107" t="s">
        <v>59</v>
      </c>
      <c r="DZ13" s="107" t="s">
        <v>73</v>
      </c>
      <c r="EA13" s="108" t="s">
        <v>4</v>
      </c>
      <c r="EB13" s="107" t="s">
        <v>59</v>
      </c>
      <c r="EC13" s="107" t="s">
        <v>73</v>
      </c>
      <c r="ED13" s="108" t="s">
        <v>4</v>
      </c>
      <c r="EE13" s="107" t="s">
        <v>59</v>
      </c>
      <c r="EF13" s="107" t="s">
        <v>73</v>
      </c>
      <c r="EG13" s="108" t="s">
        <v>4</v>
      </c>
      <c r="EH13" s="823"/>
      <c r="EI13" s="855"/>
      <c r="EK13" s="871"/>
      <c r="EL13" s="231" t="s">
        <v>59</v>
      </c>
      <c r="EM13" s="231" t="s">
        <v>73</v>
      </c>
      <c r="EN13" s="102" t="s">
        <v>4</v>
      </c>
      <c r="EO13" s="231" t="s">
        <v>59</v>
      </c>
      <c r="EP13" s="231" t="s">
        <v>73</v>
      </c>
      <c r="EQ13" s="102" t="s">
        <v>4</v>
      </c>
      <c r="ER13" s="231" t="s">
        <v>59</v>
      </c>
      <c r="ES13" s="231" t="s">
        <v>73</v>
      </c>
      <c r="ET13" s="102" t="s">
        <v>4</v>
      </c>
      <c r="EU13" s="231" t="s">
        <v>59</v>
      </c>
      <c r="EV13" s="231" t="s">
        <v>73</v>
      </c>
      <c r="EW13" s="102" t="s">
        <v>4</v>
      </c>
      <c r="EX13" s="107" t="s">
        <v>59</v>
      </c>
      <c r="EY13" s="107" t="s">
        <v>73</v>
      </c>
      <c r="EZ13" s="108" t="s">
        <v>4</v>
      </c>
      <c r="FA13" s="823"/>
      <c r="FB13" s="855"/>
      <c r="FD13" s="874"/>
      <c r="FE13" s="107" t="s">
        <v>59</v>
      </c>
      <c r="FF13" s="107" t="s">
        <v>73</v>
      </c>
      <c r="FG13" s="108" t="s">
        <v>4</v>
      </c>
      <c r="FH13" s="107" t="s">
        <v>59</v>
      </c>
      <c r="FI13" s="107" t="s">
        <v>73</v>
      </c>
      <c r="FJ13" s="108" t="s">
        <v>4</v>
      </c>
      <c r="FK13" s="107" t="s">
        <v>59</v>
      </c>
      <c r="FL13" s="107" t="s">
        <v>73</v>
      </c>
      <c r="FM13" s="108" t="s">
        <v>4</v>
      </c>
      <c r="FN13" s="107" t="s">
        <v>59</v>
      </c>
      <c r="FO13" s="107" t="s">
        <v>73</v>
      </c>
      <c r="FP13" s="108" t="s">
        <v>4</v>
      </c>
      <c r="FQ13" s="107" t="s">
        <v>59</v>
      </c>
      <c r="FR13" s="107" t="s">
        <v>73</v>
      </c>
      <c r="FS13" s="108" t="s">
        <v>4</v>
      </c>
      <c r="FT13" s="823"/>
      <c r="FU13" s="855"/>
      <c r="FW13" s="841"/>
      <c r="FX13" s="231" t="s">
        <v>59</v>
      </c>
      <c r="FY13" s="231" t="s">
        <v>73</v>
      </c>
      <c r="FZ13" s="102" t="s">
        <v>4</v>
      </c>
      <c r="GA13" s="231" t="s">
        <v>59</v>
      </c>
      <c r="GB13" s="231" t="s">
        <v>73</v>
      </c>
      <c r="GC13" s="102" t="s">
        <v>4</v>
      </c>
      <c r="GD13" s="231" t="s">
        <v>59</v>
      </c>
      <c r="GE13" s="231" t="s">
        <v>73</v>
      </c>
      <c r="GF13" s="102" t="s">
        <v>4</v>
      </c>
      <c r="GG13" s="107" t="s">
        <v>59</v>
      </c>
      <c r="GH13" s="107" t="s">
        <v>73</v>
      </c>
      <c r="GI13" s="108" t="s">
        <v>4</v>
      </c>
      <c r="GJ13" s="107" t="s">
        <v>59</v>
      </c>
      <c r="GK13" s="107" t="s">
        <v>73</v>
      </c>
      <c r="GL13" s="108" t="s">
        <v>4</v>
      </c>
      <c r="GM13" s="107" t="s">
        <v>59</v>
      </c>
      <c r="GN13" s="107" t="s">
        <v>73</v>
      </c>
      <c r="GO13" s="108" t="s">
        <v>4</v>
      </c>
      <c r="GP13" s="823"/>
      <c r="GQ13" s="855"/>
      <c r="GR13" s="118"/>
      <c r="GS13" s="857"/>
      <c r="GT13" s="231" t="s">
        <v>59</v>
      </c>
      <c r="GU13" s="231" t="s">
        <v>73</v>
      </c>
      <c r="GV13" s="102" t="s">
        <v>4</v>
      </c>
      <c r="GW13" s="107" t="s">
        <v>59</v>
      </c>
      <c r="GX13" s="107" t="s">
        <v>73</v>
      </c>
      <c r="GY13" s="108" t="s">
        <v>4</v>
      </c>
      <c r="GZ13" s="107" t="s">
        <v>59</v>
      </c>
      <c r="HA13" s="107" t="s">
        <v>73</v>
      </c>
      <c r="HB13" s="108" t="s">
        <v>4</v>
      </c>
      <c r="HC13" s="107" t="s">
        <v>59</v>
      </c>
      <c r="HD13" s="107" t="s">
        <v>73</v>
      </c>
      <c r="HE13" s="108" t="s">
        <v>4</v>
      </c>
      <c r="HF13" s="107" t="s">
        <v>59</v>
      </c>
      <c r="HG13" s="107" t="s">
        <v>73</v>
      </c>
      <c r="HH13" s="108" t="s">
        <v>4</v>
      </c>
      <c r="HI13" s="107" t="s">
        <v>59</v>
      </c>
      <c r="HJ13" s="107" t="s">
        <v>73</v>
      </c>
      <c r="HK13" s="108" t="s">
        <v>4</v>
      </c>
      <c r="HL13" s="823"/>
      <c r="HM13" s="855"/>
      <c r="HN13" s="118"/>
      <c r="HO13" s="874"/>
      <c r="HP13" s="231" t="s">
        <v>59</v>
      </c>
      <c r="HQ13" s="231" t="s">
        <v>73</v>
      </c>
      <c r="HR13" s="102" t="s">
        <v>4</v>
      </c>
      <c r="HS13" s="231" t="s">
        <v>59</v>
      </c>
      <c r="HT13" s="231" t="s">
        <v>73</v>
      </c>
      <c r="HU13" s="102" t="s">
        <v>4</v>
      </c>
      <c r="HV13" s="231" t="s">
        <v>59</v>
      </c>
      <c r="HW13" s="231" t="s">
        <v>73</v>
      </c>
      <c r="HX13" s="102" t="s">
        <v>4</v>
      </c>
      <c r="HY13" s="107" t="s">
        <v>59</v>
      </c>
      <c r="HZ13" s="107" t="s">
        <v>73</v>
      </c>
      <c r="IA13" s="108" t="s">
        <v>4</v>
      </c>
      <c r="IB13" s="107" t="s">
        <v>59</v>
      </c>
      <c r="IC13" s="107" t="s">
        <v>73</v>
      </c>
      <c r="ID13" s="108" t="s">
        <v>4</v>
      </c>
      <c r="IE13" s="107" t="s">
        <v>59</v>
      </c>
      <c r="IF13" s="107" t="s">
        <v>73</v>
      </c>
      <c r="IG13" s="108" t="s">
        <v>4</v>
      </c>
      <c r="IH13" s="823"/>
      <c r="II13" s="855"/>
      <c r="IK13" s="865"/>
      <c r="IL13" s="107"/>
      <c r="IM13" s="107"/>
      <c r="IN13" s="108"/>
      <c r="IO13" s="107"/>
      <c r="IP13" s="107"/>
      <c r="IQ13" s="108"/>
      <c r="IR13" s="107"/>
      <c r="IS13" s="107"/>
      <c r="IT13" s="108"/>
      <c r="IU13" s="107"/>
      <c r="IV13" s="107"/>
      <c r="IW13" s="108"/>
      <c r="IX13" s="107"/>
      <c r="IY13" s="107"/>
      <c r="IZ13" s="108"/>
      <c r="JA13" s="107"/>
      <c r="JB13" s="107"/>
      <c r="JC13" s="108"/>
      <c r="JD13" s="948"/>
      <c r="JE13" s="823"/>
      <c r="JF13" s="855"/>
      <c r="JH13" s="58">
        <v>11</v>
      </c>
      <c r="JI13" s="59"/>
      <c r="JJ13" s="61">
        <v>11</v>
      </c>
      <c r="JK13" s="62" t="str" cm="1">
        <f t="array" ref="JK13">IF(INDEX(AB:AB, (ROW()-ROW($JK$3))*3 + 3) &lt;&gt; "", "✔", "")</f>
        <v>✔</v>
      </c>
      <c r="JL13" s="61">
        <v>11</v>
      </c>
      <c r="JM13" s="62" t="str" cm="1">
        <f t="array" ref="JM13">IF(INDEX(AU:AU, (ROW()-ROW($JM$3))*3 + 3) &lt;&gt; "", "✔", "")</f>
        <v>✔</v>
      </c>
      <c r="JN13" s="61">
        <v>11</v>
      </c>
      <c r="JO13" s="62" t="str" cm="1">
        <f t="array" ref="JO13">IF(INDEX(BN:BN, (ROW()-ROW($BN$3))*3 + 3) &lt;&gt; "", "✔", "")</f>
        <v>✔</v>
      </c>
      <c r="JP13" s="61">
        <v>11</v>
      </c>
      <c r="JQ13" s="62" t="str" cm="1">
        <f t="array" ref="JQ13">IF(INDEX(CG:CG, (ROW()-ROW($CG$3))*3 + 3) &lt;&gt; "", "✔", "")</f>
        <v>✔</v>
      </c>
      <c r="JR13" s="61">
        <v>11</v>
      </c>
      <c r="JS13" s="62" t="str" cm="1">
        <f t="array" ref="JS13">IF(INDEX(CZ:CZ, (ROW()-ROW($CZ$3))*3 + 3) &lt;&gt; "", "✔", "")</f>
        <v/>
      </c>
      <c r="JT13" s="61">
        <v>11</v>
      </c>
      <c r="JU13" s="62" t="str" cm="1">
        <f t="array" ref="JU13">IF(INDEX(DS:DS, (ROW()-ROW($DS$3))*3 + 3) &lt;&gt; "", "✔", "")</f>
        <v/>
      </c>
      <c r="JV13" s="61">
        <v>11</v>
      </c>
      <c r="JW13" s="62" t="str" cm="1">
        <f t="array" ref="JW13">IF(INDEX(EL:EL, (ROW()-ROW($EL$3))*3 + 3) &lt;&gt; "", "✔", "")</f>
        <v>✔</v>
      </c>
      <c r="JX13" s="61">
        <v>11</v>
      </c>
      <c r="JY13" s="62" t="str" cm="1">
        <f t="array" ref="JY13">IF(INDEX(FE:FE, (ROW()-ROW($FE$3))*3 + 3) &lt;&gt; "", "✔", "")</f>
        <v>✔</v>
      </c>
      <c r="JZ13" s="61">
        <v>11</v>
      </c>
      <c r="KA13" s="62" t="str" cm="1">
        <f t="array" ref="KA13">IF(INDEX(FX:FX, (ROW()-ROW($FX$3))*3 + 3) &lt;&gt; "", "✔", "")</f>
        <v/>
      </c>
      <c r="KB13" s="61">
        <v>11</v>
      </c>
      <c r="KC13" s="62" t="str" cm="1">
        <f t="array" ref="KC13">IF(INDEX(GT:GT, (ROW()-ROW($GT$3))*3 + 3) &lt;&gt; "", "✔", "")</f>
        <v>✔</v>
      </c>
      <c r="KD13" s="61">
        <v>11</v>
      </c>
      <c r="KE13" s="62" t="str" cm="1">
        <f t="array" ref="KE13">IF(INDEX(HP:HP, (ROW()-ROW($HP$3))*3 + 3) &lt;&gt; "", "✔", "")</f>
        <v>✔</v>
      </c>
      <c r="KG13" s="231">
        <v>50</v>
      </c>
      <c r="KH13" s="230">
        <f t="shared" si="0"/>
        <v>22.679600000000001</v>
      </c>
    </row>
    <row r="14" spans="1:294">
      <c r="A14" s="916" t="s">
        <v>32</v>
      </c>
      <c r="B14" s="919" t="s">
        <v>108</v>
      </c>
      <c r="C14" s="89">
        <v>1</v>
      </c>
      <c r="D14" s="99" t="s">
        <v>109</v>
      </c>
      <c r="E14" s="91">
        <v>4</v>
      </c>
      <c r="F14" s="92">
        <v>8</v>
      </c>
      <c r="H14" s="878"/>
      <c r="I14" s="229">
        <v>1</v>
      </c>
      <c r="J14" s="229">
        <v>20</v>
      </c>
      <c r="K14" s="229">
        <v>94.4</v>
      </c>
      <c r="L14" s="233"/>
      <c r="M14" s="233"/>
      <c r="N14" s="233"/>
      <c r="O14" s="233"/>
      <c r="P14" s="233"/>
      <c r="Q14" s="233"/>
      <c r="R14" s="233"/>
      <c r="S14" s="233"/>
      <c r="T14" s="233"/>
      <c r="U14" s="233"/>
      <c r="V14" s="233"/>
      <c r="W14" s="233"/>
      <c r="X14" s="229">
        <f t="shared" ref="X14" si="37">(I14*J14*K14)+(L14*M14*N14)+(O14*P14*Q14)+(R14*S14*T14)+(U14*V14*W14)</f>
        <v>1888</v>
      </c>
      <c r="Y14" s="829"/>
      <c r="AA14" s="858"/>
      <c r="AB14" s="233"/>
      <c r="AC14" s="233"/>
      <c r="AD14" s="233"/>
      <c r="AE14" s="233"/>
      <c r="AF14" s="233"/>
      <c r="AG14" s="233"/>
      <c r="AH14" s="233"/>
      <c r="AI14" s="233"/>
      <c r="AJ14" s="233"/>
      <c r="AK14" s="233"/>
      <c r="AL14" s="233"/>
      <c r="AM14" s="233"/>
      <c r="AN14" s="233"/>
      <c r="AO14" s="233"/>
      <c r="AP14" s="233"/>
      <c r="AQ14" s="229">
        <f t="shared" ref="AQ14" si="38">(AB14*AC14*AD14)+(AE14*AF14*AG14)+(AH14*AI14*AJ14)+(AK14*AL14*AM14)+(AN14*AO14*AP14)</f>
        <v>0</v>
      </c>
      <c r="AR14" s="855"/>
      <c r="AT14" s="858"/>
      <c r="AU14" s="229">
        <v>4</v>
      </c>
      <c r="AV14" s="229">
        <v>8</v>
      </c>
      <c r="AW14" s="229">
        <v>15</v>
      </c>
      <c r="AX14" s="229">
        <v>4</v>
      </c>
      <c r="AY14" s="229">
        <v>8</v>
      </c>
      <c r="AZ14" s="229">
        <v>15.9</v>
      </c>
      <c r="BA14" s="229">
        <v>4</v>
      </c>
      <c r="BB14" s="229">
        <v>8</v>
      </c>
      <c r="BC14" s="229">
        <f>((6.8*1)+(9.1*3))/4</f>
        <v>8.5249999999999986</v>
      </c>
      <c r="BD14" s="233"/>
      <c r="BE14" s="233"/>
      <c r="BF14" s="233"/>
      <c r="BG14" s="233"/>
      <c r="BH14" s="233"/>
      <c r="BI14" s="233"/>
      <c r="BJ14" s="229">
        <f t="shared" ref="BJ14" si="39">(AU14*AV14*AW14)+(AX14*AY14*AZ14)+(BA14*BB14*BC14)+(BD14*BE14*BF14)+(BG14*BH14*BI14)</f>
        <v>1261.5999999999999</v>
      </c>
      <c r="BK14" s="855"/>
      <c r="BL14" s="118"/>
      <c r="BM14" s="878"/>
      <c r="BN14" s="233"/>
      <c r="BO14" s="233"/>
      <c r="BP14" s="233"/>
      <c r="BQ14" s="233"/>
      <c r="BR14" s="233"/>
      <c r="BS14" s="233"/>
      <c r="BT14" s="233"/>
      <c r="BU14" s="233"/>
      <c r="BV14" s="233"/>
      <c r="BW14" s="233"/>
      <c r="BX14" s="233"/>
      <c r="BY14" s="233"/>
      <c r="BZ14" s="233"/>
      <c r="CA14" s="233"/>
      <c r="CB14" s="233"/>
      <c r="CC14" s="229">
        <f t="shared" ref="CC14" si="40">(BN14*BO14*BP14)+(BQ14*BR14*BS14)+(BT14*BU14*BV14)+(BW14*BX14*BY14)+(BZ14*CA14*CB14)</f>
        <v>0</v>
      </c>
      <c r="CD14" s="855"/>
      <c r="CF14" s="866"/>
      <c r="CG14" s="229">
        <v>1</v>
      </c>
      <c r="CH14" s="229">
        <v>42</v>
      </c>
      <c r="CI14" s="229">
        <f>CW12</f>
        <v>85.7</v>
      </c>
      <c r="CJ14" s="233"/>
      <c r="CK14" s="233"/>
      <c r="CL14" s="233"/>
      <c r="CM14" s="233"/>
      <c r="CN14" s="233"/>
      <c r="CO14" s="233"/>
      <c r="CP14" s="233"/>
      <c r="CQ14" s="233"/>
      <c r="CR14" s="233"/>
      <c r="CS14" s="233"/>
      <c r="CT14" s="233"/>
      <c r="CU14" s="233"/>
      <c r="CV14" s="229">
        <f t="shared" ref="CV14" si="41">(CG14*CH14*CI14)+(CJ14*CK14*CL14)+(CM14*CN14*CO14)+(CP14*CQ14*CR14)+(CS14*CT14*CU14)</f>
        <v>3599.4</v>
      </c>
      <c r="CW14" s="855"/>
      <c r="CX14" s="118"/>
      <c r="CY14" s="847"/>
      <c r="CZ14" s="229">
        <v>4</v>
      </c>
      <c r="DA14" s="229">
        <f>((8*1)+(10*3))/4</f>
        <v>9.5</v>
      </c>
      <c r="DB14" s="126">
        <v>9.1</v>
      </c>
      <c r="DC14" s="229">
        <v>4</v>
      </c>
      <c r="DD14" s="229">
        <v>10</v>
      </c>
      <c r="DE14" s="229">
        <f>((5*2)+(7.5*2))/4</f>
        <v>6.25</v>
      </c>
      <c r="DF14" s="229">
        <v>4</v>
      </c>
      <c r="DG14" s="229">
        <v>10</v>
      </c>
      <c r="DH14" s="229">
        <f>((5*1)+(7.5*3))/4</f>
        <v>6.875</v>
      </c>
      <c r="DI14" s="233"/>
      <c r="DJ14" s="233"/>
      <c r="DK14" s="233"/>
      <c r="DL14" s="233"/>
      <c r="DM14" s="233"/>
      <c r="DN14" s="233"/>
      <c r="DO14" s="229">
        <f t="shared" ref="DO14" si="42">(CZ14*DA14*DB14)+(DC14*DD14*DE14)+(DF14*DG14*DH14)+(DI14*DJ14*DK14)+(DL14*DM14*DN14)</f>
        <v>870.8</v>
      </c>
      <c r="DP14" s="855"/>
      <c r="DR14" s="878"/>
      <c r="DS14" s="233"/>
      <c r="DT14" s="233"/>
      <c r="DU14" s="233"/>
      <c r="DV14" s="233"/>
      <c r="DW14" s="233"/>
      <c r="DX14" s="233"/>
      <c r="DY14" s="233"/>
      <c r="DZ14" s="233"/>
      <c r="EA14" s="233"/>
      <c r="EB14" s="233"/>
      <c r="EC14" s="233"/>
      <c r="ED14" s="233"/>
      <c r="EE14" s="233"/>
      <c r="EF14" s="233"/>
      <c r="EG14" s="233"/>
      <c r="EH14" s="229">
        <f t="shared" ref="EH14" si="43">(DS14*DT14*DU14)+(DV14*DW14*DX14)+(DY14*DZ14*EA14)+(EB14*EC14*ED14)+(EE14*EF14*EG14)</f>
        <v>0</v>
      </c>
      <c r="EI14" s="855"/>
      <c r="EK14" s="872"/>
      <c r="EL14" s="229">
        <v>3</v>
      </c>
      <c r="EM14" s="229">
        <v>10</v>
      </c>
      <c r="EN14" s="229">
        <v>50</v>
      </c>
      <c r="EO14" s="229">
        <v>3</v>
      </c>
      <c r="EP14" s="126">
        <v>12</v>
      </c>
      <c r="EQ14" s="229">
        <v>12.5</v>
      </c>
      <c r="ER14" s="229">
        <v>3</v>
      </c>
      <c r="ES14" s="126">
        <v>12</v>
      </c>
      <c r="ET14" s="229">
        <v>31.8</v>
      </c>
      <c r="EU14" s="229">
        <v>3</v>
      </c>
      <c r="EV14" s="126">
        <v>20</v>
      </c>
      <c r="EW14" s="126">
        <f>(1/3)*$FB12</f>
        <v>26.366666666666664</v>
      </c>
      <c r="EX14" s="233"/>
      <c r="EY14" s="233"/>
      <c r="EZ14" s="233"/>
      <c r="FA14" s="229">
        <f t="shared" ref="FA14" si="44">(EL14*EM14*EN14)+(EO14*EP14*EQ14)+(ER14*ES14*ET14)+(EU14*EV14*EW14)+(EX14*EY14*EZ14)</f>
        <v>4676.8</v>
      </c>
      <c r="FB14" s="855"/>
      <c r="FD14" s="875"/>
      <c r="FE14" s="233"/>
      <c r="FF14" s="233"/>
      <c r="FG14" s="233"/>
      <c r="FH14" s="233"/>
      <c r="FI14" s="233"/>
      <c r="FJ14" s="233"/>
      <c r="FK14" s="233"/>
      <c r="FL14" s="233"/>
      <c r="FM14" s="233"/>
      <c r="FN14" s="233"/>
      <c r="FO14" s="233"/>
      <c r="FP14" s="233"/>
      <c r="FQ14" s="233"/>
      <c r="FR14" s="233"/>
      <c r="FS14" s="233"/>
      <c r="FT14" s="229">
        <f t="shared" ref="FT14" si="45">(FE14*FF14*FG14)+(FH14*FI14*FJ14)+(FK14*FL14*FM14)+(FN14*FO14*FP14)+(FQ14*FR14*FS14)</f>
        <v>0</v>
      </c>
      <c r="FU14" s="855"/>
      <c r="FW14" s="842"/>
      <c r="FX14" s="229">
        <v>3</v>
      </c>
      <c r="FY14" s="229">
        <v>10</v>
      </c>
      <c r="FZ14" s="229">
        <v>68</v>
      </c>
      <c r="GA14" s="229">
        <v>4</v>
      </c>
      <c r="GB14" s="229">
        <v>12</v>
      </c>
      <c r="GC14" s="126">
        <v>12.5</v>
      </c>
      <c r="GD14" s="229">
        <v>3</v>
      </c>
      <c r="GE14" s="229">
        <v>12</v>
      </c>
      <c r="GF14" s="229">
        <v>25</v>
      </c>
      <c r="GG14" s="233"/>
      <c r="GH14" s="233"/>
      <c r="GI14" s="233"/>
      <c r="GJ14" s="233"/>
      <c r="GK14" s="233"/>
      <c r="GL14" s="233"/>
      <c r="GM14" s="233"/>
      <c r="GN14" s="233"/>
      <c r="GO14" s="233"/>
      <c r="GP14" s="229">
        <f>(FX14*FY14*FZ14)+(GA14*GB14*GC14)+(GD14*GE14*GF14)+(GG14*GH14*GI14)+(GJ14*GK14*GL14)+(GM14*GN14*GO14)</f>
        <v>3540</v>
      </c>
      <c r="GQ14" s="855"/>
      <c r="GR14" s="118"/>
      <c r="GS14" s="858"/>
      <c r="GT14" s="229">
        <v>1</v>
      </c>
      <c r="GU14" s="229">
        <v>30</v>
      </c>
      <c r="GV14" s="229">
        <f>HM12</f>
        <v>79</v>
      </c>
      <c r="GW14" s="233"/>
      <c r="GX14" s="233"/>
      <c r="GY14" s="233"/>
      <c r="GZ14" s="233"/>
      <c r="HA14" s="233"/>
      <c r="HB14" s="233"/>
      <c r="HC14" s="233"/>
      <c r="HD14" s="233"/>
      <c r="HE14" s="233"/>
      <c r="HF14" s="233"/>
      <c r="HG14" s="233"/>
      <c r="HH14" s="233"/>
      <c r="HI14" s="233"/>
      <c r="HJ14" s="233"/>
      <c r="HK14" s="233"/>
      <c r="HL14" s="229">
        <f>(GT14*GU14*GV14)+(GW14*GX14*GY14)+(GZ14*HA14*HB14)+(HC14*HD14*HE14)+(HF14*HG14*HH14)+(HI14*HJ14*HK14)</f>
        <v>2370</v>
      </c>
      <c r="HM14" s="855"/>
      <c r="HN14" s="118"/>
      <c r="HO14" s="875"/>
      <c r="HP14" s="229">
        <v>4</v>
      </c>
      <c r="HQ14" s="229">
        <v>8</v>
      </c>
      <c r="HR14" s="229">
        <v>20</v>
      </c>
      <c r="HS14" s="229">
        <v>3</v>
      </c>
      <c r="HT14" s="229">
        <v>40</v>
      </c>
      <c r="HU14" s="229">
        <f>II12*(1/3)</f>
        <v>25.766666666666666</v>
      </c>
      <c r="HV14" s="229">
        <v>4</v>
      </c>
      <c r="HW14" s="229">
        <v>8</v>
      </c>
      <c r="HX14" s="229">
        <v>59</v>
      </c>
      <c r="HY14" s="233"/>
      <c r="HZ14" s="233"/>
      <c r="IA14" s="233"/>
      <c r="IB14" s="233"/>
      <c r="IC14" s="233"/>
      <c r="ID14" s="233"/>
      <c r="IE14" s="233"/>
      <c r="IF14" s="233"/>
      <c r="IG14" s="233"/>
      <c r="IH14" s="229">
        <f>(HP14*HQ14*HR14)+(HS14*HT14*HU14)+(HV14*HW14*HX14)+(HY14*HZ14*IA14)+(IB14*IC14*ID14)+(IE14*IF14*IG14)</f>
        <v>5620</v>
      </c>
      <c r="II14" s="855"/>
      <c r="IK14" s="866"/>
      <c r="IL14" s="233"/>
      <c r="IM14" s="233"/>
      <c r="IN14" s="233"/>
      <c r="IO14" s="233"/>
      <c r="IP14" s="233"/>
      <c r="IQ14" s="233"/>
      <c r="IR14" s="233"/>
      <c r="IS14" s="233"/>
      <c r="IT14" s="233"/>
      <c r="IU14" s="233"/>
      <c r="IV14" s="233"/>
      <c r="IW14" s="233"/>
      <c r="IX14" s="233"/>
      <c r="IY14" s="233"/>
      <c r="IZ14" s="233"/>
      <c r="JA14" s="233"/>
      <c r="JB14" s="233"/>
      <c r="JC14" s="233"/>
      <c r="JD14" s="949"/>
      <c r="JE14" s="229">
        <f>(IL14*IM14*IN14)+(IO14*IP14*IQ14)+(IR14*IS14*IT14)+(IU14*IV14*IW14)+(IX14*IY14*IZ14)+(JA14*JB14*JC14)</f>
        <v>0</v>
      </c>
      <c r="JF14" s="855"/>
      <c r="JH14" s="61">
        <v>12</v>
      </c>
      <c r="JI14" s="62" t="s">
        <v>54</v>
      </c>
      <c r="JJ14" s="58">
        <v>12</v>
      </c>
      <c r="JK14" s="59" t="str" cm="1">
        <f t="array" ref="JK14">IF(INDEX(AB:AB, (ROW()-ROW($JK$3))*3 + 3) &lt;&gt; "", "✔", "")</f>
        <v>✔</v>
      </c>
      <c r="JL14" s="58">
        <v>12</v>
      </c>
      <c r="JM14" s="59" t="str" cm="1">
        <f t="array" ref="JM14">IF(INDEX(AU:AU, (ROW()-ROW($JM$3))*3 + 3) &lt;&gt; "", "✔", "")</f>
        <v>✔</v>
      </c>
      <c r="JN14" s="124">
        <v>12</v>
      </c>
      <c r="JO14" s="82" t="str" cm="1">
        <f t="array" ref="JO14">IF(INDEX(BN:BN, (ROW()-ROW($BN$3))*3 + 3) &lt;&gt; "", "✔", "")</f>
        <v/>
      </c>
      <c r="JP14" s="124">
        <v>12</v>
      </c>
      <c r="JQ14" s="82" t="str" cm="1">
        <f t="array" ref="JQ14">IF(INDEX(CG:CG, (ROW()-ROW($CG$3))*3 + 3) &lt;&gt; "", "✔", "")</f>
        <v>✔</v>
      </c>
      <c r="JR14" s="124">
        <v>12</v>
      </c>
      <c r="JS14" s="82" t="str" cm="1">
        <f t="array" ref="JS14">IF(INDEX(CZ:CZ, (ROW()-ROW($CZ$3))*3 + 3) &lt;&gt; "", "✔", "")</f>
        <v>✔</v>
      </c>
      <c r="JT14" s="124">
        <v>12</v>
      </c>
      <c r="JU14" s="82" t="str" cm="1">
        <f t="array" ref="JU14">IF(INDEX(DS:DS, (ROW()-ROW($DS$3))*3 + 3) &lt;&gt; "", "✔", "")</f>
        <v/>
      </c>
      <c r="JV14" s="124">
        <v>12</v>
      </c>
      <c r="JW14" s="82" t="str" cm="1">
        <f t="array" ref="JW14">IF(INDEX(EL:EL, (ROW()-ROW($EL$3))*3 + 3) &lt;&gt; "", "✔", "")</f>
        <v>✔</v>
      </c>
      <c r="JX14" s="124">
        <v>12</v>
      </c>
      <c r="JY14" s="82" t="str" cm="1">
        <f t="array" ref="JY14">IF(INDEX(FE:FE, (ROW()-ROW($FE$3))*3 + 3) &lt;&gt; "", "✔", "")</f>
        <v>✔</v>
      </c>
      <c r="JZ14" s="124">
        <v>12</v>
      </c>
      <c r="KA14" s="82" t="str" cm="1">
        <f t="array" ref="KA14">IF(INDEX(FX:FX, (ROW()-ROW($FX$3))*3 + 3) &lt;&gt; "", "✔", "")</f>
        <v/>
      </c>
      <c r="KB14" s="124">
        <v>12</v>
      </c>
      <c r="KC14" s="82" t="str" cm="1">
        <f t="array" ref="KC14">IF(INDEX(GT:GT, (ROW()-ROW($GT$3))*3 + 3) &lt;&gt; "", "✔", "")</f>
        <v/>
      </c>
      <c r="KD14" s="124">
        <v>12</v>
      </c>
      <c r="KE14" s="82" t="str" cm="1">
        <f t="array" ref="KE14">IF(INDEX(HP:HP, (ROW()-ROW($HP$3))*3 + 3) &lt;&gt; "", "✔", "")</f>
        <v/>
      </c>
      <c r="KG14" s="231">
        <v>55</v>
      </c>
      <c r="KH14" s="230">
        <f t="shared" si="0"/>
        <v>24.947559999999999</v>
      </c>
    </row>
    <row r="15" spans="1:294">
      <c r="A15" s="917"/>
      <c r="B15" s="920"/>
      <c r="C15" s="93">
        <v>2</v>
      </c>
      <c r="D15" s="94" t="s">
        <v>72</v>
      </c>
      <c r="E15" s="95">
        <v>4</v>
      </c>
      <c r="F15" s="96">
        <v>8</v>
      </c>
      <c r="H15" s="938">
        <v>45682</v>
      </c>
      <c r="I15" s="844"/>
      <c r="J15" s="844"/>
      <c r="K15" s="844"/>
      <c r="L15" s="844"/>
      <c r="M15" s="844"/>
      <c r="N15" s="844"/>
      <c r="O15" s="844"/>
      <c r="P15" s="844"/>
      <c r="Q15" s="844"/>
      <c r="R15" s="844"/>
      <c r="S15" s="844"/>
      <c r="T15" s="844"/>
      <c r="U15" s="844"/>
      <c r="V15" s="844"/>
      <c r="W15" s="844"/>
      <c r="X15" s="823">
        <f t="shared" ref="X15" si="46">COUNTA(I15:W15)</f>
        <v>0</v>
      </c>
      <c r="Y15" s="939">
        <f>Y12</f>
        <v>94.4</v>
      </c>
      <c r="AA15" s="845">
        <v>45693</v>
      </c>
      <c r="AB15" s="844"/>
      <c r="AC15" s="844"/>
      <c r="AD15" s="844"/>
      <c r="AE15" s="844"/>
      <c r="AF15" s="844"/>
      <c r="AG15" s="844"/>
      <c r="AH15" s="844"/>
      <c r="AI15" s="844"/>
      <c r="AJ15" s="844"/>
      <c r="AK15" s="844"/>
      <c r="AL15" s="844"/>
      <c r="AM15" s="844"/>
      <c r="AN15" s="844"/>
      <c r="AO15" s="844"/>
      <c r="AP15" s="844"/>
      <c r="AQ15" s="823">
        <f t="shared" ref="AQ15" si="47">COUNTA(AB15:AP15)</f>
        <v>0</v>
      </c>
      <c r="AR15" s="824">
        <f>AR12</f>
        <v>94.2</v>
      </c>
      <c r="AT15" s="845">
        <v>45721</v>
      </c>
      <c r="AU15" s="844"/>
      <c r="AV15" s="844"/>
      <c r="AW15" s="844"/>
      <c r="AX15" s="844"/>
      <c r="AY15" s="844"/>
      <c r="AZ15" s="844"/>
      <c r="BA15" s="844"/>
      <c r="BB15" s="844"/>
      <c r="BC15" s="844"/>
      <c r="BD15" s="844"/>
      <c r="BE15" s="844"/>
      <c r="BF15" s="844"/>
      <c r="BG15" s="844"/>
      <c r="BH15" s="844"/>
      <c r="BI15" s="844"/>
      <c r="BJ15" s="823">
        <f t="shared" ref="BJ15" si="48">COUNTA(AU15:BI15)</f>
        <v>0</v>
      </c>
      <c r="BK15" s="824">
        <f>BK12</f>
        <v>91.4</v>
      </c>
      <c r="BL15" s="118"/>
      <c r="BM15" s="840">
        <v>45752</v>
      </c>
      <c r="BN15" s="848" t="s">
        <v>68</v>
      </c>
      <c r="BO15" s="848"/>
      <c r="BP15" s="848"/>
      <c r="BQ15" s="890" t="s">
        <v>71</v>
      </c>
      <c r="BR15" s="890"/>
      <c r="BS15" s="890"/>
      <c r="BT15" s="882" t="s">
        <v>110</v>
      </c>
      <c r="BU15" s="883"/>
      <c r="BV15" s="884"/>
      <c r="BW15" s="882" t="s">
        <v>111</v>
      </c>
      <c r="BX15" s="883"/>
      <c r="BY15" s="884"/>
      <c r="BZ15" s="848" t="s">
        <v>85</v>
      </c>
      <c r="CA15" s="848"/>
      <c r="CB15" s="848"/>
      <c r="CC15" s="823">
        <f t="shared" ref="CC15" si="49">COUNTA(BN15:CB15)</f>
        <v>5</v>
      </c>
      <c r="CD15" s="824">
        <v>87.7</v>
      </c>
      <c r="CF15" s="870">
        <v>45782</v>
      </c>
      <c r="CG15" s="859"/>
      <c r="CH15" s="859"/>
      <c r="CI15" s="859"/>
      <c r="CJ15" s="859"/>
      <c r="CK15" s="859"/>
      <c r="CL15" s="859"/>
      <c r="CM15" s="844"/>
      <c r="CN15" s="844"/>
      <c r="CO15" s="844"/>
      <c r="CP15" s="844"/>
      <c r="CQ15" s="844"/>
      <c r="CR15" s="844"/>
      <c r="CS15" s="844"/>
      <c r="CT15" s="844"/>
      <c r="CU15" s="844"/>
      <c r="CV15" s="823">
        <f t="shared" ref="CV15" si="50">COUNTA(CG15:CU15)</f>
        <v>0</v>
      </c>
      <c r="CW15" s="824">
        <f>CW12</f>
        <v>85.7</v>
      </c>
      <c r="CX15" s="118"/>
      <c r="CY15" s="873">
        <v>45813</v>
      </c>
      <c r="CZ15" s="859"/>
      <c r="DA15" s="859"/>
      <c r="DB15" s="859"/>
      <c r="DC15" s="859"/>
      <c r="DD15" s="859"/>
      <c r="DE15" s="859"/>
      <c r="DF15" s="844"/>
      <c r="DG15" s="844"/>
      <c r="DH15" s="844"/>
      <c r="DI15" s="844"/>
      <c r="DJ15" s="844"/>
      <c r="DK15" s="844"/>
      <c r="DL15" s="844"/>
      <c r="DM15" s="844"/>
      <c r="DN15" s="844"/>
      <c r="DO15" s="823">
        <f t="shared" ref="DO15" si="51">COUNTA(CZ15:DN15)</f>
        <v>0</v>
      </c>
      <c r="DP15" s="824">
        <f>DP12</f>
        <v>83.3</v>
      </c>
      <c r="DR15" s="840">
        <v>45843</v>
      </c>
      <c r="DS15" s="848" t="s">
        <v>68</v>
      </c>
      <c r="DT15" s="848"/>
      <c r="DU15" s="848"/>
      <c r="DV15" s="890" t="s">
        <v>71</v>
      </c>
      <c r="DW15" s="890"/>
      <c r="DX15" s="890"/>
      <c r="DY15" s="882" t="s">
        <v>110</v>
      </c>
      <c r="DZ15" s="883"/>
      <c r="EA15" s="884"/>
      <c r="EB15" s="882" t="s">
        <v>111</v>
      </c>
      <c r="EC15" s="883"/>
      <c r="ED15" s="884"/>
      <c r="EE15" s="844"/>
      <c r="EF15" s="844"/>
      <c r="EG15" s="844"/>
      <c r="EH15" s="823">
        <f t="shared" ref="EH15" si="52">COUNTA(DS15:EG15)</f>
        <v>4</v>
      </c>
      <c r="EI15" s="824">
        <v>81.900000000000006</v>
      </c>
      <c r="EK15" s="856">
        <v>45874</v>
      </c>
      <c r="EL15" s="849" t="s">
        <v>70</v>
      </c>
      <c r="EM15" s="849"/>
      <c r="EN15" s="849"/>
      <c r="EO15" s="859"/>
      <c r="EP15" s="859"/>
      <c r="EQ15" s="859"/>
      <c r="ER15" s="844"/>
      <c r="ES15" s="844"/>
      <c r="ET15" s="844"/>
      <c r="EU15" s="844"/>
      <c r="EV15" s="844"/>
      <c r="EW15" s="844"/>
      <c r="EX15" s="844"/>
      <c r="EY15" s="844"/>
      <c r="EZ15" s="844"/>
      <c r="FA15" s="823">
        <f t="shared" ref="FA15" si="53">COUNTA(EL15:EZ15)</f>
        <v>1</v>
      </c>
      <c r="FB15" s="824">
        <v>79</v>
      </c>
      <c r="FD15" s="876">
        <v>45905</v>
      </c>
      <c r="FE15" s="849" t="s">
        <v>89</v>
      </c>
      <c r="FF15" s="849"/>
      <c r="FG15" s="849"/>
      <c r="FH15" s="886" t="s">
        <v>112</v>
      </c>
      <c r="FI15" s="886"/>
      <c r="FJ15" s="886"/>
      <c r="FK15" s="849" t="s">
        <v>113</v>
      </c>
      <c r="FL15" s="849"/>
      <c r="FM15" s="849"/>
      <c r="FN15" s="849" t="s">
        <v>114</v>
      </c>
      <c r="FO15" s="849"/>
      <c r="FP15" s="849"/>
      <c r="FQ15" s="844"/>
      <c r="FR15" s="844"/>
      <c r="FS15" s="844"/>
      <c r="FT15" s="823">
        <f t="shared" ref="FT15" si="54">COUNTA(FE15:FS15)</f>
        <v>4</v>
      </c>
      <c r="FU15" s="824">
        <v>79.3</v>
      </c>
      <c r="FW15" s="864">
        <v>45935</v>
      </c>
      <c r="FX15" s="849" t="s">
        <v>89</v>
      </c>
      <c r="FY15" s="849"/>
      <c r="FZ15" s="849"/>
      <c r="GA15" s="848" t="s">
        <v>103</v>
      </c>
      <c r="GB15" s="848"/>
      <c r="GC15" s="848"/>
      <c r="GD15" s="849" t="s">
        <v>115</v>
      </c>
      <c r="GE15" s="849"/>
      <c r="GF15" s="849"/>
      <c r="GG15" s="890" t="s">
        <v>116</v>
      </c>
      <c r="GH15" s="890"/>
      <c r="GI15" s="890"/>
      <c r="GJ15" s="882" t="s">
        <v>85</v>
      </c>
      <c r="GK15" s="883"/>
      <c r="GL15" s="884"/>
      <c r="GM15" s="844"/>
      <c r="GN15" s="844"/>
      <c r="GO15" s="844"/>
      <c r="GP15" s="823">
        <f>COUNTA(FX15:GO15)</f>
        <v>5</v>
      </c>
      <c r="GQ15" s="824">
        <v>78</v>
      </c>
      <c r="GR15" s="118"/>
      <c r="GS15" s="845">
        <v>45966</v>
      </c>
      <c r="GT15" s="844"/>
      <c r="GU15" s="844"/>
      <c r="GV15" s="844"/>
      <c r="GW15" s="859"/>
      <c r="GX15" s="859"/>
      <c r="GY15" s="859"/>
      <c r="GZ15" s="834"/>
      <c r="HA15" s="835"/>
      <c r="HB15" s="836"/>
      <c r="HC15" s="867"/>
      <c r="HD15" s="868"/>
      <c r="HE15" s="869"/>
      <c r="HF15" s="834"/>
      <c r="HG15" s="835"/>
      <c r="HH15" s="836"/>
      <c r="HI15" s="834"/>
      <c r="HJ15" s="835"/>
      <c r="HK15" s="836"/>
      <c r="HL15" s="823">
        <f>COUNTA(GT15:HK15)</f>
        <v>0</v>
      </c>
      <c r="HM15" s="824">
        <f>HM12</f>
        <v>79</v>
      </c>
      <c r="HN15" s="118"/>
      <c r="HO15" s="876">
        <v>45996</v>
      </c>
      <c r="HP15" s="834"/>
      <c r="HQ15" s="835"/>
      <c r="HR15" s="836"/>
      <c r="HS15" s="843"/>
      <c r="HT15" s="843"/>
      <c r="HU15" s="843"/>
      <c r="HV15" s="834"/>
      <c r="HW15" s="835"/>
      <c r="HX15" s="836"/>
      <c r="HY15" s="844"/>
      <c r="HZ15" s="844"/>
      <c r="IA15" s="844"/>
      <c r="IB15" s="844"/>
      <c r="IC15" s="844"/>
      <c r="ID15" s="844"/>
      <c r="IE15" s="834"/>
      <c r="IF15" s="835"/>
      <c r="IG15" s="836"/>
      <c r="IH15" s="823">
        <f>COUNTA(HP15:IG15)</f>
        <v>0</v>
      </c>
      <c r="II15" s="824">
        <f>II12</f>
        <v>77.3</v>
      </c>
      <c r="IK15" s="870">
        <v>46027</v>
      </c>
      <c r="IL15" s="879" t="s">
        <v>78</v>
      </c>
      <c r="IM15" s="880"/>
      <c r="IN15" s="881"/>
      <c r="IO15" s="882" t="s">
        <v>85</v>
      </c>
      <c r="IP15" s="883"/>
      <c r="IQ15" s="884"/>
      <c r="IR15" s="882" t="s">
        <v>123</v>
      </c>
      <c r="IS15" s="883"/>
      <c r="IT15" s="884"/>
      <c r="IU15" s="890" t="s">
        <v>150</v>
      </c>
      <c r="IV15" s="890"/>
      <c r="IW15" s="890"/>
      <c r="IX15" s="844"/>
      <c r="IY15" s="844"/>
      <c r="IZ15" s="844"/>
      <c r="JA15" s="834"/>
      <c r="JB15" s="835"/>
      <c r="JC15" s="836"/>
      <c r="JD15" s="232" t="s">
        <v>425</v>
      </c>
      <c r="JE15" s="823">
        <f>COUNTA(IL15:JC15)</f>
        <v>4</v>
      </c>
      <c r="JF15" s="824">
        <v>77.400000000000006</v>
      </c>
      <c r="JH15" s="61">
        <v>13</v>
      </c>
      <c r="JI15" s="62" t="s">
        <v>54</v>
      </c>
      <c r="JJ15" s="61">
        <v>13</v>
      </c>
      <c r="JK15" s="62" t="str" cm="1">
        <f t="array" ref="JK15">IF(INDEX(AB:AB, (ROW()-ROW($JK$3))*3 + 3) &lt;&gt; "", "✔", "")</f>
        <v/>
      </c>
      <c r="JL15" s="61">
        <v>13</v>
      </c>
      <c r="JM15" s="62" t="str" cm="1">
        <f t="array" ref="JM15">IF(INDEX(AU:AU, (ROW()-ROW($JM$3))*3 + 3) &lt;&gt; "", "✔", "")</f>
        <v>✔</v>
      </c>
      <c r="JN15" s="61">
        <v>13</v>
      </c>
      <c r="JO15" s="62" t="str" cm="1">
        <f t="array" ref="JO15">IF(INDEX(BN:BN, (ROW()-ROW($BN$3))*3 + 3) &lt;&gt; "", "✔", "")</f>
        <v>✔</v>
      </c>
      <c r="JP15" s="61">
        <v>13</v>
      </c>
      <c r="JQ15" s="62" t="str" cm="1">
        <f t="array" ref="JQ15">IF(INDEX(CG:CG, (ROW()-ROW($CG$3))*3 + 3) &lt;&gt; "", "✔", "")</f>
        <v>✔</v>
      </c>
      <c r="JR15" s="61">
        <v>13</v>
      </c>
      <c r="JS15" s="62" t="str" cm="1">
        <f t="array" ref="JS15">IF(INDEX(CZ:CZ, (ROW()-ROW($CZ$3))*3 + 3) &lt;&gt; "", "✔", "")</f>
        <v>✔</v>
      </c>
      <c r="JT15" s="61">
        <v>13</v>
      </c>
      <c r="JU15" s="62" t="str" cm="1">
        <f t="array" ref="JU15">IF(INDEX(DS:DS, (ROW()-ROW($DS$3))*3 + 3) &lt;&gt; "", "✔", "")</f>
        <v>✔</v>
      </c>
      <c r="JV15" s="61">
        <v>13</v>
      </c>
      <c r="JW15" s="62" t="str" cm="1">
        <f t="array" ref="JW15">IF(INDEX(EL:EL, (ROW()-ROW($EL$3))*3 + 3) &lt;&gt; "", "✔", "")</f>
        <v/>
      </c>
      <c r="JX15" s="61">
        <v>13</v>
      </c>
      <c r="JY15" s="62" t="str" cm="1">
        <f t="array" ref="JY15">IF(INDEX(FE:FE, (ROW()-ROW($FE$3))*3 + 3) &lt;&gt; "", "✔", "")</f>
        <v/>
      </c>
      <c r="JZ15" s="61">
        <v>13</v>
      </c>
      <c r="KA15" s="62" t="str" cm="1">
        <f t="array" ref="KA15">IF(INDEX(FX:FX, (ROW()-ROW($FX$3))*3 + 3) &lt;&gt; "", "✔", "")</f>
        <v>✔</v>
      </c>
      <c r="KB15" s="61">
        <v>13</v>
      </c>
      <c r="KC15" s="62" t="str" cm="1">
        <f t="array" ref="KC15">IF(INDEX(GT:GT, (ROW()-ROW($GT$3))*3 + 3) &lt;&gt; "", "✔", "")</f>
        <v>✔</v>
      </c>
      <c r="KD15" s="61">
        <v>13</v>
      </c>
      <c r="KE15" s="62" t="str" cm="1">
        <f t="array" ref="KE15">IF(INDEX(HP:HP, (ROW()-ROW($HP$3))*3 + 3) &lt;&gt; "", "✔", "")</f>
        <v/>
      </c>
      <c r="KG15" s="231">
        <v>60</v>
      </c>
      <c r="KH15" s="230">
        <f t="shared" si="0"/>
        <v>27.215519999999998</v>
      </c>
    </row>
    <row r="16" spans="1:294">
      <c r="A16" s="917"/>
      <c r="B16" s="920"/>
      <c r="C16" s="93">
        <v>3</v>
      </c>
      <c r="D16" s="94" t="s">
        <v>117</v>
      </c>
      <c r="E16" s="95">
        <v>3</v>
      </c>
      <c r="F16" s="96">
        <v>10</v>
      </c>
      <c r="H16" s="938"/>
      <c r="I16" s="107" t="s">
        <v>59</v>
      </c>
      <c r="J16" s="107" t="s">
        <v>73</v>
      </c>
      <c r="K16" s="108" t="s">
        <v>4</v>
      </c>
      <c r="L16" s="107" t="s">
        <v>59</v>
      </c>
      <c r="M16" s="107" t="s">
        <v>73</v>
      </c>
      <c r="N16" s="108" t="s">
        <v>4</v>
      </c>
      <c r="O16" s="107" t="s">
        <v>59</v>
      </c>
      <c r="P16" s="107" t="s">
        <v>73</v>
      </c>
      <c r="Q16" s="108" t="s">
        <v>4</v>
      </c>
      <c r="R16" s="107" t="s">
        <v>59</v>
      </c>
      <c r="S16" s="107" t="s">
        <v>73</v>
      </c>
      <c r="T16" s="108" t="s">
        <v>4</v>
      </c>
      <c r="U16" s="107" t="s">
        <v>59</v>
      </c>
      <c r="V16" s="107" t="s">
        <v>73</v>
      </c>
      <c r="W16" s="108" t="s">
        <v>4</v>
      </c>
      <c r="X16" s="823"/>
      <c r="Y16" s="940"/>
      <c r="AA16" s="846"/>
      <c r="AB16" s="107" t="s">
        <v>59</v>
      </c>
      <c r="AC16" s="107" t="s">
        <v>73</v>
      </c>
      <c r="AD16" s="108" t="s">
        <v>4</v>
      </c>
      <c r="AE16" s="107" t="s">
        <v>59</v>
      </c>
      <c r="AF16" s="107" t="s">
        <v>73</v>
      </c>
      <c r="AG16" s="108" t="s">
        <v>4</v>
      </c>
      <c r="AH16" s="107" t="s">
        <v>59</v>
      </c>
      <c r="AI16" s="107" t="s">
        <v>73</v>
      </c>
      <c r="AJ16" s="108" t="s">
        <v>4</v>
      </c>
      <c r="AK16" s="107" t="s">
        <v>59</v>
      </c>
      <c r="AL16" s="107" t="s">
        <v>73</v>
      </c>
      <c r="AM16" s="108" t="s">
        <v>4</v>
      </c>
      <c r="AN16" s="107" t="s">
        <v>59</v>
      </c>
      <c r="AO16" s="107" t="s">
        <v>73</v>
      </c>
      <c r="AP16" s="108" t="s">
        <v>4</v>
      </c>
      <c r="AQ16" s="823"/>
      <c r="AR16" s="825"/>
      <c r="AT16" s="846"/>
      <c r="AU16" s="107" t="s">
        <v>59</v>
      </c>
      <c r="AV16" s="107" t="s">
        <v>73</v>
      </c>
      <c r="AW16" s="108" t="s">
        <v>4</v>
      </c>
      <c r="AX16" s="107" t="s">
        <v>59</v>
      </c>
      <c r="AY16" s="107" t="s">
        <v>73</v>
      </c>
      <c r="AZ16" s="108" t="s">
        <v>4</v>
      </c>
      <c r="BA16" s="107" t="s">
        <v>59</v>
      </c>
      <c r="BB16" s="107" t="s">
        <v>73</v>
      </c>
      <c r="BC16" s="108" t="s">
        <v>4</v>
      </c>
      <c r="BD16" s="107" t="s">
        <v>59</v>
      </c>
      <c r="BE16" s="107" t="s">
        <v>73</v>
      </c>
      <c r="BF16" s="108" t="s">
        <v>4</v>
      </c>
      <c r="BG16" s="107" t="s">
        <v>59</v>
      </c>
      <c r="BH16" s="107" t="s">
        <v>73</v>
      </c>
      <c r="BI16" s="108" t="s">
        <v>4</v>
      </c>
      <c r="BJ16" s="823"/>
      <c r="BK16" s="825"/>
      <c r="BL16" s="118"/>
      <c r="BM16" s="841"/>
      <c r="BN16" s="231" t="s">
        <v>59</v>
      </c>
      <c r="BO16" s="231" t="s">
        <v>73</v>
      </c>
      <c r="BP16" s="102" t="s">
        <v>4</v>
      </c>
      <c r="BQ16" s="231" t="s">
        <v>59</v>
      </c>
      <c r="BR16" s="231" t="s">
        <v>73</v>
      </c>
      <c r="BS16" s="102" t="s">
        <v>4</v>
      </c>
      <c r="BT16" s="231" t="s">
        <v>59</v>
      </c>
      <c r="BU16" s="231" t="s">
        <v>73</v>
      </c>
      <c r="BV16" s="102" t="s">
        <v>4</v>
      </c>
      <c r="BW16" s="231" t="s">
        <v>59</v>
      </c>
      <c r="BX16" s="231" t="s">
        <v>73</v>
      </c>
      <c r="BY16" s="102" t="s">
        <v>4</v>
      </c>
      <c r="BZ16" s="231" t="s">
        <v>59</v>
      </c>
      <c r="CA16" s="231" t="s">
        <v>73</v>
      </c>
      <c r="CB16" s="102" t="s">
        <v>4</v>
      </c>
      <c r="CC16" s="823"/>
      <c r="CD16" s="825"/>
      <c r="CF16" s="871"/>
      <c r="CG16" s="107" t="s">
        <v>59</v>
      </c>
      <c r="CH16" s="107" t="s">
        <v>73</v>
      </c>
      <c r="CI16" s="108" t="s">
        <v>4</v>
      </c>
      <c r="CJ16" s="107" t="s">
        <v>59</v>
      </c>
      <c r="CK16" s="107" t="s">
        <v>73</v>
      </c>
      <c r="CL16" s="108" t="s">
        <v>4</v>
      </c>
      <c r="CM16" s="107" t="s">
        <v>59</v>
      </c>
      <c r="CN16" s="107" t="s">
        <v>73</v>
      </c>
      <c r="CO16" s="108" t="s">
        <v>4</v>
      </c>
      <c r="CP16" s="107" t="s">
        <v>59</v>
      </c>
      <c r="CQ16" s="107" t="s">
        <v>73</v>
      </c>
      <c r="CR16" s="108" t="s">
        <v>4</v>
      </c>
      <c r="CS16" s="107" t="s">
        <v>59</v>
      </c>
      <c r="CT16" s="107" t="s">
        <v>73</v>
      </c>
      <c r="CU16" s="108" t="s">
        <v>4</v>
      </c>
      <c r="CV16" s="823"/>
      <c r="CW16" s="825"/>
      <c r="CX16" s="118"/>
      <c r="CY16" s="874"/>
      <c r="CZ16" s="107" t="s">
        <v>59</v>
      </c>
      <c r="DA16" s="107" t="s">
        <v>73</v>
      </c>
      <c r="DB16" s="108" t="s">
        <v>4</v>
      </c>
      <c r="DC16" s="107" t="s">
        <v>59</v>
      </c>
      <c r="DD16" s="107" t="s">
        <v>73</v>
      </c>
      <c r="DE16" s="108" t="s">
        <v>4</v>
      </c>
      <c r="DF16" s="107" t="s">
        <v>59</v>
      </c>
      <c r="DG16" s="107" t="s">
        <v>73</v>
      </c>
      <c r="DH16" s="108" t="s">
        <v>4</v>
      </c>
      <c r="DI16" s="107" t="s">
        <v>59</v>
      </c>
      <c r="DJ16" s="107" t="s">
        <v>73</v>
      </c>
      <c r="DK16" s="108" t="s">
        <v>4</v>
      </c>
      <c r="DL16" s="107" t="s">
        <v>59</v>
      </c>
      <c r="DM16" s="107" t="s">
        <v>73</v>
      </c>
      <c r="DN16" s="108" t="s">
        <v>4</v>
      </c>
      <c r="DO16" s="823"/>
      <c r="DP16" s="825"/>
      <c r="DR16" s="841"/>
      <c r="DS16" s="231" t="s">
        <v>59</v>
      </c>
      <c r="DT16" s="231" t="s">
        <v>73</v>
      </c>
      <c r="DU16" s="102" t="s">
        <v>4</v>
      </c>
      <c r="DV16" s="231" t="s">
        <v>59</v>
      </c>
      <c r="DW16" s="231" t="s">
        <v>73</v>
      </c>
      <c r="DX16" s="102" t="s">
        <v>4</v>
      </c>
      <c r="DY16" s="231" t="s">
        <v>59</v>
      </c>
      <c r="DZ16" s="231" t="s">
        <v>73</v>
      </c>
      <c r="EA16" s="102" t="s">
        <v>4</v>
      </c>
      <c r="EB16" s="231" t="s">
        <v>59</v>
      </c>
      <c r="EC16" s="231" t="s">
        <v>73</v>
      </c>
      <c r="ED16" s="102" t="s">
        <v>4</v>
      </c>
      <c r="EE16" s="107" t="s">
        <v>59</v>
      </c>
      <c r="EF16" s="107" t="s">
        <v>73</v>
      </c>
      <c r="EG16" s="108" t="s">
        <v>4</v>
      </c>
      <c r="EH16" s="823"/>
      <c r="EI16" s="825"/>
      <c r="EK16" s="857"/>
      <c r="EL16" s="231" t="s">
        <v>59</v>
      </c>
      <c r="EM16" s="231" t="s">
        <v>73</v>
      </c>
      <c r="EN16" s="102" t="s">
        <v>4</v>
      </c>
      <c r="EO16" s="107" t="s">
        <v>59</v>
      </c>
      <c r="EP16" s="107" t="s">
        <v>73</v>
      </c>
      <c r="EQ16" s="108" t="s">
        <v>4</v>
      </c>
      <c r="ER16" s="107" t="s">
        <v>59</v>
      </c>
      <c r="ES16" s="107" t="s">
        <v>73</v>
      </c>
      <c r="ET16" s="108" t="s">
        <v>4</v>
      </c>
      <c r="EU16" s="107" t="s">
        <v>59</v>
      </c>
      <c r="EV16" s="107" t="s">
        <v>73</v>
      </c>
      <c r="EW16" s="108" t="s">
        <v>4</v>
      </c>
      <c r="EX16" s="107" t="s">
        <v>59</v>
      </c>
      <c r="EY16" s="107" t="s">
        <v>73</v>
      </c>
      <c r="EZ16" s="108" t="s">
        <v>4</v>
      </c>
      <c r="FA16" s="823"/>
      <c r="FB16" s="825"/>
      <c r="FD16" s="877"/>
      <c r="FE16" s="231" t="s">
        <v>59</v>
      </c>
      <c r="FF16" s="231" t="s">
        <v>73</v>
      </c>
      <c r="FG16" s="102" t="s">
        <v>4</v>
      </c>
      <c r="FH16" s="231" t="s">
        <v>59</v>
      </c>
      <c r="FI16" s="231" t="s">
        <v>73</v>
      </c>
      <c r="FJ16" s="102" t="s">
        <v>4</v>
      </c>
      <c r="FK16" s="231" t="s">
        <v>59</v>
      </c>
      <c r="FL16" s="231" t="s">
        <v>73</v>
      </c>
      <c r="FM16" s="102" t="s">
        <v>4</v>
      </c>
      <c r="FN16" s="231" t="s">
        <v>59</v>
      </c>
      <c r="FO16" s="231" t="s">
        <v>73</v>
      </c>
      <c r="FP16" s="102" t="s">
        <v>4</v>
      </c>
      <c r="FQ16" s="107" t="s">
        <v>59</v>
      </c>
      <c r="FR16" s="107" t="s">
        <v>73</v>
      </c>
      <c r="FS16" s="108" t="s">
        <v>4</v>
      </c>
      <c r="FT16" s="823"/>
      <c r="FU16" s="825"/>
      <c r="FW16" s="865"/>
      <c r="FX16" s="231" t="s">
        <v>59</v>
      </c>
      <c r="FY16" s="231" t="s">
        <v>73</v>
      </c>
      <c r="FZ16" s="102" t="s">
        <v>4</v>
      </c>
      <c r="GA16" s="231" t="s">
        <v>59</v>
      </c>
      <c r="GB16" s="231" t="s">
        <v>73</v>
      </c>
      <c r="GC16" s="102" t="s">
        <v>4</v>
      </c>
      <c r="GD16" s="231" t="s">
        <v>59</v>
      </c>
      <c r="GE16" s="231" t="s">
        <v>73</v>
      </c>
      <c r="GF16" s="102" t="s">
        <v>4</v>
      </c>
      <c r="GG16" s="231" t="s">
        <v>59</v>
      </c>
      <c r="GH16" s="231" t="s">
        <v>73</v>
      </c>
      <c r="GI16" s="102" t="s">
        <v>4</v>
      </c>
      <c r="GJ16" s="231" t="s">
        <v>59</v>
      </c>
      <c r="GK16" s="231" t="s">
        <v>73</v>
      </c>
      <c r="GL16" s="102" t="s">
        <v>4</v>
      </c>
      <c r="GM16" s="107" t="s">
        <v>59</v>
      </c>
      <c r="GN16" s="107" t="s">
        <v>73</v>
      </c>
      <c r="GO16" s="108" t="s">
        <v>4</v>
      </c>
      <c r="GP16" s="823"/>
      <c r="GQ16" s="825"/>
      <c r="GR16" s="118"/>
      <c r="GS16" s="846"/>
      <c r="GT16" s="107" t="s">
        <v>59</v>
      </c>
      <c r="GU16" s="107" t="s">
        <v>73</v>
      </c>
      <c r="GV16" s="108" t="s">
        <v>4</v>
      </c>
      <c r="GW16" s="107" t="s">
        <v>59</v>
      </c>
      <c r="GX16" s="107" t="s">
        <v>73</v>
      </c>
      <c r="GY16" s="108" t="s">
        <v>4</v>
      </c>
      <c r="GZ16" s="107" t="s">
        <v>59</v>
      </c>
      <c r="HA16" s="107" t="s">
        <v>73</v>
      </c>
      <c r="HB16" s="108" t="s">
        <v>4</v>
      </c>
      <c r="HC16" s="107" t="s">
        <v>59</v>
      </c>
      <c r="HD16" s="107" t="s">
        <v>73</v>
      </c>
      <c r="HE16" s="108" t="s">
        <v>4</v>
      </c>
      <c r="HF16" s="107" t="s">
        <v>59</v>
      </c>
      <c r="HG16" s="107" t="s">
        <v>73</v>
      </c>
      <c r="HH16" s="108" t="s">
        <v>4</v>
      </c>
      <c r="HI16" s="107" t="s">
        <v>59</v>
      </c>
      <c r="HJ16" s="107" t="s">
        <v>73</v>
      </c>
      <c r="HK16" s="108" t="s">
        <v>4</v>
      </c>
      <c r="HL16" s="823"/>
      <c r="HM16" s="825"/>
      <c r="HN16" s="118"/>
      <c r="HO16" s="877"/>
      <c r="HP16" s="107" t="s">
        <v>59</v>
      </c>
      <c r="HQ16" s="107" t="s">
        <v>73</v>
      </c>
      <c r="HR16" s="108" t="s">
        <v>4</v>
      </c>
      <c r="HS16" s="107" t="s">
        <v>59</v>
      </c>
      <c r="HT16" s="107" t="s">
        <v>73</v>
      </c>
      <c r="HU16" s="108" t="s">
        <v>4</v>
      </c>
      <c r="HV16" s="107" t="s">
        <v>59</v>
      </c>
      <c r="HW16" s="107" t="s">
        <v>73</v>
      </c>
      <c r="HX16" s="108" t="s">
        <v>4</v>
      </c>
      <c r="HY16" s="107" t="s">
        <v>59</v>
      </c>
      <c r="HZ16" s="107" t="s">
        <v>73</v>
      </c>
      <c r="IA16" s="108" t="s">
        <v>4</v>
      </c>
      <c r="IB16" s="107" t="s">
        <v>59</v>
      </c>
      <c r="IC16" s="107" t="s">
        <v>73</v>
      </c>
      <c r="ID16" s="108" t="s">
        <v>4</v>
      </c>
      <c r="IE16" s="107" t="s">
        <v>59</v>
      </c>
      <c r="IF16" s="107" t="s">
        <v>73</v>
      </c>
      <c r="IG16" s="108" t="s">
        <v>4</v>
      </c>
      <c r="IH16" s="823"/>
      <c r="II16" s="825"/>
      <c r="IK16" s="871"/>
      <c r="IL16" s="231" t="s">
        <v>59</v>
      </c>
      <c r="IM16" s="231" t="s">
        <v>73</v>
      </c>
      <c r="IN16" s="102" t="s">
        <v>4</v>
      </c>
      <c r="IO16" s="231" t="s">
        <v>59</v>
      </c>
      <c r="IP16" s="231" t="s">
        <v>73</v>
      </c>
      <c r="IQ16" s="102" t="s">
        <v>4</v>
      </c>
      <c r="IR16" s="231" t="s">
        <v>59</v>
      </c>
      <c r="IS16" s="231" t="s">
        <v>73</v>
      </c>
      <c r="IT16" s="102" t="s">
        <v>4</v>
      </c>
      <c r="IU16" s="231" t="s">
        <v>59</v>
      </c>
      <c r="IV16" s="231" t="s">
        <v>73</v>
      </c>
      <c r="IW16" s="102" t="s">
        <v>4</v>
      </c>
      <c r="IX16" s="107"/>
      <c r="IY16" s="107"/>
      <c r="IZ16" s="108"/>
      <c r="JA16" s="107"/>
      <c r="JB16" s="107"/>
      <c r="JC16" s="108"/>
      <c r="JD16" s="948"/>
      <c r="JE16" s="823"/>
      <c r="JF16" s="825"/>
      <c r="JH16" s="61">
        <v>14</v>
      </c>
      <c r="JI16" s="62" t="s">
        <v>54</v>
      </c>
      <c r="JJ16" s="61">
        <v>14</v>
      </c>
      <c r="JK16" s="62" t="str" cm="1">
        <f t="array" ref="JK16">IF(INDEX(AB:AB, (ROW()-ROW($JK$3))*3 + 3) &lt;&gt; "", "✔", "")</f>
        <v/>
      </c>
      <c r="JL16" s="61">
        <v>14</v>
      </c>
      <c r="JM16" s="62" t="str" cm="1">
        <f t="array" ref="JM16">IF(INDEX(AU:AU, (ROW()-ROW($JM$3))*3 + 3) &lt;&gt; "", "✔", "")</f>
        <v/>
      </c>
      <c r="JN16" s="61">
        <v>14</v>
      </c>
      <c r="JO16" s="62" t="str" cm="1">
        <f t="array" ref="JO16">IF(INDEX(BN:BN, (ROW()-ROW($BN$3))*3 + 3) &lt;&gt; "", "✔", "")</f>
        <v>✔</v>
      </c>
      <c r="JP16" s="61">
        <v>14</v>
      </c>
      <c r="JQ16" s="62" t="str" cm="1">
        <f t="array" ref="JQ16">IF(INDEX(CG:CG, (ROW()-ROW($CG$3))*3 + 3) &lt;&gt; "", "✔", "")</f>
        <v/>
      </c>
      <c r="JR16" s="61">
        <v>14</v>
      </c>
      <c r="JS16" s="62" t="str" cm="1">
        <f t="array" ref="JS16">IF(INDEX(CZ:CZ, (ROW()-ROW($CZ$3))*3 + 3) &lt;&gt; "", "✔", "")</f>
        <v/>
      </c>
      <c r="JT16" s="61">
        <v>14</v>
      </c>
      <c r="JU16" s="62" t="str" cm="1">
        <f t="array" ref="JU16">IF(INDEX(DS:DS, (ROW()-ROW($DS$3))*3 + 3) &lt;&gt; "", "✔", "")</f>
        <v/>
      </c>
      <c r="JV16" s="61">
        <v>14</v>
      </c>
      <c r="JW16" s="62" t="str" cm="1">
        <f t="array" ref="JW16">IF(INDEX(EL:EL, (ROW()-ROW($EL$3))*3 + 3) &lt;&gt; "", "✔", "")</f>
        <v>✔</v>
      </c>
      <c r="JX16" s="61">
        <v>14</v>
      </c>
      <c r="JY16" s="62" t="str" cm="1">
        <f t="array" ref="JY16">IF(INDEX(FE:FE, (ROW()-ROW($FE$3))*3 + 3) &lt;&gt; "", "✔", "")</f>
        <v>✔</v>
      </c>
      <c r="JZ16" s="61">
        <v>14</v>
      </c>
      <c r="KA16" s="62" t="str" cm="1">
        <f t="array" ref="KA16">IF(INDEX(FX:FX, (ROW()-ROW($FX$3))*3 + 3) &lt;&gt; "", "✔", "")</f>
        <v>✔</v>
      </c>
      <c r="KB16" s="61">
        <v>14</v>
      </c>
      <c r="KC16" s="62" t="str" cm="1">
        <f t="array" ref="KC16">IF(INDEX(GT:GT, (ROW()-ROW($GT$3))*3 + 3) &lt;&gt; "", "✔", "")</f>
        <v>✔</v>
      </c>
      <c r="KD16" s="61">
        <v>14</v>
      </c>
      <c r="KE16" s="62" t="str" cm="1">
        <f t="array" ref="KE16">IF(INDEX(HP:HP, (ROW()-ROW($HP$3))*3 + 3) &lt;&gt; "", "✔", "")</f>
        <v/>
      </c>
      <c r="KG16" s="231">
        <v>65</v>
      </c>
      <c r="KH16" s="230">
        <f t="shared" si="0"/>
        <v>29.48348</v>
      </c>
    </row>
    <row r="17" spans="1:294">
      <c r="A17" s="917"/>
      <c r="B17" s="920"/>
      <c r="C17" s="93">
        <v>4</v>
      </c>
      <c r="D17" s="94" t="s">
        <v>94</v>
      </c>
      <c r="E17" s="95">
        <v>4</v>
      </c>
      <c r="F17" s="96">
        <v>8</v>
      </c>
      <c r="H17" s="938"/>
      <c r="I17" s="233"/>
      <c r="J17" s="233"/>
      <c r="K17" s="233"/>
      <c r="L17" s="233"/>
      <c r="M17" s="233"/>
      <c r="N17" s="233"/>
      <c r="O17" s="233"/>
      <c r="P17" s="233"/>
      <c r="Q17" s="233"/>
      <c r="R17" s="233"/>
      <c r="S17" s="233"/>
      <c r="T17" s="233"/>
      <c r="U17" s="233"/>
      <c r="V17" s="233"/>
      <c r="W17" s="233"/>
      <c r="X17" s="229">
        <f t="shared" ref="X17" si="55">(I17*J17*K17)+(L17*M17*N17)+(O17*P17*Q17)+(R17*S17*T17)+(U17*V17*W17)</f>
        <v>0</v>
      </c>
      <c r="Y17" s="941"/>
      <c r="AA17" s="847"/>
      <c r="AB17" s="233"/>
      <c r="AC17" s="233"/>
      <c r="AD17" s="233"/>
      <c r="AE17" s="233"/>
      <c r="AF17" s="233"/>
      <c r="AG17" s="233"/>
      <c r="AH17" s="233"/>
      <c r="AI17" s="233"/>
      <c r="AJ17" s="233"/>
      <c r="AK17" s="233"/>
      <c r="AL17" s="233"/>
      <c r="AM17" s="233"/>
      <c r="AN17" s="233"/>
      <c r="AO17" s="233"/>
      <c r="AP17" s="233"/>
      <c r="AQ17" s="229">
        <f t="shared" ref="AQ17" si="56">(AB17*AC17*AD17)+(AE17*AF17*AG17)+(AH17*AI17*AJ17)+(AK17*AL17*AM17)+(AN17*AO17*AP17)</f>
        <v>0</v>
      </c>
      <c r="AR17" s="826"/>
      <c r="AT17" s="847"/>
      <c r="AU17" s="233"/>
      <c r="AV17" s="233"/>
      <c r="AW17" s="233"/>
      <c r="AX17" s="233"/>
      <c r="AY17" s="233"/>
      <c r="AZ17" s="233"/>
      <c r="BA17" s="233"/>
      <c r="BB17" s="233"/>
      <c r="BC17" s="233"/>
      <c r="BD17" s="233"/>
      <c r="BE17" s="233"/>
      <c r="BF17" s="233"/>
      <c r="BG17" s="233"/>
      <c r="BH17" s="233"/>
      <c r="BI17" s="233"/>
      <c r="BJ17" s="229">
        <f t="shared" ref="BJ17" si="57">(AU17*AV17*AW17)+(AX17*AY17*AZ17)+(BA17*BB17*BC17)+(BD17*BE17*BF17)+(BG17*BH17*BI17)</f>
        <v>0</v>
      </c>
      <c r="BK17" s="826"/>
      <c r="BL17" s="118"/>
      <c r="BM17" s="842"/>
      <c r="BN17" s="229">
        <v>4</v>
      </c>
      <c r="BO17" s="126">
        <f>((10*1)+(8*3))/4</f>
        <v>8.5</v>
      </c>
      <c r="BP17" s="229">
        <f>120*$FU$3</f>
        <v>9552</v>
      </c>
      <c r="BQ17" s="229">
        <v>4</v>
      </c>
      <c r="BR17" s="229">
        <v>8</v>
      </c>
      <c r="BS17" s="229">
        <v>25</v>
      </c>
      <c r="BT17" s="229">
        <v>4</v>
      </c>
      <c r="BU17" s="126">
        <f>((10*3)+(8*1))/4</f>
        <v>9.5</v>
      </c>
      <c r="BV17" s="126">
        <f>((20*$FU$3*3)+(25*$FU$3*1))/4</f>
        <v>1691.5</v>
      </c>
      <c r="BW17" s="229">
        <v>4</v>
      </c>
      <c r="BX17" s="126">
        <f>((10*2)+(8*2))/4</f>
        <v>9</v>
      </c>
      <c r="BY17" s="126">
        <f>((15*1)+(17.5*3))/4</f>
        <v>16.875</v>
      </c>
      <c r="BZ17" s="229">
        <v>4</v>
      </c>
      <c r="CA17" s="229">
        <v>12</v>
      </c>
      <c r="CB17" s="229">
        <v>0</v>
      </c>
      <c r="CC17" s="229">
        <f t="shared" ref="CC17" si="58">(BN17*BO17*BP17)+(BQ17*BR17*BS17)+(BT17*BU17*BV17)+(BW17*BX17*BY17)+(BZ17*CA17*CB17)</f>
        <v>390452.5</v>
      </c>
      <c r="CD17" s="826"/>
      <c r="CF17" s="872"/>
      <c r="CG17" s="233"/>
      <c r="CH17" s="233"/>
      <c r="CI17" s="233"/>
      <c r="CJ17" s="233"/>
      <c r="CK17" s="233"/>
      <c r="CL17" s="233"/>
      <c r="CM17" s="233"/>
      <c r="CN17" s="233"/>
      <c r="CO17" s="233"/>
      <c r="CP17" s="233"/>
      <c r="CQ17" s="233"/>
      <c r="CR17" s="233"/>
      <c r="CS17" s="233"/>
      <c r="CT17" s="233"/>
      <c r="CU17" s="233"/>
      <c r="CV17" s="229">
        <f t="shared" ref="CV17" si="59">(CG17*CH17*CI17)+(CJ17*CK17*CL17)+(CM17*CN17*CO17)+(CP17*CQ17*CR17)+(CS17*CT17*CU17)</f>
        <v>0</v>
      </c>
      <c r="CW17" s="826"/>
      <c r="CX17" s="118"/>
      <c r="CY17" s="875"/>
      <c r="CZ17" s="233"/>
      <c r="DA17" s="233"/>
      <c r="DB17" s="233"/>
      <c r="DC17" s="233"/>
      <c r="DD17" s="233"/>
      <c r="DE17" s="233"/>
      <c r="DF17" s="233"/>
      <c r="DG17" s="233"/>
      <c r="DH17" s="233"/>
      <c r="DI17" s="233"/>
      <c r="DJ17" s="233"/>
      <c r="DK17" s="233"/>
      <c r="DL17" s="233"/>
      <c r="DM17" s="233"/>
      <c r="DN17" s="233"/>
      <c r="DO17" s="229">
        <f t="shared" ref="DO17" si="60">(CZ17*DA17*DB17)+(DC17*DD17*DE17)+(DF17*DG17*DH17)+(DI17*DJ17*DK17)+(DL17*DM17*DN17)</f>
        <v>0</v>
      </c>
      <c r="DP17" s="826"/>
      <c r="DR17" s="842"/>
      <c r="DS17" s="229">
        <v>3</v>
      </c>
      <c r="DT17" s="229">
        <f>((10*1)+(12*1))/3</f>
        <v>7.333333333333333</v>
      </c>
      <c r="DU17" s="229">
        <v>54.4</v>
      </c>
      <c r="DV17" s="229">
        <v>3</v>
      </c>
      <c r="DW17" s="126">
        <v>12</v>
      </c>
      <c r="DX17" s="229">
        <v>25</v>
      </c>
      <c r="DY17" s="229">
        <v>3</v>
      </c>
      <c r="DZ17" s="126">
        <v>12</v>
      </c>
      <c r="EA17" s="229">
        <v>11.3</v>
      </c>
      <c r="EB17" s="229">
        <v>4</v>
      </c>
      <c r="EC17" s="126">
        <v>12</v>
      </c>
      <c r="ED17" s="229">
        <v>17.5</v>
      </c>
      <c r="EE17" s="233"/>
      <c r="EF17" s="233"/>
      <c r="EG17" s="233"/>
      <c r="EH17" s="229">
        <f t="shared" ref="EH17" si="61">(DS17*DT17*DU17)+(DV17*DW17*DX17)+(DY17*DZ17*EA17)+(EB17*EC17*ED17)+(EE17*EF17*EG17)</f>
        <v>3343.6000000000004</v>
      </c>
      <c r="EI17" s="826"/>
      <c r="EK17" s="858"/>
      <c r="EL17" s="229">
        <v>1</v>
      </c>
      <c r="EM17" s="229">
        <v>30</v>
      </c>
      <c r="EN17" s="229">
        <f>FB15</f>
        <v>79</v>
      </c>
      <c r="EO17" s="233"/>
      <c r="EP17" s="233"/>
      <c r="EQ17" s="233"/>
      <c r="ER17" s="233"/>
      <c r="ES17" s="233"/>
      <c r="ET17" s="233"/>
      <c r="EU17" s="233"/>
      <c r="EV17" s="233"/>
      <c r="EW17" s="233"/>
      <c r="EX17" s="233"/>
      <c r="EY17" s="233"/>
      <c r="EZ17" s="233"/>
      <c r="FA17" s="229">
        <f t="shared" ref="FA17" si="62">(EL17*EM17*EN17)+(EO17*EP17*EQ17)+(ER17*ES17*ET17)+(EU17*EV17*EW17)+(EX17*EY17*EZ17)</f>
        <v>2370</v>
      </c>
      <c r="FB17" s="826"/>
      <c r="FD17" s="878"/>
      <c r="FE17" s="229">
        <v>3</v>
      </c>
      <c r="FF17" s="229">
        <v>10</v>
      </c>
      <c r="FG17" s="229">
        <v>59</v>
      </c>
      <c r="FH17" s="229">
        <v>3</v>
      </c>
      <c r="FI17" s="229">
        <v>10</v>
      </c>
      <c r="FJ17" s="229">
        <v>20</v>
      </c>
      <c r="FK17" s="229">
        <v>3</v>
      </c>
      <c r="FL17" s="229">
        <f>((10*1)+(6*2))/3</f>
        <v>7.333333333333333</v>
      </c>
      <c r="FM17" s="229">
        <v>10</v>
      </c>
      <c r="FN17" s="229">
        <v>3</v>
      </c>
      <c r="FO17" s="229">
        <v>8</v>
      </c>
      <c r="FP17" s="229">
        <v>7.5</v>
      </c>
      <c r="FQ17" s="233"/>
      <c r="FR17" s="233"/>
      <c r="FS17" s="233"/>
      <c r="FT17" s="229">
        <f t="shared" ref="FT17" si="63">(FE17*FF17*FG17)+(FH17*FI17*FJ17)+(FK17*FL17*FM17)+(FN17*FO17*FP17)+(FQ17*FR17*FS17)</f>
        <v>2770</v>
      </c>
      <c r="FU17" s="826"/>
      <c r="FW17" s="866"/>
      <c r="FX17" s="229">
        <v>4</v>
      </c>
      <c r="FY17" s="229">
        <f>((20*1)+(10*3))/4</f>
        <v>12.5</v>
      </c>
      <c r="FZ17" s="229">
        <f>((32*1)+(63*3))/4</f>
        <v>55.25</v>
      </c>
      <c r="GA17" s="229">
        <v>4</v>
      </c>
      <c r="GB17" s="229">
        <f>((12*2)+(8*1))/3</f>
        <v>10.666666666666666</v>
      </c>
      <c r="GC17" s="126">
        <f>((15*2)+(17.5*1))/3</f>
        <v>15.833333333333334</v>
      </c>
      <c r="GD17" s="229">
        <v>3</v>
      </c>
      <c r="GE17" s="229">
        <f>((10*2)+(12*2))/4</f>
        <v>11</v>
      </c>
      <c r="GF17" s="229">
        <f>((18.1*1)+(20.4*3))/4</f>
        <v>19.824999999999999</v>
      </c>
      <c r="GG17" s="229">
        <v>3</v>
      </c>
      <c r="GH17" s="229">
        <v>8</v>
      </c>
      <c r="GI17" s="229">
        <v>18.5</v>
      </c>
      <c r="GJ17" s="229">
        <v>3</v>
      </c>
      <c r="GK17" s="126">
        <v>30</v>
      </c>
      <c r="GL17" s="229">
        <f>GQ15*(1/3)</f>
        <v>26</v>
      </c>
      <c r="GM17" s="233"/>
      <c r="GN17" s="233"/>
      <c r="GO17" s="233"/>
      <c r="GP17" s="229">
        <f>(FX17*FY17*FZ17)+(GA17*GB17*GC17)+(GD17*GE17*GF17)+(GG17*GH17*GI17)+(GJ17*GK17*GL17)+(GM17*GN17*GO17)</f>
        <v>6876.2805555555551</v>
      </c>
      <c r="GQ17" s="826"/>
      <c r="GR17" s="118"/>
      <c r="GS17" s="847"/>
      <c r="GT17" s="233"/>
      <c r="GU17" s="233"/>
      <c r="GV17" s="233"/>
      <c r="GW17" s="233"/>
      <c r="GX17" s="233"/>
      <c r="GY17" s="233"/>
      <c r="GZ17" s="233"/>
      <c r="HA17" s="233"/>
      <c r="HB17" s="233"/>
      <c r="HC17" s="233"/>
      <c r="HD17" s="233"/>
      <c r="HE17" s="233"/>
      <c r="HF17" s="233"/>
      <c r="HG17" s="233"/>
      <c r="HH17" s="233"/>
      <c r="HI17" s="233"/>
      <c r="HJ17" s="233"/>
      <c r="HK17" s="233"/>
      <c r="HL17" s="229">
        <f>(GT17*GU17*GV17)+(GW17*GX17*GY17)+(GZ17*HA17*HB17)+(HC17*HD17*HE17)+(HF17*HG17*HH17)+(HI17*HJ17*HK17)</f>
        <v>0</v>
      </c>
      <c r="HM17" s="826"/>
      <c r="HN17" s="118"/>
      <c r="HO17" s="878"/>
      <c r="HP17" s="233"/>
      <c r="HQ17" s="233"/>
      <c r="HR17" s="233"/>
      <c r="HS17" s="233"/>
      <c r="HT17" s="233"/>
      <c r="HU17" s="233"/>
      <c r="HV17" s="233"/>
      <c r="HW17" s="233"/>
      <c r="HX17" s="233"/>
      <c r="HY17" s="233"/>
      <c r="HZ17" s="233"/>
      <c r="IA17" s="233"/>
      <c r="IB17" s="233"/>
      <c r="IC17" s="233"/>
      <c r="ID17" s="233"/>
      <c r="IE17" s="233"/>
      <c r="IF17" s="233"/>
      <c r="IG17" s="233"/>
      <c r="IH17" s="229">
        <f>(HP17*HQ17*HR17)+(HS17*HT17*HU17)+(HV17*HW17*HX17)+(HY17*HZ17*IA17)+(IB17*IC17*ID17)+(IE17*IF17*IG17)</f>
        <v>0</v>
      </c>
      <c r="II17" s="826"/>
      <c r="IK17" s="872"/>
      <c r="IL17" s="229">
        <v>3</v>
      </c>
      <c r="IM17" s="229">
        <f>((12*2)+(6*1))/3</f>
        <v>10</v>
      </c>
      <c r="IN17" s="229">
        <f>((17.5*2)+(20*1))/3</f>
        <v>18.333333333333332</v>
      </c>
      <c r="IO17" s="229">
        <v>3</v>
      </c>
      <c r="IP17" s="229">
        <f>((30*1)+(34*1)+(40*1))/3</f>
        <v>34.666666666666664</v>
      </c>
      <c r="IQ17" s="229">
        <f>JF15*(1.2/3)</f>
        <v>30.96</v>
      </c>
      <c r="IR17" s="229">
        <v>2</v>
      </c>
      <c r="IS17" s="229">
        <v>8</v>
      </c>
      <c r="IT17" s="229">
        <v>24.9</v>
      </c>
      <c r="IU17" s="229">
        <v>4</v>
      </c>
      <c r="IV17" s="126">
        <f>((10*1)+(8*1)+(12*1))/4</f>
        <v>7.5</v>
      </c>
      <c r="IW17" s="229">
        <f>((3.5*1)+(8.5*1)+(13.5*1))/4</f>
        <v>6.375</v>
      </c>
      <c r="IX17" s="233"/>
      <c r="IY17" s="233"/>
      <c r="IZ17" s="233"/>
      <c r="JA17" s="233"/>
      <c r="JB17" s="233"/>
      <c r="JC17" s="233"/>
      <c r="JD17" s="949"/>
      <c r="JE17" s="229">
        <f>(IL17*IM17*IN17)+(IO17*IP17*IQ17)+(IR17*IS17*IT17)+(IU17*IV17*IW17)+(IX17*IY17*IZ17)+(JA17*JB17*JC17)</f>
        <v>4359.49</v>
      </c>
      <c r="JF17" s="826"/>
      <c r="JH17" s="58">
        <v>15</v>
      </c>
      <c r="JI17" s="59"/>
      <c r="JJ17" s="58">
        <v>15</v>
      </c>
      <c r="JK17" s="59" t="str" cm="1">
        <f t="array" ref="JK17">IF(INDEX(AB:AB, (ROW()-ROW($JK$3))*3 + 3) &lt;&gt; "", "✔", "")</f>
        <v>✔</v>
      </c>
      <c r="JL17" s="58">
        <v>15</v>
      </c>
      <c r="JM17" s="59" t="str" cm="1">
        <f t="array" ref="JM17">IF(INDEX(AU:AU, (ROW()-ROW($JM$3))*3 + 3) &lt;&gt; "", "✔", "")</f>
        <v>✔</v>
      </c>
      <c r="JN17" s="124">
        <v>15</v>
      </c>
      <c r="JO17" s="82" t="str" cm="1">
        <f t="array" ref="JO17">IF(INDEX(BN:BN, (ROW()-ROW($BN$3))*3 + 3) &lt;&gt; "", "✔", "")</f>
        <v>✔</v>
      </c>
      <c r="JP17" s="124">
        <v>15</v>
      </c>
      <c r="JQ17" s="82" t="str" cm="1">
        <f t="array" ref="JQ17">IF(INDEX(CG:CG, (ROW()-ROW($CG$3))*3 + 3) &lt;&gt; "", "✔", "")</f>
        <v/>
      </c>
      <c r="JR17" s="124">
        <v>15</v>
      </c>
      <c r="JS17" s="82" t="str" cm="1">
        <f t="array" ref="JS17">IF(INDEX(CZ:CZ, (ROW()-ROW($CZ$3))*3 + 3) &lt;&gt; "", "✔", "")</f>
        <v>✔</v>
      </c>
      <c r="JT17" s="124">
        <v>15</v>
      </c>
      <c r="JU17" s="82" t="str" cm="1">
        <f t="array" ref="JU17">IF(INDEX(DS:DS, (ROW()-ROW($DS$3))*3 + 3) &lt;&gt; "", "✔", "")</f>
        <v/>
      </c>
      <c r="JV17" s="124">
        <v>15</v>
      </c>
      <c r="JW17" s="82" t="str" cm="1">
        <f t="array" ref="JW17">IF(INDEX(EL:EL, (ROW()-ROW($EL$3))*3 + 3) &lt;&gt; "", "✔", "")</f>
        <v/>
      </c>
      <c r="JX17" s="124">
        <v>15</v>
      </c>
      <c r="JY17" s="82" t="str" cm="1">
        <f t="array" ref="JY17">IF(INDEX(FE:FE, (ROW()-ROW($FE$3))*3 + 3) &lt;&gt; "", "✔", "")</f>
        <v>✔</v>
      </c>
      <c r="JZ17" s="124">
        <v>15</v>
      </c>
      <c r="KA17" s="82" t="str" cm="1">
        <f t="array" ref="KA17">IF(INDEX(FX:FX, (ROW()-ROW($FX$3))*3 + 3) &lt;&gt; "", "✔", "")</f>
        <v/>
      </c>
      <c r="KB17" s="124">
        <v>15</v>
      </c>
      <c r="KC17" s="82" t="str" cm="1">
        <f t="array" ref="KC17">IF(INDEX(GT:GT, (ROW()-ROW($GT$3))*3 + 3) &lt;&gt; "", "✔", "")</f>
        <v/>
      </c>
      <c r="KD17" s="124">
        <v>15</v>
      </c>
      <c r="KE17" s="82" t="str" cm="1">
        <f t="array" ref="KE17">IF(INDEX(HP:HP, (ROW()-ROW($HP$3))*3 + 3) &lt;&gt; "", "✔", "")</f>
        <v>✔</v>
      </c>
      <c r="KG17" s="231">
        <v>70</v>
      </c>
      <c r="KH17" s="230">
        <f t="shared" si="0"/>
        <v>31.751439999999999</v>
      </c>
    </row>
    <row r="18" spans="1:294" ht="19.5" thickBot="1">
      <c r="A18" s="918"/>
      <c r="B18" s="921"/>
      <c r="C18" s="97">
        <v>5</v>
      </c>
      <c r="D18" s="98" t="s">
        <v>118</v>
      </c>
      <c r="E18" s="100">
        <v>3</v>
      </c>
      <c r="F18" s="101">
        <v>12</v>
      </c>
      <c r="H18" s="937">
        <v>45683</v>
      </c>
      <c r="I18" s="849" t="s">
        <v>72</v>
      </c>
      <c r="J18" s="849"/>
      <c r="K18" s="849"/>
      <c r="L18" s="848" t="s">
        <v>77</v>
      </c>
      <c r="M18" s="848"/>
      <c r="N18" s="848"/>
      <c r="O18" s="849" t="s">
        <v>119</v>
      </c>
      <c r="P18" s="849"/>
      <c r="Q18" s="849"/>
      <c r="R18" s="886" t="s">
        <v>82</v>
      </c>
      <c r="S18" s="886"/>
      <c r="T18" s="886"/>
      <c r="U18" s="882" t="s">
        <v>100</v>
      </c>
      <c r="V18" s="883"/>
      <c r="W18" s="884"/>
      <c r="X18" s="823">
        <f t="shared" ref="X18" si="64">COUNTA(I18:W18)</f>
        <v>5</v>
      </c>
      <c r="Y18" s="939">
        <v>93.3</v>
      </c>
      <c r="AA18" s="873">
        <v>45694</v>
      </c>
      <c r="AB18" s="882" t="s">
        <v>14</v>
      </c>
      <c r="AC18" s="883"/>
      <c r="AD18" s="884"/>
      <c r="AE18" s="849" t="s">
        <v>119</v>
      </c>
      <c r="AF18" s="849"/>
      <c r="AG18" s="849"/>
      <c r="AH18" s="849" t="s">
        <v>120</v>
      </c>
      <c r="AI18" s="849"/>
      <c r="AJ18" s="849"/>
      <c r="AK18" s="890" t="s">
        <v>93</v>
      </c>
      <c r="AL18" s="890"/>
      <c r="AM18" s="890"/>
      <c r="AN18" s="834"/>
      <c r="AO18" s="835"/>
      <c r="AP18" s="836"/>
      <c r="AQ18" s="823">
        <f t="shared" ref="AQ18" si="65">COUNTA(AB18:AP18)</f>
        <v>4</v>
      </c>
      <c r="AR18" s="824">
        <v>93.9</v>
      </c>
      <c r="AT18" s="873">
        <v>45722</v>
      </c>
      <c r="AU18" s="849" t="s">
        <v>70</v>
      </c>
      <c r="AV18" s="849"/>
      <c r="AW18" s="849"/>
      <c r="AX18" s="859" t="s">
        <v>121</v>
      </c>
      <c r="AY18" s="859"/>
      <c r="AZ18" s="859"/>
      <c r="BA18" s="859"/>
      <c r="BB18" s="859"/>
      <c r="BC18" s="859"/>
      <c r="BD18" s="843"/>
      <c r="BE18" s="843"/>
      <c r="BF18" s="843"/>
      <c r="BG18" s="834"/>
      <c r="BH18" s="835"/>
      <c r="BI18" s="836"/>
      <c r="BJ18" s="823">
        <f t="shared" ref="BJ18" si="66">COUNTA(AU18:BI18)</f>
        <v>2</v>
      </c>
      <c r="BK18" s="824">
        <v>91.6</v>
      </c>
      <c r="BL18" s="118"/>
      <c r="BM18" s="864">
        <v>45753</v>
      </c>
      <c r="BN18" s="849" t="s">
        <v>119</v>
      </c>
      <c r="BO18" s="849"/>
      <c r="BP18" s="849"/>
      <c r="BQ18" s="849" t="s">
        <v>79</v>
      </c>
      <c r="BR18" s="849"/>
      <c r="BS18" s="849"/>
      <c r="BT18" s="882" t="s">
        <v>14</v>
      </c>
      <c r="BU18" s="883"/>
      <c r="BV18" s="884"/>
      <c r="BW18" s="890" t="s">
        <v>93</v>
      </c>
      <c r="BX18" s="890"/>
      <c r="BY18" s="890"/>
      <c r="BZ18" s="843"/>
      <c r="CA18" s="843"/>
      <c r="CB18" s="843"/>
      <c r="CC18" s="823">
        <f t="shared" ref="CC18" si="67">COUNTA(BN18:CB18)</f>
        <v>4</v>
      </c>
      <c r="CD18" s="824">
        <v>88.4</v>
      </c>
      <c r="CF18" s="856">
        <v>45783</v>
      </c>
      <c r="CG18" s="849" t="s">
        <v>70</v>
      </c>
      <c r="CH18" s="849"/>
      <c r="CI18" s="849"/>
      <c r="CJ18" s="859"/>
      <c r="CK18" s="859"/>
      <c r="CL18" s="859"/>
      <c r="CM18" s="844"/>
      <c r="CN18" s="844"/>
      <c r="CO18" s="844"/>
      <c r="CP18" s="844"/>
      <c r="CQ18" s="844"/>
      <c r="CR18" s="844"/>
      <c r="CS18" s="844"/>
      <c r="CT18" s="844"/>
      <c r="CU18" s="844"/>
      <c r="CV18" s="823">
        <f t="shared" ref="CV18" si="68">COUNTA(CG18:CU18)</f>
        <v>1</v>
      </c>
      <c r="CW18" s="824">
        <v>85.6</v>
      </c>
      <c r="CX18" s="118"/>
      <c r="CY18" s="876">
        <v>45814</v>
      </c>
      <c r="CZ18" s="849" t="s">
        <v>70</v>
      </c>
      <c r="DA18" s="849"/>
      <c r="DB18" s="849"/>
      <c r="DC18" s="849" t="s">
        <v>122</v>
      </c>
      <c r="DD18" s="849"/>
      <c r="DE18" s="849"/>
      <c r="DF18" s="844"/>
      <c r="DG18" s="844"/>
      <c r="DH18" s="844"/>
      <c r="DI18" s="844"/>
      <c r="DJ18" s="844"/>
      <c r="DK18" s="844"/>
      <c r="DL18" s="844"/>
      <c r="DM18" s="844"/>
      <c r="DN18" s="844"/>
      <c r="DO18" s="823">
        <f t="shared" ref="DO18" si="69">COUNTA(CZ18:DN18)</f>
        <v>2</v>
      </c>
      <c r="DP18" s="824">
        <v>83.3</v>
      </c>
      <c r="DR18" s="864">
        <v>45844</v>
      </c>
      <c r="DS18" s="849" t="s">
        <v>119</v>
      </c>
      <c r="DT18" s="849"/>
      <c r="DU18" s="849"/>
      <c r="DV18" s="849" t="s">
        <v>102</v>
      </c>
      <c r="DW18" s="849"/>
      <c r="DX18" s="849"/>
      <c r="DY18" s="890" t="s">
        <v>93</v>
      </c>
      <c r="DZ18" s="890"/>
      <c r="EA18" s="890"/>
      <c r="EB18" s="849" t="s">
        <v>113</v>
      </c>
      <c r="EC18" s="849"/>
      <c r="ED18" s="849"/>
      <c r="EE18" s="844"/>
      <c r="EF18" s="844"/>
      <c r="EG18" s="844"/>
      <c r="EH18" s="823">
        <f t="shared" ref="EH18" si="70">COUNTA(DS18:EG18)</f>
        <v>4</v>
      </c>
      <c r="EI18" s="824">
        <v>81.400000000000006</v>
      </c>
      <c r="EK18" s="845">
        <v>45875</v>
      </c>
      <c r="EL18" s="859"/>
      <c r="EM18" s="859"/>
      <c r="EN18" s="859"/>
      <c r="EO18" s="859"/>
      <c r="EP18" s="859"/>
      <c r="EQ18" s="859"/>
      <c r="ER18" s="844"/>
      <c r="ES18" s="844"/>
      <c r="ET18" s="844"/>
      <c r="EU18" s="844"/>
      <c r="EV18" s="844"/>
      <c r="EW18" s="844"/>
      <c r="EX18" s="844"/>
      <c r="EY18" s="844"/>
      <c r="EZ18" s="844"/>
      <c r="FA18" s="823">
        <f t="shared" ref="FA18" si="71">COUNTA(EL18:EZ18)</f>
        <v>0</v>
      </c>
      <c r="FB18" s="824">
        <f>FB15</f>
        <v>79</v>
      </c>
      <c r="FD18" s="840">
        <v>45906</v>
      </c>
      <c r="FE18" s="859"/>
      <c r="FF18" s="859"/>
      <c r="FG18" s="859"/>
      <c r="FH18" s="843"/>
      <c r="FI18" s="843"/>
      <c r="FJ18" s="843"/>
      <c r="FK18" s="844"/>
      <c r="FL18" s="844"/>
      <c r="FM18" s="844"/>
      <c r="FN18" s="844"/>
      <c r="FO18" s="844"/>
      <c r="FP18" s="844"/>
      <c r="FQ18" s="844"/>
      <c r="FR18" s="844"/>
      <c r="FS18" s="844"/>
      <c r="FT18" s="823">
        <f t="shared" ref="FT18" si="72">COUNTA(FE18:FS18)</f>
        <v>0</v>
      </c>
      <c r="FU18" s="824">
        <f>FU15</f>
        <v>79.3</v>
      </c>
      <c r="FW18" s="870">
        <v>45936</v>
      </c>
      <c r="FX18" s="848" t="s">
        <v>70</v>
      </c>
      <c r="FY18" s="848"/>
      <c r="FZ18" s="848"/>
      <c r="GA18" s="859"/>
      <c r="GB18" s="859"/>
      <c r="GC18" s="859"/>
      <c r="GD18" s="834"/>
      <c r="GE18" s="835"/>
      <c r="GF18" s="836"/>
      <c r="GG18" s="867"/>
      <c r="GH18" s="868"/>
      <c r="GI18" s="869"/>
      <c r="GJ18" s="834"/>
      <c r="GK18" s="835"/>
      <c r="GL18" s="836"/>
      <c r="GM18" s="834"/>
      <c r="GN18" s="835"/>
      <c r="GO18" s="836"/>
      <c r="GP18" s="823">
        <f>COUNTA(FX18:GO18)</f>
        <v>1</v>
      </c>
      <c r="GQ18" s="824">
        <v>78.099999999999994</v>
      </c>
      <c r="GR18" s="118"/>
      <c r="GS18" s="873">
        <v>45967</v>
      </c>
      <c r="GT18" s="848" t="s">
        <v>86</v>
      </c>
      <c r="GU18" s="848"/>
      <c r="GV18" s="848"/>
      <c r="GW18" s="859"/>
      <c r="GX18" s="859"/>
      <c r="GY18" s="859"/>
      <c r="GZ18" s="834"/>
      <c r="HA18" s="835"/>
      <c r="HB18" s="836"/>
      <c r="HC18" s="867"/>
      <c r="HD18" s="868"/>
      <c r="HE18" s="869"/>
      <c r="HF18" s="834"/>
      <c r="HG18" s="835"/>
      <c r="HH18" s="836"/>
      <c r="HI18" s="834"/>
      <c r="HJ18" s="835"/>
      <c r="HK18" s="836"/>
      <c r="HL18" s="823">
        <f>COUNTA(GT18:HK18)</f>
        <v>1</v>
      </c>
      <c r="HM18" s="824">
        <f>HM15</f>
        <v>79</v>
      </c>
      <c r="HN18" s="118"/>
      <c r="HO18" s="840">
        <v>45997</v>
      </c>
      <c r="HP18" s="879" t="s">
        <v>78</v>
      </c>
      <c r="HQ18" s="880"/>
      <c r="HR18" s="881"/>
      <c r="HS18" s="882" t="s">
        <v>85</v>
      </c>
      <c r="HT18" s="883"/>
      <c r="HU18" s="884"/>
      <c r="HV18" s="882" t="s">
        <v>123</v>
      </c>
      <c r="HW18" s="883"/>
      <c r="HX18" s="884"/>
      <c r="HY18" s="867"/>
      <c r="HZ18" s="868"/>
      <c r="IA18" s="869"/>
      <c r="IB18" s="834"/>
      <c r="IC18" s="835"/>
      <c r="ID18" s="836"/>
      <c r="IE18" s="834"/>
      <c r="IF18" s="835"/>
      <c r="IG18" s="836"/>
      <c r="IH18" s="823">
        <f>COUNTA(HP18:IG18)</f>
        <v>3</v>
      </c>
      <c r="II18" s="824">
        <v>78.099999999999994</v>
      </c>
      <c r="IK18" s="856">
        <v>46028</v>
      </c>
      <c r="IL18" s="848" t="s">
        <v>70</v>
      </c>
      <c r="IM18" s="848"/>
      <c r="IN18" s="848"/>
      <c r="IO18" s="859"/>
      <c r="IP18" s="859"/>
      <c r="IQ18" s="859"/>
      <c r="IR18" s="834"/>
      <c r="IS18" s="835"/>
      <c r="IT18" s="836"/>
      <c r="IU18" s="867"/>
      <c r="IV18" s="868"/>
      <c r="IW18" s="869"/>
      <c r="IX18" s="834"/>
      <c r="IY18" s="835"/>
      <c r="IZ18" s="836"/>
      <c r="JA18" s="834"/>
      <c r="JB18" s="835"/>
      <c r="JC18" s="836"/>
      <c r="JD18" s="232" t="s">
        <v>425</v>
      </c>
      <c r="JE18" s="823">
        <f>COUNTA(IL18:JC18)</f>
        <v>1</v>
      </c>
      <c r="JF18" s="824">
        <v>77.400000000000006</v>
      </c>
      <c r="JH18" s="61">
        <v>16</v>
      </c>
      <c r="JI18" s="62"/>
      <c r="JJ18" s="61">
        <v>16</v>
      </c>
      <c r="JK18" s="62" t="str" cm="1">
        <f t="array" ref="JK18">IF(INDEX(AB:AB, (ROW()-ROW($JK$3))*3 + 3) &lt;&gt; "", "✔", "")</f>
        <v>✔</v>
      </c>
      <c r="JL18" s="61">
        <v>16</v>
      </c>
      <c r="JM18" s="62" t="str" cm="1">
        <f t="array" ref="JM18">IF(INDEX(AU:AU, (ROW()-ROW($JM$3))*3 + 3) &lt;&gt; "", "✔", "")</f>
        <v>✔</v>
      </c>
      <c r="JN18" s="61">
        <v>16</v>
      </c>
      <c r="JO18" s="62" t="str" cm="1">
        <f t="array" ref="JO18">IF(INDEX(BN:BN, (ROW()-ROW($BN$3))*3 + 3) &lt;&gt; "", "✔", "")</f>
        <v>✔</v>
      </c>
      <c r="JP18" s="61">
        <v>16</v>
      </c>
      <c r="JQ18" s="62" t="str" cm="1">
        <f t="array" ref="JQ18">IF(INDEX(CG:CG, (ROW()-ROW($CG$3))*3 + 3) &lt;&gt; "", "✔", "")</f>
        <v>✔</v>
      </c>
      <c r="JR18" s="61">
        <v>16</v>
      </c>
      <c r="JS18" s="62" t="str" cm="1">
        <f t="array" ref="JS18">IF(INDEX(CZ:CZ, (ROW()-ROW($CZ$3))*3 + 3) &lt;&gt; "", "✔", "")</f>
        <v/>
      </c>
      <c r="JT18" s="61">
        <v>16</v>
      </c>
      <c r="JU18" s="62" t="str" cm="1">
        <f t="array" ref="JU18">IF(INDEX(DS:DS, (ROW()-ROW($DS$3))*3 + 3) &lt;&gt; "", "✔", "")</f>
        <v>✔</v>
      </c>
      <c r="JV18" s="61">
        <v>16</v>
      </c>
      <c r="JW18" s="62" t="str" cm="1">
        <f t="array" ref="JW18">IF(INDEX(EL:EL, (ROW()-ROW($EL$3))*3 + 3) &lt;&gt; "", "✔", "")</f>
        <v>✔</v>
      </c>
      <c r="JX18" s="61">
        <v>16</v>
      </c>
      <c r="JY18" s="62" t="str" cm="1">
        <f t="array" ref="JY18">IF(INDEX(FE:FE, (ROW()-ROW($FE$3))*3 + 3) &lt;&gt; "", "✔", "")</f>
        <v>✔</v>
      </c>
      <c r="JZ18" s="61">
        <v>16</v>
      </c>
      <c r="KA18" s="62" t="str" cm="1">
        <f t="array" ref="KA18">IF(INDEX(FX:FX, (ROW()-ROW($FX$3))*3 + 3) &lt;&gt; "", "✔", "")</f>
        <v>✔</v>
      </c>
      <c r="KB18" s="61">
        <v>16</v>
      </c>
      <c r="KC18" s="62" t="str" cm="1">
        <f t="array" ref="KC18">IF(INDEX(GT:GT, (ROW()-ROW($GT$3))*3 + 3) &lt;&gt; "", "✔", "")</f>
        <v>✔</v>
      </c>
      <c r="KD18" s="61">
        <v>16</v>
      </c>
      <c r="KE18" s="62" t="str" cm="1">
        <f t="array" ref="KE18">IF(INDEX(HP:HP, (ROW()-ROW($HP$3))*3 + 3) &lt;&gt; "", "✔", "")</f>
        <v>✔</v>
      </c>
      <c r="KG18" s="231">
        <v>75</v>
      </c>
      <c r="KH18" s="230">
        <f t="shared" si="0"/>
        <v>34.019399999999997</v>
      </c>
    </row>
    <row r="19" spans="1:294">
      <c r="A19" s="922" t="s">
        <v>33</v>
      </c>
      <c r="B19" s="919" t="s">
        <v>124</v>
      </c>
      <c r="C19" s="89">
        <v>1</v>
      </c>
      <c r="D19" s="99" t="s">
        <v>89</v>
      </c>
      <c r="E19" s="91">
        <v>4</v>
      </c>
      <c r="F19" s="92">
        <v>8</v>
      </c>
      <c r="H19" s="937"/>
      <c r="I19" s="231" t="s">
        <v>59</v>
      </c>
      <c r="J19" s="231" t="s">
        <v>73</v>
      </c>
      <c r="K19" s="102" t="s">
        <v>4</v>
      </c>
      <c r="L19" s="231" t="s">
        <v>59</v>
      </c>
      <c r="M19" s="231" t="s">
        <v>73</v>
      </c>
      <c r="N19" s="102" t="s">
        <v>4</v>
      </c>
      <c r="O19" s="231" t="s">
        <v>59</v>
      </c>
      <c r="P19" s="231" t="s">
        <v>73</v>
      </c>
      <c r="Q19" s="102" t="s">
        <v>4</v>
      </c>
      <c r="R19" s="231" t="s">
        <v>59</v>
      </c>
      <c r="S19" s="231" t="s">
        <v>73</v>
      </c>
      <c r="T19" s="102" t="s">
        <v>4</v>
      </c>
      <c r="U19" s="231" t="s">
        <v>59</v>
      </c>
      <c r="V19" s="231" t="s">
        <v>73</v>
      </c>
      <c r="W19" s="102" t="s">
        <v>4</v>
      </c>
      <c r="X19" s="823"/>
      <c r="Y19" s="940"/>
      <c r="AA19" s="874"/>
      <c r="AB19" s="231" t="s">
        <v>59</v>
      </c>
      <c r="AC19" s="231" t="s">
        <v>73</v>
      </c>
      <c r="AD19" s="102" t="s">
        <v>4</v>
      </c>
      <c r="AE19" s="231" t="s">
        <v>59</v>
      </c>
      <c r="AF19" s="231" t="s">
        <v>73</v>
      </c>
      <c r="AG19" s="102" t="s">
        <v>4</v>
      </c>
      <c r="AH19" s="231" t="s">
        <v>59</v>
      </c>
      <c r="AI19" s="231" t="s">
        <v>73</v>
      </c>
      <c r="AJ19" s="102" t="s">
        <v>4</v>
      </c>
      <c r="AK19" s="231" t="s">
        <v>59</v>
      </c>
      <c r="AL19" s="231" t="s">
        <v>73</v>
      </c>
      <c r="AM19" s="102" t="s">
        <v>4</v>
      </c>
      <c r="AN19" s="107" t="s">
        <v>59</v>
      </c>
      <c r="AO19" s="107" t="s">
        <v>73</v>
      </c>
      <c r="AP19" s="108" t="s">
        <v>4</v>
      </c>
      <c r="AQ19" s="823"/>
      <c r="AR19" s="825"/>
      <c r="AT19" s="874"/>
      <c r="AU19" s="231" t="s">
        <v>59</v>
      </c>
      <c r="AV19" s="231" t="s">
        <v>73</v>
      </c>
      <c r="AW19" s="102" t="s">
        <v>4</v>
      </c>
      <c r="AX19" s="107" t="s">
        <v>59</v>
      </c>
      <c r="AY19" s="107" t="s">
        <v>73</v>
      </c>
      <c r="AZ19" s="108" t="s">
        <v>4</v>
      </c>
      <c r="BA19" s="107" t="s">
        <v>59</v>
      </c>
      <c r="BB19" s="107" t="s">
        <v>73</v>
      </c>
      <c r="BC19" s="108" t="s">
        <v>4</v>
      </c>
      <c r="BD19" s="107" t="s">
        <v>59</v>
      </c>
      <c r="BE19" s="107" t="s">
        <v>73</v>
      </c>
      <c r="BF19" s="108" t="s">
        <v>4</v>
      </c>
      <c r="BG19" s="107" t="s">
        <v>59</v>
      </c>
      <c r="BH19" s="107" t="s">
        <v>73</v>
      </c>
      <c r="BI19" s="108" t="s">
        <v>4</v>
      </c>
      <c r="BJ19" s="823"/>
      <c r="BK19" s="825"/>
      <c r="BL19" s="118"/>
      <c r="BM19" s="865"/>
      <c r="BN19" s="231" t="s">
        <v>59</v>
      </c>
      <c r="BO19" s="231" t="s">
        <v>73</v>
      </c>
      <c r="BP19" s="102" t="s">
        <v>4</v>
      </c>
      <c r="BQ19" s="231" t="s">
        <v>59</v>
      </c>
      <c r="BR19" s="231" t="s">
        <v>73</v>
      </c>
      <c r="BS19" s="102" t="s">
        <v>4</v>
      </c>
      <c r="BT19" s="231" t="s">
        <v>59</v>
      </c>
      <c r="BU19" s="231" t="s">
        <v>73</v>
      </c>
      <c r="BV19" s="102" t="s">
        <v>4</v>
      </c>
      <c r="BW19" s="231" t="s">
        <v>59</v>
      </c>
      <c r="BX19" s="231" t="s">
        <v>73</v>
      </c>
      <c r="BY19" s="102" t="s">
        <v>4</v>
      </c>
      <c r="BZ19" s="107" t="s">
        <v>59</v>
      </c>
      <c r="CA19" s="107" t="s">
        <v>73</v>
      </c>
      <c r="CB19" s="108" t="s">
        <v>4</v>
      </c>
      <c r="CC19" s="823"/>
      <c r="CD19" s="825"/>
      <c r="CF19" s="857"/>
      <c r="CG19" s="231" t="s">
        <v>59</v>
      </c>
      <c r="CH19" s="231" t="s">
        <v>73</v>
      </c>
      <c r="CI19" s="102" t="s">
        <v>4</v>
      </c>
      <c r="CJ19" s="107" t="s">
        <v>59</v>
      </c>
      <c r="CK19" s="107" t="s">
        <v>73</v>
      </c>
      <c r="CL19" s="108" t="s">
        <v>4</v>
      </c>
      <c r="CM19" s="107" t="s">
        <v>59</v>
      </c>
      <c r="CN19" s="107" t="s">
        <v>73</v>
      </c>
      <c r="CO19" s="108" t="s">
        <v>4</v>
      </c>
      <c r="CP19" s="107" t="s">
        <v>59</v>
      </c>
      <c r="CQ19" s="107" t="s">
        <v>73</v>
      </c>
      <c r="CR19" s="108" t="s">
        <v>4</v>
      </c>
      <c r="CS19" s="107" t="s">
        <v>59</v>
      </c>
      <c r="CT19" s="107" t="s">
        <v>73</v>
      </c>
      <c r="CU19" s="108" t="s">
        <v>4</v>
      </c>
      <c r="CV19" s="823"/>
      <c r="CW19" s="825"/>
      <c r="CX19" s="118"/>
      <c r="CY19" s="877"/>
      <c r="CZ19" s="231" t="s">
        <v>59</v>
      </c>
      <c r="DA19" s="231" t="s">
        <v>73</v>
      </c>
      <c r="DB19" s="102" t="s">
        <v>4</v>
      </c>
      <c r="DC19" s="231" t="s">
        <v>59</v>
      </c>
      <c r="DD19" s="231" t="s">
        <v>73</v>
      </c>
      <c r="DE19" s="102" t="s">
        <v>4</v>
      </c>
      <c r="DF19" s="107" t="s">
        <v>59</v>
      </c>
      <c r="DG19" s="107" t="s">
        <v>73</v>
      </c>
      <c r="DH19" s="108" t="s">
        <v>4</v>
      </c>
      <c r="DI19" s="107" t="s">
        <v>59</v>
      </c>
      <c r="DJ19" s="107" t="s">
        <v>73</v>
      </c>
      <c r="DK19" s="108" t="s">
        <v>4</v>
      </c>
      <c r="DL19" s="107" t="s">
        <v>59</v>
      </c>
      <c r="DM19" s="107" t="s">
        <v>73</v>
      </c>
      <c r="DN19" s="108" t="s">
        <v>4</v>
      </c>
      <c r="DO19" s="823"/>
      <c r="DP19" s="825"/>
      <c r="DR19" s="865"/>
      <c r="DS19" s="231" t="s">
        <v>59</v>
      </c>
      <c r="DT19" s="231" t="s">
        <v>73</v>
      </c>
      <c r="DU19" s="102" t="s">
        <v>4</v>
      </c>
      <c r="DV19" s="231" t="s">
        <v>59</v>
      </c>
      <c r="DW19" s="231" t="s">
        <v>73</v>
      </c>
      <c r="DX19" s="102" t="s">
        <v>4</v>
      </c>
      <c r="DY19" s="231" t="s">
        <v>59</v>
      </c>
      <c r="DZ19" s="231" t="s">
        <v>73</v>
      </c>
      <c r="EA19" s="102" t="s">
        <v>4</v>
      </c>
      <c r="EB19" s="231" t="s">
        <v>59</v>
      </c>
      <c r="EC19" s="231" t="s">
        <v>73</v>
      </c>
      <c r="ED19" s="102" t="s">
        <v>4</v>
      </c>
      <c r="EE19" s="107" t="s">
        <v>59</v>
      </c>
      <c r="EF19" s="107" t="s">
        <v>73</v>
      </c>
      <c r="EG19" s="108" t="s">
        <v>4</v>
      </c>
      <c r="EH19" s="823"/>
      <c r="EI19" s="825"/>
      <c r="EK19" s="846"/>
      <c r="EL19" s="107" t="s">
        <v>59</v>
      </c>
      <c r="EM19" s="107" t="s">
        <v>73</v>
      </c>
      <c r="EN19" s="108" t="s">
        <v>4</v>
      </c>
      <c r="EO19" s="107" t="s">
        <v>59</v>
      </c>
      <c r="EP19" s="107" t="s">
        <v>73</v>
      </c>
      <c r="EQ19" s="108" t="s">
        <v>4</v>
      </c>
      <c r="ER19" s="107" t="s">
        <v>59</v>
      </c>
      <c r="ES19" s="107" t="s">
        <v>73</v>
      </c>
      <c r="ET19" s="108" t="s">
        <v>4</v>
      </c>
      <c r="EU19" s="107" t="s">
        <v>59</v>
      </c>
      <c r="EV19" s="107" t="s">
        <v>73</v>
      </c>
      <c r="EW19" s="108" t="s">
        <v>4</v>
      </c>
      <c r="EX19" s="107" t="s">
        <v>59</v>
      </c>
      <c r="EY19" s="107" t="s">
        <v>73</v>
      </c>
      <c r="EZ19" s="108" t="s">
        <v>4</v>
      </c>
      <c r="FA19" s="823"/>
      <c r="FB19" s="825"/>
      <c r="FD19" s="841"/>
      <c r="FE19" s="107" t="s">
        <v>59</v>
      </c>
      <c r="FF19" s="107" t="s">
        <v>73</v>
      </c>
      <c r="FG19" s="108" t="s">
        <v>4</v>
      </c>
      <c r="FH19" s="107" t="s">
        <v>59</v>
      </c>
      <c r="FI19" s="107" t="s">
        <v>73</v>
      </c>
      <c r="FJ19" s="108" t="s">
        <v>4</v>
      </c>
      <c r="FK19" s="107" t="s">
        <v>59</v>
      </c>
      <c r="FL19" s="107" t="s">
        <v>73</v>
      </c>
      <c r="FM19" s="108" t="s">
        <v>4</v>
      </c>
      <c r="FN19" s="107" t="s">
        <v>59</v>
      </c>
      <c r="FO19" s="107" t="s">
        <v>73</v>
      </c>
      <c r="FP19" s="108" t="s">
        <v>4</v>
      </c>
      <c r="FQ19" s="107" t="s">
        <v>59</v>
      </c>
      <c r="FR19" s="107" t="s">
        <v>73</v>
      </c>
      <c r="FS19" s="108" t="s">
        <v>4</v>
      </c>
      <c r="FT19" s="823"/>
      <c r="FU19" s="825"/>
      <c r="FW19" s="871"/>
      <c r="FX19" s="231" t="s">
        <v>59</v>
      </c>
      <c r="FY19" s="231" t="s">
        <v>73</v>
      </c>
      <c r="FZ19" s="102" t="s">
        <v>4</v>
      </c>
      <c r="GA19" s="107" t="s">
        <v>59</v>
      </c>
      <c r="GB19" s="107" t="s">
        <v>73</v>
      </c>
      <c r="GC19" s="108" t="s">
        <v>4</v>
      </c>
      <c r="GD19" s="107" t="s">
        <v>59</v>
      </c>
      <c r="GE19" s="107" t="s">
        <v>73</v>
      </c>
      <c r="GF19" s="108" t="s">
        <v>4</v>
      </c>
      <c r="GG19" s="107" t="s">
        <v>59</v>
      </c>
      <c r="GH19" s="107" t="s">
        <v>73</v>
      </c>
      <c r="GI19" s="108" t="s">
        <v>4</v>
      </c>
      <c r="GJ19" s="107" t="s">
        <v>59</v>
      </c>
      <c r="GK19" s="107" t="s">
        <v>73</v>
      </c>
      <c r="GL19" s="108" t="s">
        <v>4</v>
      </c>
      <c r="GM19" s="107" t="s">
        <v>59</v>
      </c>
      <c r="GN19" s="107" t="s">
        <v>73</v>
      </c>
      <c r="GO19" s="108" t="s">
        <v>4</v>
      </c>
      <c r="GP19" s="823"/>
      <c r="GQ19" s="825"/>
      <c r="GR19" s="118"/>
      <c r="GS19" s="874"/>
      <c r="GT19" s="231" t="s">
        <v>59</v>
      </c>
      <c r="GU19" s="231" t="s">
        <v>73</v>
      </c>
      <c r="GV19" s="102" t="s">
        <v>4</v>
      </c>
      <c r="GW19" s="107" t="s">
        <v>59</v>
      </c>
      <c r="GX19" s="107" t="s">
        <v>73</v>
      </c>
      <c r="GY19" s="108" t="s">
        <v>4</v>
      </c>
      <c r="GZ19" s="107" t="s">
        <v>59</v>
      </c>
      <c r="HA19" s="107" t="s">
        <v>73</v>
      </c>
      <c r="HB19" s="108" t="s">
        <v>4</v>
      </c>
      <c r="HC19" s="107" t="s">
        <v>59</v>
      </c>
      <c r="HD19" s="107" t="s">
        <v>73</v>
      </c>
      <c r="HE19" s="108" t="s">
        <v>4</v>
      </c>
      <c r="HF19" s="107" t="s">
        <v>59</v>
      </c>
      <c r="HG19" s="107" t="s">
        <v>73</v>
      </c>
      <c r="HH19" s="108" t="s">
        <v>4</v>
      </c>
      <c r="HI19" s="107" t="s">
        <v>59</v>
      </c>
      <c r="HJ19" s="107" t="s">
        <v>73</v>
      </c>
      <c r="HK19" s="108" t="s">
        <v>4</v>
      </c>
      <c r="HL19" s="823"/>
      <c r="HM19" s="825"/>
      <c r="HN19" s="118"/>
      <c r="HO19" s="841"/>
      <c r="HP19" s="231" t="s">
        <v>59</v>
      </c>
      <c r="HQ19" s="231" t="s">
        <v>73</v>
      </c>
      <c r="HR19" s="102" t="s">
        <v>4</v>
      </c>
      <c r="HS19" s="231" t="s">
        <v>59</v>
      </c>
      <c r="HT19" s="231" t="s">
        <v>73</v>
      </c>
      <c r="HU19" s="102" t="s">
        <v>4</v>
      </c>
      <c r="HV19" s="231" t="s">
        <v>59</v>
      </c>
      <c r="HW19" s="231" t="s">
        <v>73</v>
      </c>
      <c r="HX19" s="102" t="s">
        <v>4</v>
      </c>
      <c r="HY19" s="107" t="s">
        <v>59</v>
      </c>
      <c r="HZ19" s="107" t="s">
        <v>73</v>
      </c>
      <c r="IA19" s="108" t="s">
        <v>4</v>
      </c>
      <c r="IB19" s="107" t="s">
        <v>59</v>
      </c>
      <c r="IC19" s="107" t="s">
        <v>73</v>
      </c>
      <c r="ID19" s="108" t="s">
        <v>4</v>
      </c>
      <c r="IE19" s="107" t="s">
        <v>59</v>
      </c>
      <c r="IF19" s="107" t="s">
        <v>73</v>
      </c>
      <c r="IG19" s="108" t="s">
        <v>4</v>
      </c>
      <c r="IH19" s="823"/>
      <c r="II19" s="825"/>
      <c r="IK19" s="857"/>
      <c r="IL19" s="231" t="s">
        <v>59</v>
      </c>
      <c r="IM19" s="231" t="s">
        <v>73</v>
      </c>
      <c r="IN19" s="102" t="s">
        <v>4</v>
      </c>
      <c r="IO19" s="107" t="s">
        <v>59</v>
      </c>
      <c r="IP19" s="107" t="s">
        <v>73</v>
      </c>
      <c r="IQ19" s="108" t="s">
        <v>4</v>
      </c>
      <c r="IR19" s="107" t="s">
        <v>59</v>
      </c>
      <c r="IS19" s="107" t="s">
        <v>73</v>
      </c>
      <c r="IT19" s="108" t="s">
        <v>4</v>
      </c>
      <c r="IU19" s="107" t="s">
        <v>59</v>
      </c>
      <c r="IV19" s="107" t="s">
        <v>73</v>
      </c>
      <c r="IW19" s="108" t="s">
        <v>4</v>
      </c>
      <c r="IX19" s="107" t="s">
        <v>59</v>
      </c>
      <c r="IY19" s="107" t="s">
        <v>73</v>
      </c>
      <c r="IZ19" s="108" t="s">
        <v>4</v>
      </c>
      <c r="JA19" s="107" t="s">
        <v>59</v>
      </c>
      <c r="JB19" s="107" t="s">
        <v>73</v>
      </c>
      <c r="JC19" s="108" t="s">
        <v>4</v>
      </c>
      <c r="JD19" s="948"/>
      <c r="JE19" s="823"/>
      <c r="JF19" s="825"/>
      <c r="JH19" s="61">
        <v>17</v>
      </c>
      <c r="JI19" s="62" t="s">
        <v>54</v>
      </c>
      <c r="JJ19" s="61">
        <v>17</v>
      </c>
      <c r="JK19" s="62" t="str" cm="1">
        <f t="array" ref="JK19">IF(INDEX(AB:AB, (ROW()-ROW($JK$3))*3 + 3) &lt;&gt; "", "✔", "")</f>
        <v>✔</v>
      </c>
      <c r="JL19" s="61">
        <v>17</v>
      </c>
      <c r="JM19" s="62" t="str" cm="1">
        <f t="array" ref="JM19">IF(INDEX(AU:AU, (ROW()-ROW($JM$3))*3 + 3) &lt;&gt; "", "✔", "")</f>
        <v>✔</v>
      </c>
      <c r="JN19" s="124">
        <v>17</v>
      </c>
      <c r="JO19" s="82" t="str" cm="1">
        <f t="array" ref="JO19">IF(INDEX(BN:BN, (ROW()-ROW($BN$3))*3 + 3) &lt;&gt; "", "✔", "")</f>
        <v>✔</v>
      </c>
      <c r="JP19" s="124">
        <v>17</v>
      </c>
      <c r="JQ19" s="82" t="str" cm="1">
        <f t="array" ref="JQ19">IF(INDEX(CG:CG, (ROW()-ROW($CG$3))*3 + 3) &lt;&gt; "", "✔", "")</f>
        <v/>
      </c>
      <c r="JR19" s="124">
        <v>17</v>
      </c>
      <c r="JS19" s="82" t="str" cm="1">
        <f t="array" ref="JS19">IF(INDEX(CZ:CZ, (ROW()-ROW($CZ$3))*3 + 3) &lt;&gt; "", "✔", "")</f>
        <v/>
      </c>
      <c r="JT19" s="124">
        <v>17</v>
      </c>
      <c r="JU19" s="82" t="str" cm="1">
        <f t="array" ref="JU19">IF(INDEX(DS:DS, (ROW()-ROW($DS$3))*3 + 3) &lt;&gt; "", "✔", "")</f>
        <v>✔</v>
      </c>
      <c r="JV19" s="124">
        <v>17</v>
      </c>
      <c r="JW19" s="82" t="str" cm="1">
        <f t="array" ref="JW19">IF(INDEX(EL:EL, (ROW()-ROW($EL$3))*3 + 3) &lt;&gt; "", "✔", "")</f>
        <v/>
      </c>
      <c r="JX19" s="124">
        <v>17</v>
      </c>
      <c r="JY19" s="82" t="str" cm="1">
        <f t="array" ref="JY19">IF(INDEX(FE:FE, (ROW()-ROW($FE$3))*3 + 3) &lt;&gt; "", "✔", "")</f>
        <v/>
      </c>
      <c r="JZ19" s="124">
        <v>17</v>
      </c>
      <c r="KA19" s="82" t="str" cm="1">
        <f t="array" ref="KA19">IF(INDEX(FX:FX, (ROW()-ROW($FX$3))*3 + 3) &lt;&gt; "", "✔", "")</f>
        <v>✔</v>
      </c>
      <c r="KB19" s="124">
        <v>17</v>
      </c>
      <c r="KC19" s="82" t="str" cm="1">
        <f t="array" ref="KC19">IF(INDEX(GT:GT, (ROW()-ROW($GT$3))*3 + 3) &lt;&gt; "", "✔", "")</f>
        <v>✔</v>
      </c>
      <c r="KD19" s="124">
        <v>17</v>
      </c>
      <c r="KE19" s="82" t="str" cm="1">
        <f t="array" ref="KE19">IF(INDEX(HP:HP, (ROW()-ROW($HP$3))*3 + 3) &lt;&gt; "", "✔", "")</f>
        <v>✔</v>
      </c>
      <c r="KG19" s="231">
        <v>80</v>
      </c>
      <c r="KH19" s="230">
        <f t="shared" si="0"/>
        <v>36.28736</v>
      </c>
    </row>
    <row r="20" spans="1:294">
      <c r="A20" s="923"/>
      <c r="B20" s="920"/>
      <c r="C20" s="93">
        <v>2</v>
      </c>
      <c r="D20" s="94" t="s">
        <v>125</v>
      </c>
      <c r="E20" s="95">
        <v>4</v>
      </c>
      <c r="F20" s="96">
        <v>8</v>
      </c>
      <c r="H20" s="937"/>
      <c r="I20" s="229">
        <v>4</v>
      </c>
      <c r="J20" s="229">
        <v>8</v>
      </c>
      <c r="K20" s="229">
        <v>54.4</v>
      </c>
      <c r="L20" s="229">
        <v>4</v>
      </c>
      <c r="M20" s="229">
        <v>8</v>
      </c>
      <c r="N20" s="229">
        <v>20</v>
      </c>
      <c r="O20" s="229">
        <v>4</v>
      </c>
      <c r="P20" s="229">
        <v>8</v>
      </c>
      <c r="Q20" s="229">
        <v>20</v>
      </c>
      <c r="R20" s="229">
        <v>4</v>
      </c>
      <c r="S20" s="229">
        <v>8</v>
      </c>
      <c r="T20" s="229">
        <v>24.9</v>
      </c>
      <c r="U20" s="229">
        <v>1</v>
      </c>
      <c r="V20" s="229">
        <v>20</v>
      </c>
      <c r="W20" s="229">
        <v>94.4</v>
      </c>
      <c r="X20" s="229">
        <f t="shared" ref="X20" si="73">(I20*J20*K20)+(L20*M20*N20)+(O20*P20*Q20)+(R20*S20*T20)+(U20*V20*W20)</f>
        <v>5705.6</v>
      </c>
      <c r="Y20" s="941"/>
      <c r="AA20" s="875"/>
      <c r="AB20" s="229">
        <v>4</v>
      </c>
      <c r="AC20" s="229">
        <v>6</v>
      </c>
      <c r="AD20" s="229">
        <f>((12.5*2)+(15*2))/4</f>
        <v>13.75</v>
      </c>
      <c r="AE20" s="229">
        <v>4</v>
      </c>
      <c r="AF20" s="229">
        <v>8</v>
      </c>
      <c r="AG20" s="229">
        <v>20</v>
      </c>
      <c r="AH20" s="229">
        <v>4</v>
      </c>
      <c r="AI20" s="229">
        <v>8</v>
      </c>
      <c r="AJ20" s="229">
        <v>7.5</v>
      </c>
      <c r="AK20" s="229">
        <v>4</v>
      </c>
      <c r="AL20" s="229">
        <v>8</v>
      </c>
      <c r="AM20" s="229">
        <v>20</v>
      </c>
      <c r="AN20" s="233"/>
      <c r="AO20" s="233"/>
      <c r="AP20" s="233"/>
      <c r="AQ20" s="229">
        <f>(AB20*AC20*AD20)+(AE20*AF20*AG20)+(AH20*AI20*AJ20)+(AK20*AL20*AM20)+(AN20*AO20*AP20)</f>
        <v>1850</v>
      </c>
      <c r="AR20" s="826"/>
      <c r="AT20" s="875"/>
      <c r="AU20" s="229">
        <v>1</v>
      </c>
      <c r="AV20" s="229">
        <v>30</v>
      </c>
      <c r="AW20" s="229">
        <f>BK18</f>
        <v>91.6</v>
      </c>
      <c r="AX20" s="233"/>
      <c r="AY20" s="233"/>
      <c r="AZ20" s="233"/>
      <c r="BA20" s="233"/>
      <c r="BB20" s="233"/>
      <c r="BC20" s="233"/>
      <c r="BD20" s="233"/>
      <c r="BE20" s="233"/>
      <c r="BF20" s="233"/>
      <c r="BG20" s="233"/>
      <c r="BH20" s="233"/>
      <c r="BI20" s="233"/>
      <c r="BJ20" s="229">
        <f>(AU20*AV20*AW20)+(AX20*AY20*AZ20)+(BA20*BB20*BC20)+(BD20*BE20*BF20)+(BG20*BH20*BI20)</f>
        <v>2748</v>
      </c>
      <c r="BK20" s="826"/>
      <c r="BL20" s="118"/>
      <c r="BM20" s="866"/>
      <c r="BN20" s="229">
        <v>4</v>
      </c>
      <c r="BO20" s="229">
        <v>10</v>
      </c>
      <c r="BP20" s="229">
        <v>22.5</v>
      </c>
      <c r="BQ20" s="229">
        <v>4</v>
      </c>
      <c r="BR20" s="229">
        <v>10</v>
      </c>
      <c r="BS20" s="229">
        <v>12.5</v>
      </c>
      <c r="BT20" s="229">
        <v>4</v>
      </c>
      <c r="BU20" s="229">
        <v>10</v>
      </c>
      <c r="BV20" s="126">
        <v>15</v>
      </c>
      <c r="BW20" s="229">
        <v>4</v>
      </c>
      <c r="BX20" s="229">
        <v>8</v>
      </c>
      <c r="BY20" s="229">
        <v>20</v>
      </c>
      <c r="BZ20" s="233"/>
      <c r="CA20" s="233"/>
      <c r="CB20" s="233"/>
      <c r="CC20" s="229">
        <f>(BN20*BO20*BP20)+(BQ20*BR20*BS20)+(BT20*BU20*BV20)+(BW20*BX20*BY20)+(BZ20*CA20*CB20)</f>
        <v>2640</v>
      </c>
      <c r="CD20" s="826"/>
      <c r="CF20" s="858"/>
      <c r="CG20" s="229">
        <v>1</v>
      </c>
      <c r="CH20" s="229">
        <v>42</v>
      </c>
      <c r="CI20" s="126">
        <f>CW18+5</f>
        <v>90.6</v>
      </c>
      <c r="CJ20" s="233"/>
      <c r="CK20" s="233"/>
      <c r="CL20" s="233"/>
      <c r="CM20" s="233"/>
      <c r="CN20" s="233"/>
      <c r="CO20" s="233"/>
      <c r="CP20" s="233"/>
      <c r="CQ20" s="233"/>
      <c r="CR20" s="233"/>
      <c r="CS20" s="233"/>
      <c r="CT20" s="233"/>
      <c r="CU20" s="233"/>
      <c r="CV20" s="229">
        <f>(CG20*CH20*CI20)+(CJ20*CK20*CL20)+(CM20*CN20*CO20)+(CP20*CQ20*CR20)+(CS20*CT20*CU20)</f>
        <v>3805.2</v>
      </c>
      <c r="CW20" s="826"/>
      <c r="CX20" s="118"/>
      <c r="CY20" s="878"/>
      <c r="CZ20" s="229">
        <v>1</v>
      </c>
      <c r="DA20" s="229">
        <v>35</v>
      </c>
      <c r="DB20" s="229">
        <f>DP18</f>
        <v>83.3</v>
      </c>
      <c r="DC20" s="229">
        <v>1</v>
      </c>
      <c r="DD20" s="229">
        <v>20</v>
      </c>
      <c r="DE20" s="229">
        <f>$DP18</f>
        <v>83.3</v>
      </c>
      <c r="DF20" s="233"/>
      <c r="DG20" s="233"/>
      <c r="DH20" s="233"/>
      <c r="DI20" s="233"/>
      <c r="DJ20" s="233"/>
      <c r="DK20" s="233"/>
      <c r="DL20" s="233"/>
      <c r="DM20" s="233"/>
      <c r="DN20" s="233"/>
      <c r="DO20" s="229">
        <f>(CZ20*DA20*DB20)+(DC20*DD20*DE20)+(DF20*DG20*DH20)+(DI20*DJ20*DK20)+(DL20*DM20*DN20)</f>
        <v>4581.5</v>
      </c>
      <c r="DP20" s="826"/>
      <c r="DR20" s="866"/>
      <c r="DS20" s="229">
        <v>3</v>
      </c>
      <c r="DT20" s="229">
        <f>((12*1)+(10*2))/3</f>
        <v>10.666666666666666</v>
      </c>
      <c r="DU20" s="229">
        <v>22.5</v>
      </c>
      <c r="DV20" s="229">
        <v>3</v>
      </c>
      <c r="DW20" s="126">
        <v>10</v>
      </c>
      <c r="DX20" s="229">
        <v>11.3</v>
      </c>
      <c r="DY20" s="229">
        <v>3</v>
      </c>
      <c r="DZ20" s="229">
        <v>10</v>
      </c>
      <c r="EA20" s="229">
        <v>20</v>
      </c>
      <c r="EB20" s="229">
        <v>3</v>
      </c>
      <c r="EC20" s="126">
        <v>12</v>
      </c>
      <c r="ED20" s="126">
        <v>7.5</v>
      </c>
      <c r="EE20" s="233"/>
      <c r="EF20" s="233"/>
      <c r="EG20" s="233"/>
      <c r="EH20" s="229">
        <f>(DS20*DT20*DU20)+(DV20*DW20*DX20)+(DY20*DZ20*EA20)+(EB20*EC20*ED20)+(EE20*EF20*EG20)</f>
        <v>1929</v>
      </c>
      <c r="EI20" s="826"/>
      <c r="EK20" s="847"/>
      <c r="EL20" s="233"/>
      <c r="EM20" s="233"/>
      <c r="EN20" s="233"/>
      <c r="EO20" s="233"/>
      <c r="EP20" s="233"/>
      <c r="EQ20" s="233"/>
      <c r="ER20" s="233"/>
      <c r="ES20" s="233"/>
      <c r="ET20" s="233"/>
      <c r="EU20" s="233"/>
      <c r="EV20" s="233"/>
      <c r="EW20" s="233"/>
      <c r="EX20" s="233"/>
      <c r="EY20" s="233"/>
      <c r="EZ20" s="233"/>
      <c r="FA20" s="229">
        <f>(EL20*EM20*EN20)+(EO20*EP20*EQ20)+(ER20*ES20*ET20)+(EU20*EV20*EW20)+(EX20*EY20*EZ20)</f>
        <v>0</v>
      </c>
      <c r="FB20" s="826"/>
      <c r="FD20" s="842"/>
      <c r="FE20" s="233"/>
      <c r="FF20" s="233"/>
      <c r="FG20" s="233"/>
      <c r="FH20" s="233"/>
      <c r="FI20" s="233"/>
      <c r="FJ20" s="233"/>
      <c r="FK20" s="233"/>
      <c r="FL20" s="233"/>
      <c r="FM20" s="233"/>
      <c r="FN20" s="233"/>
      <c r="FO20" s="233"/>
      <c r="FP20" s="233"/>
      <c r="FQ20" s="233"/>
      <c r="FR20" s="233"/>
      <c r="FS20" s="233"/>
      <c r="FT20" s="229">
        <f>(FE20*FF20*FG20)+(FH20*FI20*FJ20)+(FK20*FL20*FM20)+(FN20*FO20*FP20)+(FQ20*FR20*FS20)</f>
        <v>0</v>
      </c>
      <c r="FU20" s="826"/>
      <c r="FW20" s="872"/>
      <c r="FX20" s="229">
        <v>1</v>
      </c>
      <c r="FY20" s="229">
        <v>35</v>
      </c>
      <c r="FZ20" s="229">
        <f>GQ18</f>
        <v>78.099999999999994</v>
      </c>
      <c r="GA20" s="233"/>
      <c r="GB20" s="233"/>
      <c r="GC20" s="233"/>
      <c r="GD20" s="233"/>
      <c r="GE20" s="233"/>
      <c r="GF20" s="233"/>
      <c r="GG20" s="233"/>
      <c r="GH20" s="233"/>
      <c r="GI20" s="233"/>
      <c r="GJ20" s="233"/>
      <c r="GK20" s="233"/>
      <c r="GL20" s="233"/>
      <c r="GM20" s="233"/>
      <c r="GN20" s="233"/>
      <c r="GO20" s="233"/>
      <c r="GP20" s="229">
        <f>(FX20*FY20*FZ20)+(GA20*GB20*GC20)+(GD20*GE20*GF20)+(GG20*GH20*GI20)+(GJ20*GK20*GL20)+(GM20*GN20*GO20)</f>
        <v>2733.5</v>
      </c>
      <c r="GQ20" s="826"/>
      <c r="GR20" s="118"/>
      <c r="GS20" s="875"/>
      <c r="GT20" s="229">
        <v>4</v>
      </c>
      <c r="GU20" s="126">
        <v>14</v>
      </c>
      <c r="GV20" s="229">
        <v>12</v>
      </c>
      <c r="GW20" s="233"/>
      <c r="GX20" s="233"/>
      <c r="GY20" s="233"/>
      <c r="GZ20" s="233"/>
      <c r="HA20" s="233"/>
      <c r="HB20" s="233"/>
      <c r="HC20" s="233"/>
      <c r="HD20" s="233"/>
      <c r="HE20" s="233"/>
      <c r="HF20" s="233"/>
      <c r="HG20" s="233"/>
      <c r="HH20" s="233"/>
      <c r="HI20" s="233"/>
      <c r="HJ20" s="233"/>
      <c r="HK20" s="233"/>
      <c r="HL20" s="229">
        <f>(GT20*GU20*GV20)+(GW20*GX20*GY20)+(GZ20*HA20*HB20)+(HC20*HD20*HE20)+(HF20*HG20*HH20)+(HI20*HJ20*HK20)</f>
        <v>672</v>
      </c>
      <c r="HM20" s="826"/>
      <c r="HN20" s="118"/>
      <c r="HO20" s="842"/>
      <c r="HP20" s="229">
        <v>4</v>
      </c>
      <c r="HQ20" s="126">
        <f>((12*2)+(14*1))/3</f>
        <v>12.666666666666666</v>
      </c>
      <c r="HR20" s="229">
        <v>20</v>
      </c>
      <c r="HS20" s="229">
        <v>3</v>
      </c>
      <c r="HT20" s="229">
        <v>40</v>
      </c>
      <c r="HU20" s="229">
        <f>II18*(1/3)</f>
        <v>26.033333333333331</v>
      </c>
      <c r="HV20" s="229">
        <v>3</v>
      </c>
      <c r="HW20" s="126">
        <f>((10*1)+(8*1)+(12*1))/3</f>
        <v>10</v>
      </c>
      <c r="HX20" s="126">
        <f>((24.9*2)+(22.7*1))/3</f>
        <v>24.166666666666668</v>
      </c>
      <c r="HY20" s="233"/>
      <c r="HZ20" s="233"/>
      <c r="IA20" s="233"/>
      <c r="IB20" s="233"/>
      <c r="IC20" s="233"/>
      <c r="ID20" s="233"/>
      <c r="IE20" s="233"/>
      <c r="IF20" s="233"/>
      <c r="IG20" s="233"/>
      <c r="IH20" s="229">
        <f>(HP20*HQ20*HR20)+(HS20*HT20*HU20)+(HV20*HW20*HX20)+(HY20*HZ20*IA20)+(IB20*IC20*ID20)+(IE20*IF20*IG20)</f>
        <v>4862.333333333333</v>
      </c>
      <c r="II20" s="826"/>
      <c r="IK20" s="858"/>
      <c r="IL20" s="229">
        <v>1</v>
      </c>
      <c r="IM20" s="126">
        <v>40</v>
      </c>
      <c r="IN20" s="229">
        <f>JF18</f>
        <v>77.400000000000006</v>
      </c>
      <c r="IO20" s="233"/>
      <c r="IP20" s="233"/>
      <c r="IQ20" s="233"/>
      <c r="IR20" s="233"/>
      <c r="IS20" s="233"/>
      <c r="IT20" s="233"/>
      <c r="IU20" s="233"/>
      <c r="IV20" s="233"/>
      <c r="IW20" s="233"/>
      <c r="IX20" s="233"/>
      <c r="IY20" s="233"/>
      <c r="IZ20" s="233"/>
      <c r="JA20" s="233"/>
      <c r="JB20" s="233"/>
      <c r="JC20" s="233"/>
      <c r="JD20" s="949"/>
      <c r="JE20" s="229">
        <f>(IL20*IM20*IN20)+(IO20*IP20*IQ20)+(IR20*IS20*IT20)+(IU20*IV20*IW20)+(IX20*IY20*IZ20)+(JA20*JB20*JC20)</f>
        <v>3096</v>
      </c>
      <c r="JF20" s="826"/>
      <c r="JH20" s="58">
        <v>18</v>
      </c>
      <c r="JI20" s="59"/>
      <c r="JJ20" s="61">
        <v>18</v>
      </c>
      <c r="JK20" s="62" t="str" cm="1">
        <f t="array" ref="JK20">IF(INDEX(AB:AB, (ROW()-ROW($JK$3))*3 + 3) &lt;&gt; "", "✔", "")</f>
        <v>✔</v>
      </c>
      <c r="JL20" s="61">
        <v>18</v>
      </c>
      <c r="JM20" s="62" t="str" cm="1">
        <f t="array" ref="JM20">IF(INDEX(AU:AU, (ROW()-ROW($JM$3))*3 + 3) &lt;&gt; "", "✔", "")</f>
        <v/>
      </c>
      <c r="JN20" s="61">
        <v>18</v>
      </c>
      <c r="JO20" s="62" t="str" cm="1">
        <f t="array" ref="JO20">IF(INDEX(BN:BN, (ROW()-ROW($BN$3))*3 + 3) &lt;&gt; "", "✔", "")</f>
        <v>✔</v>
      </c>
      <c r="JP20" s="61">
        <v>18</v>
      </c>
      <c r="JQ20" s="62" t="str" cm="1">
        <f t="array" ref="JQ20">IF(INDEX(CG:CG, (ROW()-ROW($CG$3))*3 + 3) &lt;&gt; "", "✔", "")</f>
        <v>✔</v>
      </c>
      <c r="JR20" s="61">
        <v>18</v>
      </c>
      <c r="JS20" s="62" t="str" cm="1">
        <f t="array" ref="JS20">IF(INDEX(CZ:CZ, (ROW()-ROW($CZ$3))*3 + 3) &lt;&gt; "", "✔", "")</f>
        <v>✔</v>
      </c>
      <c r="JT20" s="61">
        <v>18</v>
      </c>
      <c r="JU20" s="62" t="str" cm="1">
        <f t="array" ref="JU20">IF(INDEX(DS:DS, (ROW()-ROW($DS$3))*3 + 3) &lt;&gt; "", "✔", "")</f>
        <v/>
      </c>
      <c r="JV20" s="61">
        <v>18</v>
      </c>
      <c r="JW20" s="62" t="str" cm="1">
        <f t="array" ref="JW20">IF(INDEX(EL:EL, (ROW()-ROW($EL$3))*3 + 3) &lt;&gt; "", "✔", "")</f>
        <v>✔</v>
      </c>
      <c r="JX20" s="61">
        <v>18</v>
      </c>
      <c r="JY20" s="62" t="str" cm="1">
        <f t="array" ref="JY20">IF(INDEX(FE:FE, (ROW()-ROW($FE$3))*3 + 3) &lt;&gt; "", "✔", "")</f>
        <v>✔</v>
      </c>
      <c r="JZ20" s="61">
        <v>18</v>
      </c>
      <c r="KA20" s="62" t="str" cm="1">
        <f t="array" ref="KA20">IF(INDEX(FX:FX, (ROW()-ROW($FX$3))*3 + 3) &lt;&gt; "", "✔", "")</f>
        <v/>
      </c>
      <c r="KB20" s="61">
        <v>18</v>
      </c>
      <c r="KC20" s="62" t="str" cm="1">
        <f t="array" ref="KC20">IF(INDEX(GT:GT, (ROW()-ROW($GT$3))*3 + 3) &lt;&gt; "", "✔", "")</f>
        <v>✔</v>
      </c>
      <c r="KD20" s="61">
        <v>18</v>
      </c>
      <c r="KE20" s="62" t="str" cm="1">
        <f t="array" ref="KE20">IF(INDEX(HP:HP, (ROW()-ROW($HP$3))*3 + 3) &lt;&gt; "", "✔", "")</f>
        <v>✔</v>
      </c>
      <c r="KG20" s="231">
        <v>85</v>
      </c>
      <c r="KH20" s="230">
        <f t="shared" si="0"/>
        <v>38.555320000000002</v>
      </c>
    </row>
    <row r="21" spans="1:294">
      <c r="A21" s="923"/>
      <c r="B21" s="920"/>
      <c r="C21" s="93">
        <v>3</v>
      </c>
      <c r="D21" s="94" t="s">
        <v>126</v>
      </c>
      <c r="E21" s="95">
        <v>3</v>
      </c>
      <c r="F21" s="96">
        <v>12</v>
      </c>
      <c r="H21" s="936">
        <v>45684</v>
      </c>
      <c r="I21" s="848" t="s">
        <v>92</v>
      </c>
      <c r="J21" s="848"/>
      <c r="K21" s="848"/>
      <c r="L21" s="849" t="s">
        <v>72</v>
      </c>
      <c r="M21" s="849"/>
      <c r="N21" s="849"/>
      <c r="O21" s="882" t="s">
        <v>95</v>
      </c>
      <c r="P21" s="883"/>
      <c r="Q21" s="884"/>
      <c r="R21" s="882" t="s">
        <v>127</v>
      </c>
      <c r="S21" s="883"/>
      <c r="T21" s="884"/>
      <c r="U21" s="882" t="s">
        <v>14</v>
      </c>
      <c r="V21" s="883"/>
      <c r="W21" s="884"/>
      <c r="X21" s="823">
        <f t="shared" ref="X21" si="74">COUNTA(I21:W21)</f>
        <v>5</v>
      </c>
      <c r="Y21" s="939">
        <v>94.4</v>
      </c>
      <c r="AA21" s="876">
        <v>45695</v>
      </c>
      <c r="AB21" s="849" t="s">
        <v>89</v>
      </c>
      <c r="AC21" s="849"/>
      <c r="AD21" s="849"/>
      <c r="AE21" s="890" t="s">
        <v>94</v>
      </c>
      <c r="AF21" s="890"/>
      <c r="AG21" s="890"/>
      <c r="AH21" s="848" t="s">
        <v>96</v>
      </c>
      <c r="AI21" s="848"/>
      <c r="AJ21" s="848"/>
      <c r="AK21" s="886" t="s">
        <v>82</v>
      </c>
      <c r="AL21" s="886"/>
      <c r="AM21" s="886"/>
      <c r="AN21" s="834"/>
      <c r="AO21" s="835"/>
      <c r="AP21" s="836"/>
      <c r="AQ21" s="823">
        <f t="shared" ref="AQ21" si="75">COUNTA(AB21:AP21)</f>
        <v>4</v>
      </c>
      <c r="AR21" s="824">
        <v>94</v>
      </c>
      <c r="AT21" s="876">
        <v>45723</v>
      </c>
      <c r="AU21" s="879" t="s">
        <v>78</v>
      </c>
      <c r="AV21" s="880"/>
      <c r="AW21" s="881"/>
      <c r="AX21" s="849" t="s">
        <v>119</v>
      </c>
      <c r="AY21" s="849"/>
      <c r="AZ21" s="849"/>
      <c r="BA21" s="849" t="s">
        <v>81</v>
      </c>
      <c r="BB21" s="849"/>
      <c r="BC21" s="849"/>
      <c r="BD21" s="886" t="s">
        <v>82</v>
      </c>
      <c r="BE21" s="886"/>
      <c r="BF21" s="886"/>
      <c r="BG21" s="834"/>
      <c r="BH21" s="835"/>
      <c r="BI21" s="836"/>
      <c r="BJ21" s="823">
        <f t="shared" ref="BJ21" si="76">COUNTA(AU21:BI21)</f>
        <v>4</v>
      </c>
      <c r="BK21" s="824">
        <v>91.9</v>
      </c>
      <c r="BL21" s="118"/>
      <c r="BM21" s="870">
        <v>45754</v>
      </c>
      <c r="BN21" s="849" t="s">
        <v>72</v>
      </c>
      <c r="BO21" s="849"/>
      <c r="BP21" s="849"/>
      <c r="BQ21" s="848" t="s">
        <v>128</v>
      </c>
      <c r="BR21" s="848"/>
      <c r="BS21" s="848"/>
      <c r="BT21" s="882" t="s">
        <v>101</v>
      </c>
      <c r="BU21" s="883"/>
      <c r="BV21" s="884"/>
      <c r="BW21" s="886" t="s">
        <v>82</v>
      </c>
      <c r="BX21" s="886"/>
      <c r="BY21" s="886"/>
      <c r="BZ21" s="848" t="s">
        <v>129</v>
      </c>
      <c r="CA21" s="848"/>
      <c r="CB21" s="848"/>
      <c r="CC21" s="823">
        <f t="shared" ref="CC21" si="77">COUNTA(BN21:CB21)</f>
        <v>5</v>
      </c>
      <c r="CD21" s="824">
        <v>88.4</v>
      </c>
      <c r="CF21" s="845">
        <v>45784</v>
      </c>
      <c r="CG21" s="849" t="s">
        <v>79</v>
      </c>
      <c r="CH21" s="849"/>
      <c r="CI21" s="849"/>
      <c r="CJ21" s="886" t="s">
        <v>80</v>
      </c>
      <c r="CK21" s="886"/>
      <c r="CL21" s="886"/>
      <c r="CM21" s="886" t="s">
        <v>81</v>
      </c>
      <c r="CN21" s="886"/>
      <c r="CO21" s="886"/>
      <c r="CP21" s="886" t="s">
        <v>82</v>
      </c>
      <c r="CQ21" s="886"/>
      <c r="CR21" s="886"/>
      <c r="CS21" s="844"/>
      <c r="CT21" s="844"/>
      <c r="CU21" s="844"/>
      <c r="CV21" s="823">
        <f t="shared" ref="CV21" si="78">COUNTA(CG21:CU21)</f>
        <v>4</v>
      </c>
      <c r="CW21" s="824">
        <v>85.5</v>
      </c>
      <c r="CX21" s="118"/>
      <c r="CY21" s="840">
        <v>45815</v>
      </c>
      <c r="CZ21" s="859"/>
      <c r="DA21" s="859"/>
      <c r="DB21" s="859"/>
      <c r="DC21" s="859"/>
      <c r="DD21" s="859"/>
      <c r="DE21" s="859"/>
      <c r="DF21" s="844"/>
      <c r="DG21" s="844"/>
      <c r="DH21" s="844"/>
      <c r="DI21" s="844"/>
      <c r="DJ21" s="844"/>
      <c r="DK21" s="844"/>
      <c r="DL21" s="844"/>
      <c r="DM21" s="844"/>
      <c r="DN21" s="844"/>
      <c r="DO21" s="823">
        <f t="shared" ref="DO21" si="79">COUNTA(CZ21:DN21)</f>
        <v>0</v>
      </c>
      <c r="DP21" s="824">
        <f>DP18</f>
        <v>83.3</v>
      </c>
      <c r="DR21" s="870">
        <v>45845</v>
      </c>
      <c r="DS21" s="849" t="s">
        <v>72</v>
      </c>
      <c r="DT21" s="849"/>
      <c r="DU21" s="849"/>
      <c r="DV21" s="848" t="s">
        <v>104</v>
      </c>
      <c r="DW21" s="848"/>
      <c r="DX21" s="848"/>
      <c r="DY21" s="882" t="s">
        <v>101</v>
      </c>
      <c r="DZ21" s="883"/>
      <c r="EA21" s="884"/>
      <c r="EB21" s="882" t="s">
        <v>14</v>
      </c>
      <c r="EC21" s="883"/>
      <c r="ED21" s="884"/>
      <c r="EE21" s="844"/>
      <c r="EF21" s="844"/>
      <c r="EG21" s="844"/>
      <c r="EH21" s="823">
        <f t="shared" ref="EH21" si="80">COUNTA(DS21:EG21)</f>
        <v>4</v>
      </c>
      <c r="EI21" s="824">
        <v>82</v>
      </c>
      <c r="EK21" s="873">
        <v>45876</v>
      </c>
      <c r="EL21" s="859"/>
      <c r="EM21" s="859"/>
      <c r="EN21" s="859"/>
      <c r="EO21" s="859"/>
      <c r="EP21" s="859"/>
      <c r="EQ21" s="859"/>
      <c r="ER21" s="844"/>
      <c r="ES21" s="844"/>
      <c r="ET21" s="844"/>
      <c r="EU21" s="844"/>
      <c r="EV21" s="844"/>
      <c r="EW21" s="844"/>
      <c r="EX21" s="844"/>
      <c r="EY21" s="844"/>
      <c r="EZ21" s="844"/>
      <c r="FA21" s="823">
        <f t="shared" ref="FA21" si="81">COUNTA(EL21:EZ21)</f>
        <v>0</v>
      </c>
      <c r="FB21" s="824">
        <f>FB18</f>
        <v>79</v>
      </c>
      <c r="FD21" s="864">
        <v>45907</v>
      </c>
      <c r="FE21" s="849" t="s">
        <v>89</v>
      </c>
      <c r="FF21" s="849"/>
      <c r="FG21" s="849"/>
      <c r="FH21" s="890" t="s">
        <v>130</v>
      </c>
      <c r="FI21" s="890"/>
      <c r="FJ21" s="890"/>
      <c r="FK21" s="849" t="s">
        <v>113</v>
      </c>
      <c r="FL21" s="849"/>
      <c r="FM21" s="849"/>
      <c r="FN21" s="882" t="s">
        <v>85</v>
      </c>
      <c r="FO21" s="883"/>
      <c r="FP21" s="884"/>
      <c r="FQ21" s="848" t="s">
        <v>103</v>
      </c>
      <c r="FR21" s="848"/>
      <c r="FS21" s="848"/>
      <c r="FT21" s="823">
        <f t="shared" ref="FT21" si="82">COUNTA(FE21:FS21)</f>
        <v>5</v>
      </c>
      <c r="FU21" s="824">
        <v>78.900000000000006</v>
      </c>
      <c r="FW21" s="856">
        <v>45937</v>
      </c>
      <c r="FX21" s="890" t="s">
        <v>84</v>
      </c>
      <c r="FY21" s="890"/>
      <c r="FZ21" s="890"/>
      <c r="GA21" s="882" t="s">
        <v>85</v>
      </c>
      <c r="GB21" s="883"/>
      <c r="GC21" s="884"/>
      <c r="GD21" s="849" t="s">
        <v>72</v>
      </c>
      <c r="GE21" s="849"/>
      <c r="GF21" s="849"/>
      <c r="GG21" s="879" t="s">
        <v>78</v>
      </c>
      <c r="GH21" s="880"/>
      <c r="GI21" s="881"/>
      <c r="GJ21" s="882" t="s">
        <v>101</v>
      </c>
      <c r="GK21" s="883"/>
      <c r="GL21" s="884"/>
      <c r="GM21" s="844"/>
      <c r="GN21" s="844"/>
      <c r="GO21" s="844"/>
      <c r="GP21" s="823">
        <f>COUNTA(FX21:GO21)</f>
        <v>5</v>
      </c>
      <c r="GQ21" s="824">
        <v>79.3</v>
      </c>
      <c r="GR21" s="118"/>
      <c r="GS21" s="876">
        <v>45968</v>
      </c>
      <c r="GT21" s="844"/>
      <c r="GU21" s="844"/>
      <c r="GV21" s="844"/>
      <c r="GW21" s="859"/>
      <c r="GX21" s="859"/>
      <c r="GY21" s="859"/>
      <c r="GZ21" s="834"/>
      <c r="HA21" s="835"/>
      <c r="HB21" s="836"/>
      <c r="HC21" s="867"/>
      <c r="HD21" s="868"/>
      <c r="HE21" s="869"/>
      <c r="HF21" s="834"/>
      <c r="HG21" s="835"/>
      <c r="HH21" s="836"/>
      <c r="HI21" s="834"/>
      <c r="HJ21" s="835"/>
      <c r="HK21" s="836"/>
      <c r="HL21" s="823">
        <f>COUNTA(GT21:HK21)</f>
        <v>0</v>
      </c>
      <c r="HM21" s="824">
        <f>HM18</f>
        <v>79</v>
      </c>
      <c r="HN21" s="118"/>
      <c r="HO21" s="864">
        <v>45998</v>
      </c>
      <c r="HP21" s="849" t="s">
        <v>89</v>
      </c>
      <c r="HQ21" s="849"/>
      <c r="HR21" s="849"/>
      <c r="HS21" s="848" t="s">
        <v>103</v>
      </c>
      <c r="HT21" s="848"/>
      <c r="HU21" s="848"/>
      <c r="HV21" s="848" t="s">
        <v>115</v>
      </c>
      <c r="HW21" s="848"/>
      <c r="HX21" s="848"/>
      <c r="HY21" s="890" t="s">
        <v>131</v>
      </c>
      <c r="HZ21" s="890"/>
      <c r="IA21" s="890"/>
      <c r="IB21" s="887" t="s">
        <v>81</v>
      </c>
      <c r="IC21" s="888"/>
      <c r="ID21" s="889"/>
      <c r="IE21" s="834"/>
      <c r="IF21" s="835"/>
      <c r="IG21" s="836"/>
      <c r="IH21" s="823">
        <f>COUNTA(HP21:IG21)</f>
        <v>5</v>
      </c>
      <c r="II21" s="824">
        <v>77.599999999999994</v>
      </c>
      <c r="IK21" s="845">
        <v>46029</v>
      </c>
      <c r="IL21" s="848" t="s">
        <v>89</v>
      </c>
      <c r="IM21" s="848"/>
      <c r="IN21" s="848"/>
      <c r="IO21" s="848" t="s">
        <v>115</v>
      </c>
      <c r="IP21" s="848"/>
      <c r="IQ21" s="848"/>
      <c r="IR21" s="886" t="s">
        <v>112</v>
      </c>
      <c r="IS21" s="886"/>
      <c r="IT21" s="886"/>
      <c r="IU21" s="849" t="s">
        <v>114</v>
      </c>
      <c r="IV21" s="849"/>
      <c r="IW21" s="849"/>
      <c r="IX21" s="861"/>
      <c r="IY21" s="862"/>
      <c r="IZ21" s="863"/>
      <c r="JA21" s="834"/>
      <c r="JB21" s="835"/>
      <c r="JC21" s="836"/>
      <c r="JD21" s="232" t="s">
        <v>425</v>
      </c>
      <c r="JE21" s="823">
        <f>COUNTA(IL21:JC21)</f>
        <v>4</v>
      </c>
      <c r="JF21" s="824">
        <v>77.099999999999994</v>
      </c>
      <c r="JH21" s="61">
        <v>19</v>
      </c>
      <c r="JI21" s="62" t="s">
        <v>54</v>
      </c>
      <c r="JJ21" s="58">
        <v>19</v>
      </c>
      <c r="JK21" s="59" t="str" cm="1">
        <f t="array" ref="JK21">IF(INDEX(AB:AB, (ROW()-ROW($JK$3))*3 + 3) &lt;&gt; "", "✔", "")</f>
        <v/>
      </c>
      <c r="JL21" s="58">
        <v>19</v>
      </c>
      <c r="JM21" s="59" t="str" cm="1">
        <f t="array" ref="JM21">IF(INDEX(AU:AU, (ROW()-ROW($JM$3))*3 + 3) &lt;&gt; "", "✔", "")</f>
        <v>✔</v>
      </c>
      <c r="JN21" s="124">
        <v>19</v>
      </c>
      <c r="JO21" s="82" t="str" cm="1">
        <f t="array" ref="JO21">IF(INDEX(BN:BN, (ROW()-ROW($BN$3))*3 + 3) &lt;&gt; "", "✔", "")</f>
        <v>✔</v>
      </c>
      <c r="JP21" s="124">
        <v>19</v>
      </c>
      <c r="JQ21" s="82" t="str" cm="1">
        <f t="array" ref="JQ21">IF(INDEX(CG:CG, (ROW()-ROW($CG$3))*3 + 3) &lt;&gt; "", "✔", "")</f>
        <v>✔</v>
      </c>
      <c r="JR21" s="124">
        <v>19</v>
      </c>
      <c r="JS21" s="82" t="str" cm="1">
        <f t="array" ref="JS21">IF(INDEX(CZ:CZ, (ROW()-ROW($CZ$3))*3 + 3) &lt;&gt; "", "✔", "")</f>
        <v/>
      </c>
      <c r="JT21" s="124">
        <v>19</v>
      </c>
      <c r="JU21" s="82" t="str" cm="1">
        <f t="array" ref="JU21">IF(INDEX(DS:DS, (ROW()-ROW($DS$3))*3 + 3) &lt;&gt; "", "✔", "")</f>
        <v/>
      </c>
      <c r="JV21" s="124">
        <v>19</v>
      </c>
      <c r="JW21" s="82" t="str" cm="1">
        <f t="array" ref="JW21">IF(INDEX(EL:EL, (ROW()-ROW($EL$3))*3 + 3) &lt;&gt; "", "✔", "")</f>
        <v/>
      </c>
      <c r="JX21" s="124">
        <v>19</v>
      </c>
      <c r="JY21" s="82" t="str" cm="1">
        <f t="array" ref="JY21">IF(INDEX(FE:FE, (ROW()-ROW($FE$3))*3 + 3) &lt;&gt; "", "✔", "")</f>
        <v>✔</v>
      </c>
      <c r="JZ21" s="124">
        <v>19</v>
      </c>
      <c r="KA21" s="82" t="str" cm="1">
        <f t="array" ref="KA21">IF(INDEX(FX:FX, (ROW()-ROW($FX$3))*3 + 3) &lt;&gt; "", "✔", "")</f>
        <v>✔</v>
      </c>
      <c r="KB21" s="124">
        <v>19</v>
      </c>
      <c r="KC21" s="82" t="str" cm="1">
        <f t="array" ref="KC21">IF(INDEX(GT:GT, (ROW()-ROW($GT$3))*3 + 3) &lt;&gt; "", "✔", "")</f>
        <v>✔</v>
      </c>
      <c r="KD21" s="124">
        <v>19</v>
      </c>
      <c r="KE21" s="82" t="str" cm="1">
        <f t="array" ref="KE21">IF(INDEX(HP:HP, (ROW()-ROW($HP$3))*3 + 3) &lt;&gt; "", "✔", "")</f>
        <v/>
      </c>
      <c r="KG21" s="231">
        <v>90</v>
      </c>
      <c r="KH21" s="230">
        <f t="shared" si="0"/>
        <v>40.823279999999997</v>
      </c>
    </row>
    <row r="22" spans="1:294" ht="19.5" thickBot="1">
      <c r="A22" s="924"/>
      <c r="B22" s="921"/>
      <c r="C22" s="97">
        <v>4</v>
      </c>
      <c r="D22" s="98" t="s">
        <v>82</v>
      </c>
      <c r="E22" s="100">
        <v>3</v>
      </c>
      <c r="F22" s="101">
        <v>10</v>
      </c>
      <c r="H22" s="936"/>
      <c r="I22" s="231" t="s">
        <v>59</v>
      </c>
      <c r="J22" s="231" t="s">
        <v>73</v>
      </c>
      <c r="K22" s="102" t="s">
        <v>4</v>
      </c>
      <c r="L22" s="231" t="s">
        <v>59</v>
      </c>
      <c r="M22" s="231" t="s">
        <v>73</v>
      </c>
      <c r="N22" s="102" t="s">
        <v>4</v>
      </c>
      <c r="O22" s="231" t="s">
        <v>59</v>
      </c>
      <c r="P22" s="231" t="s">
        <v>73</v>
      </c>
      <c r="Q22" s="102" t="s">
        <v>4</v>
      </c>
      <c r="R22" s="231" t="s">
        <v>59</v>
      </c>
      <c r="S22" s="231" t="s">
        <v>73</v>
      </c>
      <c r="T22" s="102" t="s">
        <v>4</v>
      </c>
      <c r="U22" s="231" t="s">
        <v>59</v>
      </c>
      <c r="V22" s="231" t="s">
        <v>73</v>
      </c>
      <c r="W22" s="102" t="s">
        <v>4</v>
      </c>
      <c r="X22" s="823"/>
      <c r="Y22" s="940"/>
      <c r="AA22" s="877"/>
      <c r="AB22" s="231" t="s">
        <v>59</v>
      </c>
      <c r="AC22" s="231" t="s">
        <v>73</v>
      </c>
      <c r="AD22" s="102" t="s">
        <v>4</v>
      </c>
      <c r="AE22" s="231" t="s">
        <v>59</v>
      </c>
      <c r="AF22" s="231" t="s">
        <v>73</v>
      </c>
      <c r="AG22" s="102" t="s">
        <v>4</v>
      </c>
      <c r="AH22" s="231" t="s">
        <v>59</v>
      </c>
      <c r="AI22" s="231" t="s">
        <v>73</v>
      </c>
      <c r="AJ22" s="102" t="s">
        <v>4</v>
      </c>
      <c r="AK22" s="231" t="s">
        <v>59</v>
      </c>
      <c r="AL22" s="231" t="s">
        <v>73</v>
      </c>
      <c r="AM22" s="102" t="s">
        <v>4</v>
      </c>
      <c r="AN22" s="107" t="s">
        <v>59</v>
      </c>
      <c r="AO22" s="107" t="s">
        <v>73</v>
      </c>
      <c r="AP22" s="108" t="s">
        <v>4</v>
      </c>
      <c r="AQ22" s="823"/>
      <c r="AR22" s="825"/>
      <c r="AT22" s="877"/>
      <c r="AU22" s="231" t="s">
        <v>59</v>
      </c>
      <c r="AV22" s="231" t="s">
        <v>73</v>
      </c>
      <c r="AW22" s="102" t="s">
        <v>4</v>
      </c>
      <c r="AX22" s="231" t="s">
        <v>59</v>
      </c>
      <c r="AY22" s="231" t="s">
        <v>73</v>
      </c>
      <c r="AZ22" s="102" t="s">
        <v>4</v>
      </c>
      <c r="BA22" s="231" t="s">
        <v>59</v>
      </c>
      <c r="BB22" s="231" t="s">
        <v>73</v>
      </c>
      <c r="BC22" s="102" t="s">
        <v>4</v>
      </c>
      <c r="BD22" s="231" t="s">
        <v>59</v>
      </c>
      <c r="BE22" s="231" t="s">
        <v>73</v>
      </c>
      <c r="BF22" s="102" t="s">
        <v>4</v>
      </c>
      <c r="BG22" s="107" t="s">
        <v>59</v>
      </c>
      <c r="BH22" s="107" t="s">
        <v>73</v>
      </c>
      <c r="BI22" s="108" t="s">
        <v>4</v>
      </c>
      <c r="BJ22" s="823"/>
      <c r="BK22" s="825"/>
      <c r="BL22" s="118"/>
      <c r="BM22" s="871"/>
      <c r="BN22" s="231" t="s">
        <v>59</v>
      </c>
      <c r="BO22" s="231" t="s">
        <v>73</v>
      </c>
      <c r="BP22" s="102" t="s">
        <v>4</v>
      </c>
      <c r="BQ22" s="231" t="s">
        <v>59</v>
      </c>
      <c r="BR22" s="231" t="s">
        <v>73</v>
      </c>
      <c r="BS22" s="102" t="s">
        <v>4</v>
      </c>
      <c r="BT22" s="231" t="s">
        <v>59</v>
      </c>
      <c r="BU22" s="231" t="s">
        <v>73</v>
      </c>
      <c r="BV22" s="102" t="s">
        <v>4</v>
      </c>
      <c r="BW22" s="231" t="s">
        <v>59</v>
      </c>
      <c r="BX22" s="231" t="s">
        <v>73</v>
      </c>
      <c r="BY22" s="102" t="s">
        <v>4</v>
      </c>
      <c r="BZ22" s="231" t="s">
        <v>59</v>
      </c>
      <c r="CA22" s="231" t="s">
        <v>73</v>
      </c>
      <c r="CB22" s="102" t="s">
        <v>4</v>
      </c>
      <c r="CC22" s="823"/>
      <c r="CD22" s="825"/>
      <c r="CF22" s="846"/>
      <c r="CG22" s="231" t="s">
        <v>59</v>
      </c>
      <c r="CH22" s="231" t="s">
        <v>73</v>
      </c>
      <c r="CI22" s="102" t="s">
        <v>4</v>
      </c>
      <c r="CJ22" s="231" t="s">
        <v>59</v>
      </c>
      <c r="CK22" s="231" t="s">
        <v>73</v>
      </c>
      <c r="CL22" s="102" t="s">
        <v>4</v>
      </c>
      <c r="CM22" s="231" t="s">
        <v>59</v>
      </c>
      <c r="CN22" s="231" t="s">
        <v>73</v>
      </c>
      <c r="CO22" s="102" t="s">
        <v>4</v>
      </c>
      <c r="CP22" s="231" t="s">
        <v>59</v>
      </c>
      <c r="CQ22" s="231" t="s">
        <v>73</v>
      </c>
      <c r="CR22" s="102" t="s">
        <v>4</v>
      </c>
      <c r="CS22" s="107" t="s">
        <v>59</v>
      </c>
      <c r="CT22" s="107" t="s">
        <v>73</v>
      </c>
      <c r="CU22" s="108" t="s">
        <v>4</v>
      </c>
      <c r="CV22" s="823"/>
      <c r="CW22" s="825"/>
      <c r="CX22" s="118"/>
      <c r="CY22" s="841"/>
      <c r="CZ22" s="107" t="s">
        <v>59</v>
      </c>
      <c r="DA22" s="107" t="s">
        <v>73</v>
      </c>
      <c r="DB22" s="108" t="s">
        <v>4</v>
      </c>
      <c r="DC22" s="107" t="s">
        <v>59</v>
      </c>
      <c r="DD22" s="107" t="s">
        <v>73</v>
      </c>
      <c r="DE22" s="108" t="s">
        <v>4</v>
      </c>
      <c r="DF22" s="107" t="s">
        <v>59</v>
      </c>
      <c r="DG22" s="107" t="s">
        <v>73</v>
      </c>
      <c r="DH22" s="108" t="s">
        <v>4</v>
      </c>
      <c r="DI22" s="107" t="s">
        <v>59</v>
      </c>
      <c r="DJ22" s="107" t="s">
        <v>73</v>
      </c>
      <c r="DK22" s="108" t="s">
        <v>4</v>
      </c>
      <c r="DL22" s="107" t="s">
        <v>59</v>
      </c>
      <c r="DM22" s="107" t="s">
        <v>73</v>
      </c>
      <c r="DN22" s="108" t="s">
        <v>4</v>
      </c>
      <c r="DO22" s="823"/>
      <c r="DP22" s="825"/>
      <c r="DR22" s="871"/>
      <c r="DS22" s="231" t="s">
        <v>59</v>
      </c>
      <c r="DT22" s="231" t="s">
        <v>73</v>
      </c>
      <c r="DU22" s="102" t="s">
        <v>4</v>
      </c>
      <c r="DV22" s="231" t="s">
        <v>59</v>
      </c>
      <c r="DW22" s="231" t="s">
        <v>73</v>
      </c>
      <c r="DX22" s="102" t="s">
        <v>4</v>
      </c>
      <c r="DY22" s="231" t="s">
        <v>59</v>
      </c>
      <c r="DZ22" s="231" t="s">
        <v>73</v>
      </c>
      <c r="EA22" s="102" t="s">
        <v>4</v>
      </c>
      <c r="EB22" s="231" t="s">
        <v>59</v>
      </c>
      <c r="EC22" s="231" t="s">
        <v>73</v>
      </c>
      <c r="ED22" s="102" t="s">
        <v>4</v>
      </c>
      <c r="EE22" s="107" t="s">
        <v>59</v>
      </c>
      <c r="EF22" s="107" t="s">
        <v>73</v>
      </c>
      <c r="EG22" s="108" t="s">
        <v>4</v>
      </c>
      <c r="EH22" s="823"/>
      <c r="EI22" s="825"/>
      <c r="EK22" s="874"/>
      <c r="EL22" s="107" t="s">
        <v>59</v>
      </c>
      <c r="EM22" s="107" t="s">
        <v>73</v>
      </c>
      <c r="EN22" s="108" t="s">
        <v>4</v>
      </c>
      <c r="EO22" s="107" t="s">
        <v>59</v>
      </c>
      <c r="EP22" s="107" t="s">
        <v>73</v>
      </c>
      <c r="EQ22" s="108" t="s">
        <v>4</v>
      </c>
      <c r="ER22" s="107" t="s">
        <v>59</v>
      </c>
      <c r="ES22" s="107" t="s">
        <v>73</v>
      </c>
      <c r="ET22" s="108" t="s">
        <v>4</v>
      </c>
      <c r="EU22" s="107" t="s">
        <v>59</v>
      </c>
      <c r="EV22" s="107" t="s">
        <v>73</v>
      </c>
      <c r="EW22" s="108" t="s">
        <v>4</v>
      </c>
      <c r="EX22" s="107" t="s">
        <v>59</v>
      </c>
      <c r="EY22" s="107" t="s">
        <v>73</v>
      </c>
      <c r="EZ22" s="108" t="s">
        <v>4</v>
      </c>
      <c r="FA22" s="823"/>
      <c r="FB22" s="825"/>
      <c r="FD22" s="865"/>
      <c r="FE22" s="231" t="s">
        <v>59</v>
      </c>
      <c r="FF22" s="231" t="s">
        <v>73</v>
      </c>
      <c r="FG22" s="102" t="s">
        <v>4</v>
      </c>
      <c r="FH22" s="231" t="s">
        <v>59</v>
      </c>
      <c r="FI22" s="231" t="s">
        <v>73</v>
      </c>
      <c r="FJ22" s="102" t="s">
        <v>4</v>
      </c>
      <c r="FK22" s="231" t="s">
        <v>59</v>
      </c>
      <c r="FL22" s="231" t="s">
        <v>73</v>
      </c>
      <c r="FM22" s="102" t="s">
        <v>4</v>
      </c>
      <c r="FN22" s="231" t="s">
        <v>59</v>
      </c>
      <c r="FO22" s="231" t="s">
        <v>73</v>
      </c>
      <c r="FP22" s="102" t="s">
        <v>4</v>
      </c>
      <c r="FQ22" s="231" t="s">
        <v>59</v>
      </c>
      <c r="FR22" s="231" t="s">
        <v>73</v>
      </c>
      <c r="FS22" s="102" t="s">
        <v>4</v>
      </c>
      <c r="FT22" s="823"/>
      <c r="FU22" s="825"/>
      <c r="FW22" s="857"/>
      <c r="FX22" s="231" t="s">
        <v>59</v>
      </c>
      <c r="FY22" s="231" t="s">
        <v>73</v>
      </c>
      <c r="FZ22" s="102" t="s">
        <v>4</v>
      </c>
      <c r="GA22" s="231" t="s">
        <v>59</v>
      </c>
      <c r="GB22" s="231" t="s">
        <v>73</v>
      </c>
      <c r="GC22" s="102" t="s">
        <v>4</v>
      </c>
      <c r="GD22" s="231" t="s">
        <v>59</v>
      </c>
      <c r="GE22" s="231" t="s">
        <v>73</v>
      </c>
      <c r="GF22" s="102" t="s">
        <v>4</v>
      </c>
      <c r="GG22" s="231" t="s">
        <v>59</v>
      </c>
      <c r="GH22" s="231" t="s">
        <v>73</v>
      </c>
      <c r="GI22" s="102" t="s">
        <v>4</v>
      </c>
      <c r="GJ22" s="231" t="s">
        <v>59</v>
      </c>
      <c r="GK22" s="231" t="s">
        <v>73</v>
      </c>
      <c r="GL22" s="102" t="s">
        <v>4</v>
      </c>
      <c r="GM22" s="107" t="s">
        <v>59</v>
      </c>
      <c r="GN22" s="107" t="s">
        <v>73</v>
      </c>
      <c r="GO22" s="108" t="s">
        <v>4</v>
      </c>
      <c r="GP22" s="823"/>
      <c r="GQ22" s="825"/>
      <c r="GR22" s="118"/>
      <c r="GS22" s="877"/>
      <c r="GT22" s="107" t="s">
        <v>59</v>
      </c>
      <c r="GU22" s="107" t="s">
        <v>73</v>
      </c>
      <c r="GV22" s="108" t="s">
        <v>4</v>
      </c>
      <c r="GW22" s="107" t="s">
        <v>59</v>
      </c>
      <c r="GX22" s="107" t="s">
        <v>73</v>
      </c>
      <c r="GY22" s="108" t="s">
        <v>4</v>
      </c>
      <c r="GZ22" s="107" t="s">
        <v>59</v>
      </c>
      <c r="HA22" s="107" t="s">
        <v>73</v>
      </c>
      <c r="HB22" s="108" t="s">
        <v>4</v>
      </c>
      <c r="HC22" s="107" t="s">
        <v>59</v>
      </c>
      <c r="HD22" s="107" t="s">
        <v>73</v>
      </c>
      <c r="HE22" s="108" t="s">
        <v>4</v>
      </c>
      <c r="HF22" s="107" t="s">
        <v>59</v>
      </c>
      <c r="HG22" s="107" t="s">
        <v>73</v>
      </c>
      <c r="HH22" s="108" t="s">
        <v>4</v>
      </c>
      <c r="HI22" s="107" t="s">
        <v>59</v>
      </c>
      <c r="HJ22" s="107" t="s">
        <v>73</v>
      </c>
      <c r="HK22" s="108" t="s">
        <v>4</v>
      </c>
      <c r="HL22" s="823"/>
      <c r="HM22" s="825"/>
      <c r="HN22" s="118"/>
      <c r="HO22" s="865"/>
      <c r="HP22" s="231" t="s">
        <v>59</v>
      </c>
      <c r="HQ22" s="231" t="s">
        <v>73</v>
      </c>
      <c r="HR22" s="102" t="s">
        <v>4</v>
      </c>
      <c r="HS22" s="231" t="s">
        <v>59</v>
      </c>
      <c r="HT22" s="231" t="s">
        <v>73</v>
      </c>
      <c r="HU22" s="102" t="s">
        <v>4</v>
      </c>
      <c r="HV22" s="231" t="s">
        <v>59</v>
      </c>
      <c r="HW22" s="231" t="s">
        <v>73</v>
      </c>
      <c r="HX22" s="102" t="s">
        <v>4</v>
      </c>
      <c r="HY22" s="231" t="s">
        <v>59</v>
      </c>
      <c r="HZ22" s="231" t="s">
        <v>73</v>
      </c>
      <c r="IA22" s="102" t="s">
        <v>4</v>
      </c>
      <c r="IB22" s="231" t="s">
        <v>59</v>
      </c>
      <c r="IC22" s="231" t="s">
        <v>73</v>
      </c>
      <c r="ID22" s="102" t="s">
        <v>4</v>
      </c>
      <c r="IE22" s="107" t="s">
        <v>59</v>
      </c>
      <c r="IF22" s="107" t="s">
        <v>73</v>
      </c>
      <c r="IG22" s="108" t="s">
        <v>4</v>
      </c>
      <c r="IH22" s="823"/>
      <c r="II22" s="825"/>
      <c r="IK22" s="846"/>
      <c r="IL22" s="231" t="s">
        <v>59</v>
      </c>
      <c r="IM22" s="231" t="s">
        <v>73</v>
      </c>
      <c r="IN22" s="102" t="s">
        <v>4</v>
      </c>
      <c r="IO22" s="231" t="s">
        <v>59</v>
      </c>
      <c r="IP22" s="231" t="s">
        <v>73</v>
      </c>
      <c r="IQ22" s="102" t="s">
        <v>4</v>
      </c>
      <c r="IR22" s="231" t="s">
        <v>59</v>
      </c>
      <c r="IS22" s="231" t="s">
        <v>73</v>
      </c>
      <c r="IT22" s="102" t="s">
        <v>4</v>
      </c>
      <c r="IU22" s="231" t="s">
        <v>59</v>
      </c>
      <c r="IV22" s="231" t="s">
        <v>73</v>
      </c>
      <c r="IW22" s="102" t="s">
        <v>4</v>
      </c>
      <c r="IX22" s="107" t="s">
        <v>59</v>
      </c>
      <c r="IY22" s="107" t="s">
        <v>73</v>
      </c>
      <c r="IZ22" s="108" t="s">
        <v>4</v>
      </c>
      <c r="JA22" s="107" t="s">
        <v>59</v>
      </c>
      <c r="JB22" s="107" t="s">
        <v>73</v>
      </c>
      <c r="JC22" s="108" t="s">
        <v>4</v>
      </c>
      <c r="JD22" s="948"/>
      <c r="JE22" s="823"/>
      <c r="JF22" s="825"/>
      <c r="JH22" s="61">
        <v>20</v>
      </c>
      <c r="JI22" s="62" t="s">
        <v>54</v>
      </c>
      <c r="JJ22" s="61">
        <v>20</v>
      </c>
      <c r="JK22" s="62" t="str" cm="1">
        <f t="array" ref="JK22">IF(INDEX(AB:AB, (ROW()-ROW($JK$3))*3 + 3) &lt;&gt; "", "✔", "")</f>
        <v/>
      </c>
      <c r="JL22" s="61">
        <v>20</v>
      </c>
      <c r="JM22" s="62" t="str" cm="1">
        <f t="array" ref="JM22">IF(INDEX(AU:AU, (ROW()-ROW($JM$3))*3 + 3) &lt;&gt; "", "✔", "")</f>
        <v/>
      </c>
      <c r="JN22" s="61">
        <v>20</v>
      </c>
      <c r="JO22" s="62" t="str" cm="1">
        <f t="array" ref="JO22">IF(INDEX(BN:BN, (ROW()-ROW($BN$3))*3 + 3) &lt;&gt; "", "✔", "")</f>
        <v/>
      </c>
      <c r="JP22" s="61">
        <v>20</v>
      </c>
      <c r="JQ22" s="62" t="str" cm="1">
        <f t="array" ref="JQ22">IF(INDEX(CG:CG, (ROW()-ROW($CG$3))*3 + 3) &lt;&gt; "", "✔", "")</f>
        <v>✔</v>
      </c>
      <c r="JR22" s="61">
        <v>20</v>
      </c>
      <c r="JS22" s="62" t="str" cm="1">
        <f t="array" ref="JS22">IF(INDEX(CZ:CZ, (ROW()-ROW($CZ$3))*3 + 3) &lt;&gt; "", "✔", "")</f>
        <v>✔</v>
      </c>
      <c r="JT22" s="61">
        <v>20</v>
      </c>
      <c r="JU22" s="62" t="str" cm="1">
        <f t="array" ref="JU22">IF(INDEX(DS:DS, (ROW()-ROW($DS$3))*3 + 3) &lt;&gt; "", "✔", "")</f>
        <v/>
      </c>
      <c r="JV22" s="61">
        <v>20</v>
      </c>
      <c r="JW22" s="62" t="str" cm="1">
        <f t="array" ref="JW22">IF(INDEX(EL:EL, (ROW()-ROW($EL$3))*3 + 3) &lt;&gt; "", "✔", "")</f>
        <v>✔</v>
      </c>
      <c r="JX22" s="61">
        <v>20</v>
      </c>
      <c r="JY22" s="62" t="str" cm="1">
        <f t="array" ref="JY22">IF(INDEX(FE:FE, (ROW()-ROW($FE$3))*3 + 3) &lt;&gt; "", "✔", "")</f>
        <v>✔</v>
      </c>
      <c r="JZ22" s="61">
        <v>20</v>
      </c>
      <c r="KA22" s="62" t="str" cm="1">
        <f t="array" ref="KA22">IF(INDEX(FX:FX, (ROW()-ROW($FX$3))*3 + 3) &lt;&gt; "", "✔", "")</f>
        <v>✔</v>
      </c>
      <c r="KB22" s="61">
        <v>20</v>
      </c>
      <c r="KC22" s="62" t="str" cm="1">
        <f t="array" ref="KC22">IF(INDEX(GT:GT, (ROW()-ROW($GT$3))*3 + 3) &lt;&gt; "", "✔", "")</f>
        <v/>
      </c>
      <c r="KD22" s="61">
        <v>20</v>
      </c>
      <c r="KE22" s="62" t="str" cm="1">
        <f t="array" ref="KE22">IF(INDEX(HP:HP, (ROW()-ROW($HP$3))*3 + 3) &lt;&gt; "", "✔", "")</f>
        <v/>
      </c>
      <c r="KG22" s="231">
        <v>95</v>
      </c>
      <c r="KH22" s="230">
        <f t="shared" si="0"/>
        <v>43.091239999999999</v>
      </c>
    </row>
    <row r="23" spans="1:294" ht="15">
      <c r="H23" s="936"/>
      <c r="I23" s="229">
        <v>4</v>
      </c>
      <c r="J23" s="229">
        <v>8</v>
      </c>
      <c r="K23" s="229">
        <v>12.5</v>
      </c>
      <c r="L23" s="229">
        <v>4</v>
      </c>
      <c r="M23" s="229">
        <v>8</v>
      </c>
      <c r="N23" s="229">
        <v>54.4</v>
      </c>
      <c r="O23" s="229">
        <v>4</v>
      </c>
      <c r="P23" s="229">
        <v>8</v>
      </c>
      <c r="Q23" s="229">
        <v>6.8</v>
      </c>
      <c r="R23" s="229">
        <v>4</v>
      </c>
      <c r="S23" s="229">
        <v>8</v>
      </c>
      <c r="T23" s="229">
        <v>11.3</v>
      </c>
      <c r="U23" s="229">
        <v>2</v>
      </c>
      <c r="V23" s="229">
        <v>4</v>
      </c>
      <c r="W23" s="229">
        <v>12.5</v>
      </c>
      <c r="X23" s="229">
        <f>(I23*J23*K23)+(L23*M23*N23)+(O23*P23*Q23)+(R23*S23*T23)+(U23*V23*W23)</f>
        <v>2820</v>
      </c>
      <c r="Y23" s="941"/>
      <c r="AA23" s="878"/>
      <c r="AB23" s="229">
        <v>4</v>
      </c>
      <c r="AC23" s="229">
        <v>8</v>
      </c>
      <c r="AD23" s="229">
        <v>59</v>
      </c>
      <c r="AE23" s="229">
        <v>4</v>
      </c>
      <c r="AF23" s="229">
        <v>8</v>
      </c>
      <c r="AG23" s="229">
        <f>((15*2)+(17.5*2))/4</f>
        <v>16.25</v>
      </c>
      <c r="AH23" s="229">
        <v>4</v>
      </c>
      <c r="AI23" s="229">
        <v>8</v>
      </c>
      <c r="AJ23" s="229">
        <f>((6.8*1)+(9.1*3))/4</f>
        <v>8.5249999999999986</v>
      </c>
      <c r="AK23" s="229">
        <v>4</v>
      </c>
      <c r="AL23" s="229">
        <v>8</v>
      </c>
      <c r="AM23" s="229">
        <v>27.2</v>
      </c>
      <c r="AN23" s="233"/>
      <c r="AO23" s="233"/>
      <c r="AP23" s="233"/>
      <c r="AQ23" s="229">
        <f>(AB23*AC23*AD23)+(AE23*AF23*AG23)+(AH23*AI23*AJ23)+(AK23*AL23*AM23)+(AN23*AO23*AP23)</f>
        <v>3551.2000000000003</v>
      </c>
      <c r="AR23" s="826"/>
      <c r="AT23" s="878"/>
      <c r="AU23" s="229">
        <v>2</v>
      </c>
      <c r="AV23" s="229">
        <v>5</v>
      </c>
      <c r="AW23" s="229">
        <v>17.5</v>
      </c>
      <c r="AX23" s="229">
        <v>4</v>
      </c>
      <c r="AY23" s="229">
        <v>8</v>
      </c>
      <c r="AZ23" s="229">
        <v>22.5</v>
      </c>
      <c r="BA23" s="229">
        <v>4</v>
      </c>
      <c r="BB23" s="229">
        <v>8</v>
      </c>
      <c r="BC23" s="229">
        <v>7.5</v>
      </c>
      <c r="BD23" s="229">
        <v>4</v>
      </c>
      <c r="BE23" s="229">
        <v>8</v>
      </c>
      <c r="BF23" s="229">
        <v>31.8</v>
      </c>
      <c r="BG23" s="233"/>
      <c r="BH23" s="233"/>
      <c r="BI23" s="233"/>
      <c r="BJ23" s="229">
        <f>(AU23*AV23*AW23)+(AX23*AY23*AZ23)+(BA23*BB23*BC23)+(BD23*BE23*BF23)+(BG23*BH23*BI23)</f>
        <v>2152.6</v>
      </c>
      <c r="BK23" s="826"/>
      <c r="BL23" s="118"/>
      <c r="BM23" s="872"/>
      <c r="BN23" s="229">
        <v>4</v>
      </c>
      <c r="BO23" s="229">
        <v>8</v>
      </c>
      <c r="BP23" s="229">
        <f>110*$FU$3</f>
        <v>8756</v>
      </c>
      <c r="BQ23" s="229">
        <v>4</v>
      </c>
      <c r="BR23" s="229">
        <v>8</v>
      </c>
      <c r="BS23" s="229">
        <v>12.5</v>
      </c>
      <c r="BT23" s="229">
        <v>4</v>
      </c>
      <c r="BU23" s="229">
        <v>8</v>
      </c>
      <c r="BV23" s="126">
        <f>((50*$FU$3*1)+(55*$FU$3*3))/4</f>
        <v>4278.5</v>
      </c>
      <c r="BW23" s="229">
        <v>4</v>
      </c>
      <c r="BX23" s="229">
        <v>8</v>
      </c>
      <c r="BY23" s="229">
        <f>70*$FU$3</f>
        <v>5572</v>
      </c>
      <c r="BZ23" s="229">
        <v>4</v>
      </c>
      <c r="CA23" s="126">
        <f>((10*1)+(8*3))/4</f>
        <v>8.5</v>
      </c>
      <c r="CB23" s="126">
        <f>((35*$FU$3*1)+(40*$FU$3*3))/4</f>
        <v>3084.5</v>
      </c>
      <c r="CC23" s="229">
        <f>(BN23*BO23*BP23)+(BQ23*BR23*BS23)+(BT23*BU23*BV23)+(BW23*BX23*BY23)+(BZ23*CA23*CB23)</f>
        <v>700681</v>
      </c>
      <c r="CD23" s="826"/>
      <c r="CF23" s="847"/>
      <c r="CG23" s="229">
        <v>4</v>
      </c>
      <c r="CH23" s="229">
        <v>10</v>
      </c>
      <c r="CI23" s="229">
        <v>12.5</v>
      </c>
      <c r="CJ23" s="229">
        <v>4</v>
      </c>
      <c r="CK23" s="229">
        <v>10</v>
      </c>
      <c r="CL23" s="229">
        <v>17.5</v>
      </c>
      <c r="CM23" s="229">
        <v>4</v>
      </c>
      <c r="CN23" s="229">
        <v>10</v>
      </c>
      <c r="CO23" s="229">
        <v>5</v>
      </c>
      <c r="CP23" s="229">
        <v>4</v>
      </c>
      <c r="CQ23" s="229">
        <v>10</v>
      </c>
      <c r="CR23" s="229">
        <v>24.9</v>
      </c>
      <c r="CS23" s="233"/>
      <c r="CT23" s="233"/>
      <c r="CU23" s="233"/>
      <c r="CV23" s="229">
        <f>(CG23*CH23*CI23)+(CJ23*CK23*CL23)+(CM23*CN23*CO23)+(CP23*CQ23*CR23)+(CS23*CT23*CU23)</f>
        <v>2396</v>
      </c>
      <c r="CW23" s="826"/>
      <c r="CX23" s="118"/>
      <c r="CY23" s="842"/>
      <c r="CZ23" s="233"/>
      <c r="DA23" s="233"/>
      <c r="DB23" s="233"/>
      <c r="DC23" s="233"/>
      <c r="DD23" s="233"/>
      <c r="DE23" s="233"/>
      <c r="DF23" s="233"/>
      <c r="DG23" s="233"/>
      <c r="DH23" s="233"/>
      <c r="DI23" s="233"/>
      <c r="DJ23" s="233"/>
      <c r="DK23" s="233"/>
      <c r="DL23" s="233"/>
      <c r="DM23" s="233"/>
      <c r="DN23" s="233"/>
      <c r="DO23" s="229">
        <f>(CZ23*DA23*DB23)+(DC23*DD23*DE23)+(DF23*DG23*DH23)+(DI23*DJ23*DK23)+(DL23*DM23*DN23)</f>
        <v>0</v>
      </c>
      <c r="DP23" s="826"/>
      <c r="DR23" s="872"/>
      <c r="DS23" s="229">
        <v>3</v>
      </c>
      <c r="DT23" s="229">
        <v>10</v>
      </c>
      <c r="DU23" s="229">
        <v>50</v>
      </c>
      <c r="DV23" s="229">
        <v>3</v>
      </c>
      <c r="DW23" s="126">
        <v>10</v>
      </c>
      <c r="DX23" s="126">
        <v>12.5</v>
      </c>
      <c r="DY23" s="229">
        <v>3</v>
      </c>
      <c r="DZ23" s="126">
        <v>12</v>
      </c>
      <c r="EA23" s="126">
        <v>29.5</v>
      </c>
      <c r="EB23" s="229">
        <v>3</v>
      </c>
      <c r="EC23" s="126">
        <f>((12*2)+(8*1))/3</f>
        <v>10.666666666666666</v>
      </c>
      <c r="ED23" s="229">
        <f>((12.5*2)+(15*1))/3</f>
        <v>13.333333333333334</v>
      </c>
      <c r="EE23" s="233"/>
      <c r="EF23" s="233"/>
      <c r="EG23" s="233"/>
      <c r="EH23" s="229">
        <f>(DS23*DT23*DU23)+(DV23*DW23*DX23)+(DY23*DZ23*EA23)+(EB23*EC23*ED23)+(EE23*EF23*EG23)</f>
        <v>3363.6666666666665</v>
      </c>
      <c r="EI23" s="826"/>
      <c r="EK23" s="875"/>
      <c r="EL23" s="233"/>
      <c r="EM23" s="233"/>
      <c r="EN23" s="233"/>
      <c r="EO23" s="233"/>
      <c r="EP23" s="233"/>
      <c r="EQ23" s="233"/>
      <c r="ER23" s="233"/>
      <c r="ES23" s="233"/>
      <c r="ET23" s="233"/>
      <c r="EU23" s="233"/>
      <c r="EV23" s="233"/>
      <c r="EW23" s="233"/>
      <c r="EX23" s="233"/>
      <c r="EY23" s="233"/>
      <c r="EZ23" s="233"/>
      <c r="FA23" s="229">
        <f>(EL23*EM23*EN23)+(EO23*EP23*EQ23)+(ER23*ES23*ET23)+(EU23*EV23*EW23)+(EX23*EY23*EZ23)</f>
        <v>0</v>
      </c>
      <c r="FB23" s="826"/>
      <c r="FD23" s="866"/>
      <c r="FE23" s="229">
        <v>3</v>
      </c>
      <c r="FF23" s="229">
        <f>((12*2)+(10*1))/4</f>
        <v>8.5</v>
      </c>
      <c r="FG23" s="229">
        <v>59</v>
      </c>
      <c r="FH23" s="229">
        <v>3</v>
      </c>
      <c r="FI23" s="229">
        <v>12</v>
      </c>
      <c r="FJ23" s="229">
        <v>12.5</v>
      </c>
      <c r="FK23" s="229">
        <v>3</v>
      </c>
      <c r="FL23" s="126">
        <f>((10*1)+(8*2))/3</f>
        <v>8.6666666666666661</v>
      </c>
      <c r="FM23" s="229">
        <v>10</v>
      </c>
      <c r="FN23" s="229">
        <v>3</v>
      </c>
      <c r="FO23" s="229">
        <v>24</v>
      </c>
      <c r="FP23" s="229">
        <f>(1/3)*FU21</f>
        <v>26.3</v>
      </c>
      <c r="FQ23" s="229">
        <v>4</v>
      </c>
      <c r="FR23" s="229">
        <v>12</v>
      </c>
      <c r="FS23" s="229">
        <v>7.5</v>
      </c>
      <c r="FT23" s="229">
        <f>(FE23*FF23*FG23)+(FH23*FI23*FJ23)+(FK23*FL23*FM23)+(FN23*FO23*FP23)+(FQ23*FR23*FS23)</f>
        <v>4468.1000000000004</v>
      </c>
      <c r="FU23" s="826"/>
      <c r="FW23" s="858"/>
      <c r="FX23" s="229">
        <v>3</v>
      </c>
      <c r="FY23" s="229">
        <v>8</v>
      </c>
      <c r="FZ23" s="229">
        <v>15</v>
      </c>
      <c r="GA23" s="229">
        <v>3</v>
      </c>
      <c r="GB23" s="126">
        <v>30</v>
      </c>
      <c r="GC23" s="229">
        <f>GQ21*(1/3)</f>
        <v>26.43333333333333</v>
      </c>
      <c r="GD23" s="229">
        <v>3</v>
      </c>
      <c r="GE23" s="229">
        <v>8</v>
      </c>
      <c r="GF23" s="229">
        <v>54</v>
      </c>
      <c r="GG23" s="229">
        <v>2</v>
      </c>
      <c r="GH23" s="229">
        <v>8</v>
      </c>
      <c r="GI23" s="229">
        <v>15</v>
      </c>
      <c r="GJ23" s="229">
        <v>3</v>
      </c>
      <c r="GK23" s="229">
        <v>12</v>
      </c>
      <c r="GL23" s="229">
        <f>((20.4*2)+(22.7*1))/3</f>
        <v>21.166666666666668</v>
      </c>
      <c r="GM23" s="233"/>
      <c r="GN23" s="233"/>
      <c r="GO23" s="233"/>
      <c r="GP23" s="229">
        <f>(FX23*FY23*FZ23)+(GA23*GB23*GC23)+(GD23*GE23*GF23)+(GG23*GH23*GI23)+(GJ23*GK23*GL23)+(GM23*GN23*GO23)</f>
        <v>5037</v>
      </c>
      <c r="GQ23" s="826"/>
      <c r="GR23" s="118"/>
      <c r="GS23" s="878"/>
      <c r="GT23" s="233"/>
      <c r="GU23" s="233"/>
      <c r="GV23" s="233"/>
      <c r="GW23" s="233"/>
      <c r="GX23" s="233"/>
      <c r="GY23" s="233"/>
      <c r="GZ23" s="233"/>
      <c r="HA23" s="233"/>
      <c r="HB23" s="233"/>
      <c r="HC23" s="233"/>
      <c r="HD23" s="233"/>
      <c r="HE23" s="233"/>
      <c r="HF23" s="233"/>
      <c r="HG23" s="233"/>
      <c r="HH23" s="233"/>
      <c r="HI23" s="233"/>
      <c r="HJ23" s="233"/>
      <c r="HK23" s="233"/>
      <c r="HL23" s="229">
        <f>(GT23*GU23*GV23)+(GW23*GX23*GY23)+(GZ23*HA23*HB23)+(HC23*HD23*HE23)+(HF23*HG23*HH23)+(HI23*HJ23*HK23)</f>
        <v>0</v>
      </c>
      <c r="HM23" s="826"/>
      <c r="HN23" s="118"/>
      <c r="HO23" s="866"/>
      <c r="HP23" s="229">
        <v>3</v>
      </c>
      <c r="HQ23" s="229">
        <v>12</v>
      </c>
      <c r="HR23" s="229">
        <v>63</v>
      </c>
      <c r="HS23" s="229">
        <v>4</v>
      </c>
      <c r="HT23" s="126">
        <f>((8*1)+(10*1)+(12*1))/3</f>
        <v>10</v>
      </c>
      <c r="HU23" s="229">
        <v>20</v>
      </c>
      <c r="HV23" s="229">
        <v>3</v>
      </c>
      <c r="HW23" s="229">
        <f>((12*1)+(10*2))/3</f>
        <v>10.666666666666666</v>
      </c>
      <c r="HX23" s="229">
        <f>((22.7*1)+(24.9*2))/3</f>
        <v>24.166666666666668</v>
      </c>
      <c r="HY23" s="229">
        <v>3</v>
      </c>
      <c r="HZ23" s="229">
        <v>8</v>
      </c>
      <c r="IA23" s="229">
        <v>17.5</v>
      </c>
      <c r="IB23" s="229">
        <v>3</v>
      </c>
      <c r="IC23" s="229">
        <v>12</v>
      </c>
      <c r="ID23" s="229">
        <v>7.5</v>
      </c>
      <c r="IE23" s="233"/>
      <c r="IF23" s="233"/>
      <c r="IG23" s="233"/>
      <c r="IH23" s="229">
        <f>(HP23*HQ23*HR23)+(HS23*HT23*HU23)+(HV23*HW23*HX23)+(HY23*HZ23*IA23)+(IB23*IC23*ID23)+(IE23*IF23*IG23)</f>
        <v>4531.3333333333339</v>
      </c>
      <c r="II23" s="826"/>
      <c r="IK23" s="847"/>
      <c r="IL23" s="229">
        <v>4</v>
      </c>
      <c r="IM23" s="229">
        <f>((10*1)+(6*3))/4</f>
        <v>7</v>
      </c>
      <c r="IN23" s="229">
        <f>((36*1)+(68*3))/4</f>
        <v>60</v>
      </c>
      <c r="IO23" s="229">
        <v>4</v>
      </c>
      <c r="IP23" s="229">
        <f>((12*1)+(8*3))/4</f>
        <v>9</v>
      </c>
      <c r="IQ23" s="229">
        <f>((11.3*1)+(24.9*3))/4</f>
        <v>21.499999999999996</v>
      </c>
      <c r="IR23" s="229">
        <v>4</v>
      </c>
      <c r="IS23" s="229">
        <f>((12*1)+(8*3))/4</f>
        <v>9</v>
      </c>
      <c r="IT23" s="229">
        <f>((7.5*1)+(20*3))/4</f>
        <v>16.875</v>
      </c>
      <c r="IU23" s="229">
        <v>3</v>
      </c>
      <c r="IV23" s="229">
        <f>((12*1)+(8*2))/3</f>
        <v>9.3333333333333339</v>
      </c>
      <c r="IW23" s="229">
        <f>((2.5*1)+(5*1)+(7.5*1))/3</f>
        <v>5</v>
      </c>
      <c r="IX23" s="233"/>
      <c r="IY23" s="233"/>
      <c r="IZ23" s="233"/>
      <c r="JA23" s="233"/>
      <c r="JB23" s="233"/>
      <c r="JC23" s="233"/>
      <c r="JD23" s="949"/>
      <c r="JE23" s="229">
        <f>(IL23*IM23*IN23)+(IO23*IP23*IQ23)+(IR23*IS23*IT23)+(IU23*IV23*IW23)+(IX23*IY23*IZ23)+(JA23*JB23*JC23)</f>
        <v>3201.5</v>
      </c>
      <c r="JF23" s="826"/>
      <c r="JH23" s="61">
        <v>21</v>
      </c>
      <c r="JI23" s="62" t="s">
        <v>54</v>
      </c>
      <c r="JJ23" s="61">
        <v>21</v>
      </c>
      <c r="JK23" s="62" t="str" cm="1">
        <f t="array" ref="JK23">IF(INDEX(AB:AB, (ROW()-ROW($JK$3))*3 + 3) &lt;&gt; "", "✔", "")</f>
        <v>✔</v>
      </c>
      <c r="JL23" s="61">
        <v>21</v>
      </c>
      <c r="JM23" s="62" t="str" cm="1">
        <f t="array" ref="JM23">IF(INDEX(AU:AU, (ROW()-ROW($JM$3))*3 + 3) &lt;&gt; "", "✔", "")</f>
        <v/>
      </c>
      <c r="JN23" s="61">
        <v>21</v>
      </c>
      <c r="JO23" s="62" t="str" cm="1">
        <f t="array" ref="JO23">IF(INDEX(BN:BN, (ROW()-ROW($BN$3))*3 + 3) &lt;&gt; "", "✔", "")</f>
        <v>✔</v>
      </c>
      <c r="JP23" s="61">
        <v>21</v>
      </c>
      <c r="JQ23" s="62" t="str" cm="1">
        <f t="array" ref="JQ23">IF(INDEX(CG:CG, (ROW()-ROW($CG$3))*3 + 3) &lt;&gt; "", "✔", "")</f>
        <v>✔</v>
      </c>
      <c r="JR23" s="61">
        <v>21</v>
      </c>
      <c r="JS23" s="62" t="str" cm="1">
        <f t="array" ref="JS23">IF(INDEX(CZ:CZ, (ROW()-ROW($CZ$3))*3 + 3) &lt;&gt; "", "✔", "")</f>
        <v/>
      </c>
      <c r="JT23" s="61">
        <v>21</v>
      </c>
      <c r="JU23" s="62" t="str" cm="1">
        <f t="array" ref="JU23">IF(INDEX(DS:DS, (ROW()-ROW($DS$3))*3 + 3) &lt;&gt; "", "✔", "")</f>
        <v>✔</v>
      </c>
      <c r="JV23" s="61">
        <v>21</v>
      </c>
      <c r="JW23" s="62" t="str" cm="1">
        <f t="array" ref="JW23">IF(INDEX(EL:EL, (ROW()-ROW($EL$3))*3 + 3) &lt;&gt; "", "✔", "")</f>
        <v>✔</v>
      </c>
      <c r="JX23" s="61">
        <v>21</v>
      </c>
      <c r="JY23" s="62" t="str" cm="1">
        <f t="array" ref="JY23">IF(INDEX(FE:FE, (ROW()-ROW($FE$3))*3 + 3) &lt;&gt; "", "✔", "")</f>
        <v>✔</v>
      </c>
      <c r="JZ23" s="61">
        <v>21</v>
      </c>
      <c r="KA23" s="62" t="str" cm="1">
        <f t="array" ref="KA23">IF(INDEX(FX:FX, (ROW()-ROW($FX$3))*3 + 3) &lt;&gt; "", "✔", "")</f>
        <v>✔</v>
      </c>
      <c r="KB23" s="61">
        <v>21</v>
      </c>
      <c r="KC23" s="62" t="str" cm="1">
        <f t="array" ref="KC23">IF(INDEX(GT:GT, (ROW()-ROW($GT$3))*3 + 3) &lt;&gt; "", "✔", "")</f>
        <v/>
      </c>
      <c r="KD23" s="61">
        <v>21</v>
      </c>
      <c r="KE23" s="62" t="str" cm="1">
        <f t="array" ref="KE23">IF(INDEX(HP:HP, (ROW()-ROW($HP$3))*3 + 3) &lt;&gt; "", "✔", "")</f>
        <v>✔</v>
      </c>
      <c r="KG23" s="231">
        <v>100</v>
      </c>
      <c r="KH23" s="230">
        <f t="shared" si="0"/>
        <v>45.359200000000001</v>
      </c>
    </row>
    <row r="24" spans="1:294" ht="15">
      <c r="H24" s="934">
        <v>45685</v>
      </c>
      <c r="I24" s="849" t="s">
        <v>99</v>
      </c>
      <c r="J24" s="849"/>
      <c r="K24" s="849"/>
      <c r="L24" s="882" t="s">
        <v>14</v>
      </c>
      <c r="M24" s="883"/>
      <c r="N24" s="884"/>
      <c r="O24" s="849" t="s">
        <v>69</v>
      </c>
      <c r="P24" s="849"/>
      <c r="Q24" s="849"/>
      <c r="R24" s="849" t="s">
        <v>132</v>
      </c>
      <c r="S24" s="849"/>
      <c r="T24" s="849"/>
      <c r="U24" s="844"/>
      <c r="V24" s="844"/>
      <c r="W24" s="844"/>
      <c r="X24" s="823">
        <f>COUNTA(I24:W24)</f>
        <v>4</v>
      </c>
      <c r="Y24" s="939">
        <v>94.3</v>
      </c>
      <c r="AA24" s="840">
        <v>45696</v>
      </c>
      <c r="AB24" s="859"/>
      <c r="AC24" s="859"/>
      <c r="AD24" s="859"/>
      <c r="AE24" s="834"/>
      <c r="AF24" s="835"/>
      <c r="AG24" s="836"/>
      <c r="AH24" s="859"/>
      <c r="AI24" s="859"/>
      <c r="AJ24" s="859"/>
      <c r="AK24" s="859"/>
      <c r="AL24" s="859"/>
      <c r="AM24" s="859"/>
      <c r="AN24" s="844"/>
      <c r="AO24" s="844"/>
      <c r="AP24" s="844"/>
      <c r="AQ24" s="823">
        <f>COUNTA(AB24:AP24)</f>
        <v>0</v>
      </c>
      <c r="AR24" s="824">
        <f>AR21</f>
        <v>94</v>
      </c>
      <c r="AT24" s="840">
        <v>45724</v>
      </c>
      <c r="AU24" s="849" t="s">
        <v>70</v>
      </c>
      <c r="AV24" s="849"/>
      <c r="AW24" s="849"/>
      <c r="AX24" s="879" t="s">
        <v>78</v>
      </c>
      <c r="AY24" s="880"/>
      <c r="AZ24" s="881"/>
      <c r="BA24" s="859"/>
      <c r="BB24" s="859"/>
      <c r="BC24" s="859"/>
      <c r="BD24" s="859"/>
      <c r="BE24" s="859"/>
      <c r="BF24" s="859"/>
      <c r="BG24" s="844"/>
      <c r="BH24" s="844"/>
      <c r="BI24" s="844"/>
      <c r="BJ24" s="823">
        <f>COUNTA(AU24:BI24)</f>
        <v>2</v>
      </c>
      <c r="BK24" s="824">
        <v>89.9</v>
      </c>
      <c r="BL24" s="118"/>
      <c r="BM24" s="856">
        <v>45755</v>
      </c>
      <c r="BN24" s="849" t="s">
        <v>70</v>
      </c>
      <c r="BO24" s="849"/>
      <c r="BP24" s="849"/>
      <c r="BQ24" s="859"/>
      <c r="BR24" s="859"/>
      <c r="BS24" s="859"/>
      <c r="BT24" s="844"/>
      <c r="BU24" s="844"/>
      <c r="BV24" s="844"/>
      <c r="BW24" s="860"/>
      <c r="BX24" s="860"/>
      <c r="BY24" s="860"/>
      <c r="BZ24" s="844"/>
      <c r="CA24" s="844"/>
      <c r="CB24" s="844"/>
      <c r="CC24" s="823">
        <f>COUNTA(BN24:CB24)</f>
        <v>1</v>
      </c>
      <c r="CD24" s="824">
        <v>87.8</v>
      </c>
      <c r="CF24" s="873">
        <v>45785</v>
      </c>
      <c r="CG24" s="849" t="s">
        <v>70</v>
      </c>
      <c r="CH24" s="849"/>
      <c r="CI24" s="849"/>
      <c r="CJ24" s="859"/>
      <c r="CK24" s="859"/>
      <c r="CL24" s="859"/>
      <c r="CM24" s="844"/>
      <c r="CN24" s="844"/>
      <c r="CO24" s="844"/>
      <c r="CP24" s="844"/>
      <c r="CQ24" s="844"/>
      <c r="CR24" s="844"/>
      <c r="CS24" s="844"/>
      <c r="CT24" s="844"/>
      <c r="CU24" s="844"/>
      <c r="CV24" s="823">
        <f>COUNTA(CG24:CU24)</f>
        <v>1</v>
      </c>
      <c r="CW24" s="824">
        <v>85.5</v>
      </c>
      <c r="CX24" s="118"/>
      <c r="CY24" s="864">
        <v>45816</v>
      </c>
      <c r="CZ24" s="848" t="s">
        <v>104</v>
      </c>
      <c r="DA24" s="848"/>
      <c r="DB24" s="848"/>
      <c r="DC24" s="849" t="s">
        <v>119</v>
      </c>
      <c r="DD24" s="849"/>
      <c r="DE24" s="849"/>
      <c r="DF24" s="886" t="s">
        <v>82</v>
      </c>
      <c r="DG24" s="886"/>
      <c r="DH24" s="886"/>
      <c r="DI24" s="849" t="s">
        <v>102</v>
      </c>
      <c r="DJ24" s="849"/>
      <c r="DK24" s="849"/>
      <c r="DL24" s="844"/>
      <c r="DM24" s="844"/>
      <c r="DN24" s="844"/>
      <c r="DO24" s="823">
        <f>COUNTA(CZ24:DN24)</f>
        <v>4</v>
      </c>
      <c r="DP24" s="824">
        <v>83.4</v>
      </c>
      <c r="DR24" s="856">
        <v>45846</v>
      </c>
      <c r="DS24" s="849" t="s">
        <v>70</v>
      </c>
      <c r="DT24" s="849"/>
      <c r="DU24" s="849"/>
      <c r="DV24" s="859"/>
      <c r="DW24" s="859"/>
      <c r="DX24" s="859"/>
      <c r="DY24" s="844"/>
      <c r="DZ24" s="844"/>
      <c r="EA24" s="844"/>
      <c r="EB24" s="844"/>
      <c r="EC24" s="844"/>
      <c r="ED24" s="844"/>
      <c r="EE24" s="844"/>
      <c r="EF24" s="844"/>
      <c r="EG24" s="844"/>
      <c r="EH24" s="823">
        <f>COUNTA(DS24:EG24)</f>
        <v>1</v>
      </c>
      <c r="EI24" s="824">
        <v>81.7</v>
      </c>
      <c r="EK24" s="876">
        <v>45877</v>
      </c>
      <c r="EL24" s="848" t="s">
        <v>68</v>
      </c>
      <c r="EM24" s="848"/>
      <c r="EN24" s="848"/>
      <c r="EO24" s="890" t="s">
        <v>71</v>
      </c>
      <c r="EP24" s="890"/>
      <c r="EQ24" s="890"/>
      <c r="ER24" s="848" t="s">
        <v>111</v>
      </c>
      <c r="ES24" s="848"/>
      <c r="ET24" s="848"/>
      <c r="EU24" s="844"/>
      <c r="EV24" s="844"/>
      <c r="EW24" s="844"/>
      <c r="EX24" s="844"/>
      <c r="EY24" s="844"/>
      <c r="EZ24" s="844"/>
      <c r="FA24" s="823">
        <f>COUNTA(EL24:EZ24)</f>
        <v>3</v>
      </c>
      <c r="FB24" s="824">
        <v>81</v>
      </c>
      <c r="FD24" s="870">
        <v>45908</v>
      </c>
      <c r="FE24" s="849" t="s">
        <v>72</v>
      </c>
      <c r="FF24" s="849"/>
      <c r="FG24" s="849"/>
      <c r="FH24" s="890" t="s">
        <v>84</v>
      </c>
      <c r="FI24" s="848"/>
      <c r="FJ24" s="848"/>
      <c r="FK24" s="882" t="s">
        <v>83</v>
      </c>
      <c r="FL24" s="883"/>
      <c r="FM24" s="884"/>
      <c r="FN24" s="844"/>
      <c r="FO24" s="844"/>
      <c r="FP24" s="844"/>
      <c r="FQ24" s="844"/>
      <c r="FR24" s="844"/>
      <c r="FS24" s="844"/>
      <c r="FT24" s="823">
        <f>COUNTA(FE24:FS24)</f>
        <v>3</v>
      </c>
      <c r="FU24" s="824">
        <v>79</v>
      </c>
      <c r="FW24" s="845">
        <v>45938</v>
      </c>
      <c r="FX24" s="844"/>
      <c r="FY24" s="844"/>
      <c r="FZ24" s="844"/>
      <c r="GA24" s="859"/>
      <c r="GB24" s="859"/>
      <c r="GC24" s="859"/>
      <c r="GD24" s="834"/>
      <c r="GE24" s="835"/>
      <c r="GF24" s="836"/>
      <c r="GG24" s="867"/>
      <c r="GH24" s="868"/>
      <c r="GI24" s="869"/>
      <c r="GJ24" s="834"/>
      <c r="GK24" s="835"/>
      <c r="GL24" s="836"/>
      <c r="GM24" s="834"/>
      <c r="GN24" s="835"/>
      <c r="GO24" s="836"/>
      <c r="GP24" s="823">
        <f>COUNTA(FX24:GO24)</f>
        <v>0</v>
      </c>
      <c r="GQ24" s="824">
        <f>GQ21</f>
        <v>79.3</v>
      </c>
      <c r="GR24" s="118"/>
      <c r="GS24" s="840">
        <v>45969</v>
      </c>
      <c r="GT24" s="848" t="s">
        <v>86</v>
      </c>
      <c r="GU24" s="848"/>
      <c r="GV24" s="848"/>
      <c r="GW24" s="849" t="s">
        <v>38</v>
      </c>
      <c r="GX24" s="849"/>
      <c r="GY24" s="849"/>
      <c r="GZ24" s="887" t="s">
        <v>87</v>
      </c>
      <c r="HA24" s="888"/>
      <c r="HB24" s="889"/>
      <c r="HC24" s="897" t="s">
        <v>88</v>
      </c>
      <c r="HD24" s="898"/>
      <c r="HE24" s="899"/>
      <c r="HF24" s="834"/>
      <c r="HG24" s="835"/>
      <c r="HH24" s="836"/>
      <c r="HI24" s="834"/>
      <c r="HJ24" s="835"/>
      <c r="HK24" s="836"/>
      <c r="HL24" s="823">
        <f>COUNTA(GT24:HK24)</f>
        <v>4</v>
      </c>
      <c r="HM24" s="824">
        <f>HM21</f>
        <v>79</v>
      </c>
      <c r="HN24" s="118"/>
      <c r="HO24" s="870">
        <v>45999</v>
      </c>
      <c r="HP24" s="879" t="s">
        <v>78</v>
      </c>
      <c r="HQ24" s="880"/>
      <c r="HR24" s="881"/>
      <c r="HS24" s="882" t="s">
        <v>85</v>
      </c>
      <c r="HT24" s="883"/>
      <c r="HU24" s="884"/>
      <c r="HV24" s="882" t="s">
        <v>123</v>
      </c>
      <c r="HW24" s="883"/>
      <c r="HX24" s="884"/>
      <c r="HY24" s="844"/>
      <c r="HZ24" s="844"/>
      <c r="IA24" s="844"/>
      <c r="IB24" s="844"/>
      <c r="IC24" s="844"/>
      <c r="ID24" s="844"/>
      <c r="IE24" s="834"/>
      <c r="IF24" s="835"/>
      <c r="IG24" s="836"/>
      <c r="IH24" s="823">
        <f>COUNTA(HP24:IG24)</f>
        <v>3</v>
      </c>
      <c r="II24" s="824">
        <v>78.3</v>
      </c>
      <c r="IK24" s="873">
        <v>46030</v>
      </c>
      <c r="IL24" s="844"/>
      <c r="IM24" s="844"/>
      <c r="IN24" s="844"/>
      <c r="IO24" s="844"/>
      <c r="IP24" s="844"/>
      <c r="IQ24" s="844"/>
      <c r="IR24" s="844"/>
      <c r="IS24" s="844"/>
      <c r="IT24" s="844"/>
      <c r="IU24" s="844"/>
      <c r="IV24" s="844"/>
      <c r="IW24" s="844"/>
      <c r="IX24" s="834"/>
      <c r="IY24" s="835"/>
      <c r="IZ24" s="836"/>
      <c r="JA24" s="834"/>
      <c r="JB24" s="835"/>
      <c r="JC24" s="836"/>
      <c r="JD24" s="232" t="s">
        <v>425</v>
      </c>
      <c r="JE24" s="823">
        <f>COUNTA(IL24:JC24)</f>
        <v>0</v>
      </c>
      <c r="JF24" s="824">
        <f>JF21</f>
        <v>77.099999999999994</v>
      </c>
      <c r="JH24" s="58">
        <v>22</v>
      </c>
      <c r="JI24" s="105" t="str">
        <f>IF(I6&lt;&gt;"", "✔", "")</f>
        <v/>
      </c>
      <c r="JJ24" s="58">
        <v>22</v>
      </c>
      <c r="JK24" s="59" t="str" cm="1">
        <f t="array" ref="JK24">IF(INDEX(AB:AB, (ROW()-ROW($JK$3))*3 + 3) &lt;&gt; "", "✔", "")</f>
        <v/>
      </c>
      <c r="JL24" s="58">
        <v>22</v>
      </c>
      <c r="JM24" s="59" t="str" cm="1">
        <f t="array" ref="JM24">IF(INDEX(AU:AU, (ROW()-ROW($JM$3))*3 + 3) &lt;&gt; "", "✔", "")</f>
        <v>✔</v>
      </c>
      <c r="JN24" s="124">
        <v>22</v>
      </c>
      <c r="JO24" s="82" t="str" cm="1">
        <f t="array" ref="JO24">IF(INDEX(BN:BN, (ROW()-ROW($BN$3))*3 + 3) &lt;&gt; "", "✔", "")</f>
        <v>✔</v>
      </c>
      <c r="JP24" s="124">
        <v>22</v>
      </c>
      <c r="JQ24" s="82" t="str" cm="1">
        <f t="array" ref="JQ24">IF(INDEX(CG:CG, (ROW()-ROW($CG$3))*3 + 3) &lt;&gt; "", "✔", "")</f>
        <v>✔</v>
      </c>
      <c r="JR24" s="124">
        <v>22</v>
      </c>
      <c r="JS24" s="82" t="str" cm="1">
        <f t="array" ref="JS24">IF(INDEX(CZ:CZ, (ROW()-ROW($CZ$3))*3 + 3) &lt;&gt; "", "✔", "")</f>
        <v>✔</v>
      </c>
      <c r="JT24" s="124">
        <v>22</v>
      </c>
      <c r="JU24" s="82" t="str" cm="1">
        <f t="array" ref="JU24">IF(INDEX(DS:DS, (ROW()-ROW($DS$3))*3 + 3) &lt;&gt; "", "✔", "")</f>
        <v/>
      </c>
      <c r="JV24" s="124">
        <v>22</v>
      </c>
      <c r="JW24" s="82" t="str" cm="1">
        <f t="array" ref="JW24">IF(INDEX(EL:EL, (ROW()-ROW($EL$3))*3 + 3) &lt;&gt; "", "✔", "")</f>
        <v/>
      </c>
      <c r="JX24" s="124">
        <v>22</v>
      </c>
      <c r="JY24" s="82" t="str" cm="1">
        <f t="array" ref="JY24">IF(INDEX(FE:FE, (ROW()-ROW($FE$3))*3 + 3) &lt;&gt; "", "✔", "")</f>
        <v>✔</v>
      </c>
      <c r="JZ24" s="124">
        <v>22</v>
      </c>
      <c r="KA24" s="82" t="str" cm="1">
        <f t="array" ref="KA24">IF(INDEX(FX:FX, (ROW()-ROW($FX$3))*3 + 3) &lt;&gt; "", "✔", "")</f>
        <v>✔</v>
      </c>
      <c r="KB24" s="124">
        <v>22</v>
      </c>
      <c r="KC24" s="82" t="str" cm="1">
        <f t="array" ref="KC24">IF(INDEX(GT:GT, (ROW()-ROW($GT$3))*3 + 3) &lt;&gt; "", "✔", "")</f>
        <v>✔</v>
      </c>
      <c r="KD24" s="124">
        <v>22</v>
      </c>
      <c r="KE24" s="82" t="str" cm="1">
        <f t="array" ref="KE24">IF(INDEX(HP:HP, (ROW()-ROW($HP$3))*3 + 3) &lt;&gt; "", "✔", "")</f>
        <v>✔</v>
      </c>
      <c r="KG24" s="231">
        <v>105</v>
      </c>
      <c r="KH24" s="230">
        <f t="shared" si="0"/>
        <v>47.627159999999996</v>
      </c>
    </row>
    <row r="25" spans="1:294" ht="15">
      <c r="H25" s="934"/>
      <c r="I25" s="231" t="s">
        <v>59</v>
      </c>
      <c r="J25" s="231" t="s">
        <v>73</v>
      </c>
      <c r="K25" s="102" t="s">
        <v>4</v>
      </c>
      <c r="L25" s="231" t="s">
        <v>59</v>
      </c>
      <c r="M25" s="231" t="s">
        <v>73</v>
      </c>
      <c r="N25" s="102" t="s">
        <v>4</v>
      </c>
      <c r="O25" s="231" t="s">
        <v>59</v>
      </c>
      <c r="P25" s="231" t="s">
        <v>73</v>
      </c>
      <c r="Q25" s="102" t="s">
        <v>4</v>
      </c>
      <c r="R25" s="231" t="s">
        <v>59</v>
      </c>
      <c r="S25" s="231" t="s">
        <v>73</v>
      </c>
      <c r="T25" s="102" t="s">
        <v>4</v>
      </c>
      <c r="U25" s="107" t="s">
        <v>59</v>
      </c>
      <c r="V25" s="107" t="s">
        <v>73</v>
      </c>
      <c r="W25" s="108" t="s">
        <v>4</v>
      </c>
      <c r="X25" s="823"/>
      <c r="Y25" s="940"/>
      <c r="AA25" s="841"/>
      <c r="AB25" s="107" t="s">
        <v>59</v>
      </c>
      <c r="AC25" s="107" t="s">
        <v>73</v>
      </c>
      <c r="AD25" s="108" t="s">
        <v>4</v>
      </c>
      <c r="AE25" s="107" t="s">
        <v>59</v>
      </c>
      <c r="AF25" s="107" t="s">
        <v>73</v>
      </c>
      <c r="AG25" s="108" t="s">
        <v>4</v>
      </c>
      <c r="AH25" s="107" t="s">
        <v>59</v>
      </c>
      <c r="AI25" s="107" t="s">
        <v>73</v>
      </c>
      <c r="AJ25" s="108" t="s">
        <v>4</v>
      </c>
      <c r="AK25" s="107" t="s">
        <v>59</v>
      </c>
      <c r="AL25" s="107" t="s">
        <v>73</v>
      </c>
      <c r="AM25" s="108" t="s">
        <v>4</v>
      </c>
      <c r="AN25" s="107" t="s">
        <v>59</v>
      </c>
      <c r="AO25" s="107" t="s">
        <v>73</v>
      </c>
      <c r="AP25" s="108" t="s">
        <v>4</v>
      </c>
      <c r="AQ25" s="823"/>
      <c r="AR25" s="825"/>
      <c r="AT25" s="841"/>
      <c r="AU25" s="231" t="s">
        <v>59</v>
      </c>
      <c r="AV25" s="231" t="s">
        <v>73</v>
      </c>
      <c r="AW25" s="102" t="s">
        <v>4</v>
      </c>
      <c r="AX25" s="231" t="s">
        <v>59</v>
      </c>
      <c r="AY25" s="231" t="s">
        <v>73</v>
      </c>
      <c r="AZ25" s="102" t="s">
        <v>4</v>
      </c>
      <c r="BA25" s="107" t="s">
        <v>59</v>
      </c>
      <c r="BB25" s="107" t="s">
        <v>73</v>
      </c>
      <c r="BC25" s="108" t="s">
        <v>4</v>
      </c>
      <c r="BD25" s="107" t="s">
        <v>59</v>
      </c>
      <c r="BE25" s="107" t="s">
        <v>73</v>
      </c>
      <c r="BF25" s="108" t="s">
        <v>4</v>
      </c>
      <c r="BG25" s="107" t="s">
        <v>59</v>
      </c>
      <c r="BH25" s="107" t="s">
        <v>73</v>
      </c>
      <c r="BI25" s="108" t="s">
        <v>4</v>
      </c>
      <c r="BJ25" s="823"/>
      <c r="BK25" s="825"/>
      <c r="BL25" s="118"/>
      <c r="BM25" s="857"/>
      <c r="BN25" s="231" t="s">
        <v>59</v>
      </c>
      <c r="BO25" s="231" t="s">
        <v>73</v>
      </c>
      <c r="BP25" s="102" t="s">
        <v>4</v>
      </c>
      <c r="BQ25" s="107" t="s">
        <v>59</v>
      </c>
      <c r="BR25" s="107" t="s">
        <v>73</v>
      </c>
      <c r="BS25" s="108" t="s">
        <v>4</v>
      </c>
      <c r="BT25" s="107" t="s">
        <v>59</v>
      </c>
      <c r="BU25" s="107" t="s">
        <v>73</v>
      </c>
      <c r="BV25" s="108" t="s">
        <v>4</v>
      </c>
      <c r="BW25" s="107" t="s">
        <v>59</v>
      </c>
      <c r="BX25" s="107" t="s">
        <v>73</v>
      </c>
      <c r="BY25" s="108" t="s">
        <v>4</v>
      </c>
      <c r="BZ25" s="107" t="s">
        <v>59</v>
      </c>
      <c r="CA25" s="107" t="s">
        <v>73</v>
      </c>
      <c r="CB25" s="108" t="s">
        <v>4</v>
      </c>
      <c r="CC25" s="823"/>
      <c r="CD25" s="825"/>
      <c r="CF25" s="874"/>
      <c r="CG25" s="231" t="s">
        <v>59</v>
      </c>
      <c r="CH25" s="231" t="s">
        <v>73</v>
      </c>
      <c r="CI25" s="102" t="s">
        <v>4</v>
      </c>
      <c r="CJ25" s="107" t="s">
        <v>59</v>
      </c>
      <c r="CK25" s="107" t="s">
        <v>73</v>
      </c>
      <c r="CL25" s="108" t="s">
        <v>4</v>
      </c>
      <c r="CM25" s="107" t="s">
        <v>59</v>
      </c>
      <c r="CN25" s="107" t="s">
        <v>73</v>
      </c>
      <c r="CO25" s="108" t="s">
        <v>4</v>
      </c>
      <c r="CP25" s="107" t="s">
        <v>59</v>
      </c>
      <c r="CQ25" s="107" t="s">
        <v>73</v>
      </c>
      <c r="CR25" s="108" t="s">
        <v>4</v>
      </c>
      <c r="CS25" s="107" t="s">
        <v>59</v>
      </c>
      <c r="CT25" s="107" t="s">
        <v>73</v>
      </c>
      <c r="CU25" s="108" t="s">
        <v>4</v>
      </c>
      <c r="CV25" s="823"/>
      <c r="CW25" s="825"/>
      <c r="CX25" s="118"/>
      <c r="CY25" s="865"/>
      <c r="CZ25" s="231" t="s">
        <v>59</v>
      </c>
      <c r="DA25" s="231" t="s">
        <v>73</v>
      </c>
      <c r="DB25" s="102" t="s">
        <v>4</v>
      </c>
      <c r="DC25" s="231" t="s">
        <v>59</v>
      </c>
      <c r="DD25" s="231" t="s">
        <v>73</v>
      </c>
      <c r="DE25" s="102" t="s">
        <v>4</v>
      </c>
      <c r="DF25" s="231" t="s">
        <v>59</v>
      </c>
      <c r="DG25" s="231" t="s">
        <v>73</v>
      </c>
      <c r="DH25" s="102" t="s">
        <v>4</v>
      </c>
      <c r="DI25" s="231" t="s">
        <v>59</v>
      </c>
      <c r="DJ25" s="231" t="s">
        <v>73</v>
      </c>
      <c r="DK25" s="102" t="s">
        <v>4</v>
      </c>
      <c r="DL25" s="107" t="s">
        <v>59</v>
      </c>
      <c r="DM25" s="107" t="s">
        <v>73</v>
      </c>
      <c r="DN25" s="108" t="s">
        <v>4</v>
      </c>
      <c r="DO25" s="823"/>
      <c r="DP25" s="825"/>
      <c r="DR25" s="857"/>
      <c r="DS25" s="231" t="s">
        <v>59</v>
      </c>
      <c r="DT25" s="231" t="s">
        <v>73</v>
      </c>
      <c r="DU25" s="102" t="s">
        <v>4</v>
      </c>
      <c r="DV25" s="107" t="s">
        <v>59</v>
      </c>
      <c r="DW25" s="107" t="s">
        <v>73</v>
      </c>
      <c r="DX25" s="108" t="s">
        <v>4</v>
      </c>
      <c r="DY25" s="107" t="s">
        <v>59</v>
      </c>
      <c r="DZ25" s="107" t="s">
        <v>73</v>
      </c>
      <c r="EA25" s="108" t="s">
        <v>4</v>
      </c>
      <c r="EB25" s="107" t="s">
        <v>59</v>
      </c>
      <c r="EC25" s="107" t="s">
        <v>73</v>
      </c>
      <c r="ED25" s="108" t="s">
        <v>4</v>
      </c>
      <c r="EE25" s="107" t="s">
        <v>59</v>
      </c>
      <c r="EF25" s="107" t="s">
        <v>73</v>
      </c>
      <c r="EG25" s="108" t="s">
        <v>4</v>
      </c>
      <c r="EH25" s="823"/>
      <c r="EI25" s="825"/>
      <c r="EK25" s="877"/>
      <c r="EL25" s="231" t="s">
        <v>59</v>
      </c>
      <c r="EM25" s="231" t="s">
        <v>73</v>
      </c>
      <c r="EN25" s="102" t="s">
        <v>4</v>
      </c>
      <c r="EO25" s="231" t="s">
        <v>59</v>
      </c>
      <c r="EP25" s="231" t="s">
        <v>73</v>
      </c>
      <c r="EQ25" s="102" t="s">
        <v>4</v>
      </c>
      <c r="ER25" s="231" t="s">
        <v>59</v>
      </c>
      <c r="ES25" s="231" t="s">
        <v>73</v>
      </c>
      <c r="ET25" s="102" t="s">
        <v>4</v>
      </c>
      <c r="EU25" s="107" t="s">
        <v>59</v>
      </c>
      <c r="EV25" s="107" t="s">
        <v>73</v>
      </c>
      <c r="EW25" s="108" t="s">
        <v>4</v>
      </c>
      <c r="EX25" s="107" t="s">
        <v>59</v>
      </c>
      <c r="EY25" s="107" t="s">
        <v>73</v>
      </c>
      <c r="EZ25" s="108" t="s">
        <v>4</v>
      </c>
      <c r="FA25" s="823"/>
      <c r="FB25" s="825"/>
      <c r="FD25" s="871"/>
      <c r="FE25" s="231" t="s">
        <v>59</v>
      </c>
      <c r="FF25" s="231" t="s">
        <v>73</v>
      </c>
      <c r="FG25" s="102" t="s">
        <v>4</v>
      </c>
      <c r="FH25" s="231" t="s">
        <v>59</v>
      </c>
      <c r="FI25" s="231" t="s">
        <v>73</v>
      </c>
      <c r="FJ25" s="102" t="s">
        <v>4</v>
      </c>
      <c r="FK25" s="231" t="s">
        <v>59</v>
      </c>
      <c r="FL25" s="231" t="s">
        <v>73</v>
      </c>
      <c r="FM25" s="102" t="s">
        <v>4</v>
      </c>
      <c r="FN25" s="107" t="s">
        <v>59</v>
      </c>
      <c r="FO25" s="107" t="s">
        <v>73</v>
      </c>
      <c r="FP25" s="108" t="s">
        <v>4</v>
      </c>
      <c r="FQ25" s="107" t="s">
        <v>59</v>
      </c>
      <c r="FR25" s="107" t="s">
        <v>73</v>
      </c>
      <c r="FS25" s="108" t="s">
        <v>4</v>
      </c>
      <c r="FT25" s="823"/>
      <c r="FU25" s="825"/>
      <c r="FW25" s="846"/>
      <c r="FX25" s="107" t="s">
        <v>59</v>
      </c>
      <c r="FY25" s="107" t="s">
        <v>73</v>
      </c>
      <c r="FZ25" s="108" t="s">
        <v>4</v>
      </c>
      <c r="GA25" s="107" t="s">
        <v>59</v>
      </c>
      <c r="GB25" s="107" t="s">
        <v>73</v>
      </c>
      <c r="GC25" s="108" t="s">
        <v>4</v>
      </c>
      <c r="GD25" s="107" t="s">
        <v>59</v>
      </c>
      <c r="GE25" s="107" t="s">
        <v>73</v>
      </c>
      <c r="GF25" s="108" t="s">
        <v>4</v>
      </c>
      <c r="GG25" s="107" t="s">
        <v>59</v>
      </c>
      <c r="GH25" s="107" t="s">
        <v>73</v>
      </c>
      <c r="GI25" s="108" t="s">
        <v>4</v>
      </c>
      <c r="GJ25" s="107" t="s">
        <v>59</v>
      </c>
      <c r="GK25" s="107" t="s">
        <v>73</v>
      </c>
      <c r="GL25" s="108" t="s">
        <v>4</v>
      </c>
      <c r="GM25" s="107" t="s">
        <v>59</v>
      </c>
      <c r="GN25" s="107" t="s">
        <v>73</v>
      </c>
      <c r="GO25" s="108" t="s">
        <v>4</v>
      </c>
      <c r="GP25" s="823"/>
      <c r="GQ25" s="825"/>
      <c r="GR25" s="118"/>
      <c r="GS25" s="841"/>
      <c r="GT25" s="231" t="s">
        <v>59</v>
      </c>
      <c r="GU25" s="231" t="s">
        <v>73</v>
      </c>
      <c r="GV25" s="102" t="s">
        <v>4</v>
      </c>
      <c r="GW25" s="231" t="s">
        <v>59</v>
      </c>
      <c r="GX25" s="231" t="s">
        <v>73</v>
      </c>
      <c r="GY25" s="102" t="s">
        <v>4</v>
      </c>
      <c r="GZ25" s="231" t="s">
        <v>59</v>
      </c>
      <c r="HA25" s="231" t="s">
        <v>73</v>
      </c>
      <c r="HB25" s="102" t="s">
        <v>4</v>
      </c>
      <c r="HC25" s="231" t="s">
        <v>59</v>
      </c>
      <c r="HD25" s="231" t="s">
        <v>73</v>
      </c>
      <c r="HE25" s="102" t="s">
        <v>4</v>
      </c>
      <c r="HF25" s="107" t="s">
        <v>59</v>
      </c>
      <c r="HG25" s="107" t="s">
        <v>73</v>
      </c>
      <c r="HH25" s="108" t="s">
        <v>4</v>
      </c>
      <c r="HI25" s="107" t="s">
        <v>59</v>
      </c>
      <c r="HJ25" s="107" t="s">
        <v>73</v>
      </c>
      <c r="HK25" s="108" t="s">
        <v>4</v>
      </c>
      <c r="HL25" s="823"/>
      <c r="HM25" s="825"/>
      <c r="HN25" s="118"/>
      <c r="HO25" s="871"/>
      <c r="HP25" s="231" t="s">
        <v>59</v>
      </c>
      <c r="HQ25" s="231" t="s">
        <v>73</v>
      </c>
      <c r="HR25" s="102" t="s">
        <v>4</v>
      </c>
      <c r="HS25" s="231" t="s">
        <v>59</v>
      </c>
      <c r="HT25" s="231" t="s">
        <v>73</v>
      </c>
      <c r="HU25" s="102" t="s">
        <v>4</v>
      </c>
      <c r="HV25" s="231" t="s">
        <v>59</v>
      </c>
      <c r="HW25" s="231" t="s">
        <v>73</v>
      </c>
      <c r="HX25" s="102" t="s">
        <v>4</v>
      </c>
      <c r="HY25" s="107" t="s">
        <v>59</v>
      </c>
      <c r="HZ25" s="107" t="s">
        <v>73</v>
      </c>
      <c r="IA25" s="108" t="s">
        <v>4</v>
      </c>
      <c r="IB25" s="107" t="s">
        <v>59</v>
      </c>
      <c r="IC25" s="107" t="s">
        <v>73</v>
      </c>
      <c r="ID25" s="108" t="s">
        <v>4</v>
      </c>
      <c r="IE25" s="107" t="s">
        <v>59</v>
      </c>
      <c r="IF25" s="107" t="s">
        <v>73</v>
      </c>
      <c r="IG25" s="108" t="s">
        <v>4</v>
      </c>
      <c r="IH25" s="823"/>
      <c r="II25" s="825"/>
      <c r="IK25" s="874"/>
      <c r="IL25" s="107" t="s">
        <v>59</v>
      </c>
      <c r="IM25" s="107" t="s">
        <v>73</v>
      </c>
      <c r="IN25" s="108" t="s">
        <v>4</v>
      </c>
      <c r="IO25" s="107" t="s">
        <v>59</v>
      </c>
      <c r="IP25" s="107" t="s">
        <v>73</v>
      </c>
      <c r="IQ25" s="108" t="s">
        <v>4</v>
      </c>
      <c r="IR25" s="107" t="s">
        <v>59</v>
      </c>
      <c r="IS25" s="107" t="s">
        <v>73</v>
      </c>
      <c r="IT25" s="108" t="s">
        <v>4</v>
      </c>
      <c r="IU25" s="107" t="s">
        <v>59</v>
      </c>
      <c r="IV25" s="107" t="s">
        <v>73</v>
      </c>
      <c r="IW25" s="108" t="s">
        <v>4</v>
      </c>
      <c r="IX25" s="107" t="s">
        <v>59</v>
      </c>
      <c r="IY25" s="107" t="s">
        <v>73</v>
      </c>
      <c r="IZ25" s="108" t="s">
        <v>4</v>
      </c>
      <c r="JA25" s="107" t="s">
        <v>59</v>
      </c>
      <c r="JB25" s="107" t="s">
        <v>73</v>
      </c>
      <c r="JC25" s="108" t="s">
        <v>4</v>
      </c>
      <c r="JD25" s="948"/>
      <c r="JE25" s="823"/>
      <c r="JF25" s="825"/>
      <c r="JH25" s="61">
        <v>23</v>
      </c>
      <c r="JI25" s="62" t="str">
        <f>IF(I9&lt;&gt;"", "✔", "")</f>
        <v>✔</v>
      </c>
      <c r="JJ25" s="61">
        <v>23</v>
      </c>
      <c r="JK25" s="62" t="str" cm="1">
        <f t="array" ref="JK25">IF(INDEX(AB:AB, (ROW()-ROW($JK$3))*3 + 3) &lt;&gt; "", "✔", "")</f>
        <v>✔</v>
      </c>
      <c r="JL25" s="61">
        <v>23</v>
      </c>
      <c r="JM25" s="62" t="str" cm="1">
        <f t="array" ref="JM25">IF(INDEX(AU:AU, (ROW()-ROW($JM$3))*3 + 3) &lt;&gt; "", "✔", "")</f>
        <v>✔</v>
      </c>
      <c r="JN25" s="61">
        <v>23</v>
      </c>
      <c r="JO25" s="62" t="str" cm="1">
        <f t="array" ref="JO25">IF(INDEX(BN:BN, (ROW()-ROW($BN$3))*3 + 3) &lt;&gt; "", "✔", "")</f>
        <v/>
      </c>
      <c r="JP25" s="61">
        <v>23</v>
      </c>
      <c r="JQ25" s="62" t="str" cm="1">
        <f t="array" ref="JQ25">IF(INDEX(CG:CG, (ROW()-ROW($CG$3))*3 + 3) &lt;&gt; "", "✔", "")</f>
        <v>✔</v>
      </c>
      <c r="JR25" s="61">
        <v>23</v>
      </c>
      <c r="JS25" s="62" t="str" cm="1">
        <f t="array" ref="JS25">IF(INDEX(CZ:CZ, (ROW()-ROW($CZ$3))*3 + 3) &lt;&gt; "", "✔", "")</f>
        <v>✔</v>
      </c>
      <c r="JT25" s="61">
        <v>23</v>
      </c>
      <c r="JU25" s="62" t="str" cm="1">
        <f t="array" ref="JU25">IF(INDEX(DS:DS, (ROW()-ROW($DS$3))*3 + 3) &lt;&gt; "", "✔", "")</f>
        <v/>
      </c>
      <c r="JV25" s="61">
        <v>23</v>
      </c>
      <c r="JW25" s="62" t="str" cm="1">
        <f t="array" ref="JW25">IF(INDEX(EL:EL, (ROW()-ROW($EL$3))*3 + 3) &lt;&gt; "", "✔", "")</f>
        <v>✔</v>
      </c>
      <c r="JX25" s="61">
        <v>23</v>
      </c>
      <c r="JY25" s="62" t="str" cm="1">
        <f t="array" ref="JY25">IF(INDEX(FE:FE, (ROW()-ROW($FE$3))*3 + 3) &lt;&gt; "", "✔", "")</f>
        <v>✔</v>
      </c>
      <c r="JZ25" s="61">
        <v>23</v>
      </c>
      <c r="KA25" s="62" t="str" cm="1">
        <f t="array" ref="KA25">IF(INDEX(FX:FX, (ROW()-ROW($FX$3))*3 + 3) &lt;&gt; "", "✔", "")</f>
        <v/>
      </c>
      <c r="KB25" s="61">
        <v>23</v>
      </c>
      <c r="KC25" s="62" t="str" cm="1">
        <f t="array" ref="KC25">IF(INDEX(GT:GT, (ROW()-ROW($GT$3))*3 + 3) &lt;&gt; "", "✔", "")</f>
        <v>✔</v>
      </c>
      <c r="KD25" s="61">
        <v>23</v>
      </c>
      <c r="KE25" s="62" t="str" cm="1">
        <f t="array" ref="KE25">IF(INDEX(HP:HP, (ROW()-ROW($HP$3))*3 + 3) &lt;&gt; "", "✔", "")</f>
        <v>✔</v>
      </c>
      <c r="KG25" s="231">
        <v>110</v>
      </c>
      <c r="KH25" s="230">
        <f t="shared" si="0"/>
        <v>49.895119999999999</v>
      </c>
    </row>
    <row r="26" spans="1:294" ht="15">
      <c r="H26" s="934"/>
      <c r="I26" s="229">
        <v>4</v>
      </c>
      <c r="J26" s="229">
        <v>8</v>
      </c>
      <c r="K26" s="229">
        <v>49.9</v>
      </c>
      <c r="L26" s="229">
        <v>5</v>
      </c>
      <c r="M26" s="229">
        <v>6</v>
      </c>
      <c r="N26" s="229">
        <v>12.5</v>
      </c>
      <c r="O26" s="229">
        <v>4</v>
      </c>
      <c r="P26" s="229">
        <v>8</v>
      </c>
      <c r="Q26" s="229">
        <f>7+((10+2.5)*2)</f>
        <v>32</v>
      </c>
      <c r="R26" s="229">
        <v>4</v>
      </c>
      <c r="S26" s="229">
        <v>10</v>
      </c>
      <c r="T26" s="229">
        <f>Y24/5</f>
        <v>18.86</v>
      </c>
      <c r="U26" s="233"/>
      <c r="V26" s="233"/>
      <c r="W26" s="233"/>
      <c r="X26" s="229">
        <f>(I26*J26*K26)+(L26*M26*N26)+(O26*P26*Q26)+(R26*S26*T26)+(U26*V26*W26)</f>
        <v>3750.2000000000003</v>
      </c>
      <c r="Y26" s="941"/>
      <c r="AA26" s="842"/>
      <c r="AB26" s="233"/>
      <c r="AC26" s="233"/>
      <c r="AD26" s="233"/>
      <c r="AE26" s="233"/>
      <c r="AF26" s="233"/>
      <c r="AG26" s="233"/>
      <c r="AH26" s="233"/>
      <c r="AI26" s="233"/>
      <c r="AJ26" s="233"/>
      <c r="AK26" s="233"/>
      <c r="AL26" s="233"/>
      <c r="AM26" s="233"/>
      <c r="AN26" s="233"/>
      <c r="AO26" s="233"/>
      <c r="AP26" s="233"/>
      <c r="AQ26" s="229">
        <f>(AB26*AC26*AD26)+(AE26*AF26*AG26)+(AH26*AI26*AJ26)+(AK26*AL26*AM26)+(AN26*AO26*AP26)</f>
        <v>0</v>
      </c>
      <c r="AR26" s="826"/>
      <c r="AT26" s="842"/>
      <c r="AU26" s="229">
        <v>1</v>
      </c>
      <c r="AV26" s="229">
        <v>40</v>
      </c>
      <c r="AW26" s="229">
        <f>BK24</f>
        <v>89.9</v>
      </c>
      <c r="AX26" s="229">
        <v>2</v>
      </c>
      <c r="AY26" s="229">
        <v>5</v>
      </c>
      <c r="AZ26" s="229">
        <v>17.5</v>
      </c>
      <c r="BA26" s="233"/>
      <c r="BB26" s="233"/>
      <c r="BC26" s="233"/>
      <c r="BD26" s="233"/>
      <c r="BE26" s="233"/>
      <c r="BF26" s="233"/>
      <c r="BG26" s="233"/>
      <c r="BH26" s="233"/>
      <c r="BI26" s="233"/>
      <c r="BJ26" s="229">
        <f>(AU26*AV26*AW26)+(AX26*AY26*AZ26)+(BA26*BB26*BC26)+(BD26*BE26*BF26)+(BG26*BH26*BI26)</f>
        <v>3771</v>
      </c>
      <c r="BK26" s="826"/>
      <c r="BL26" s="118"/>
      <c r="BM26" s="858"/>
      <c r="BN26" s="229">
        <v>1</v>
      </c>
      <c r="BO26" s="229">
        <v>30</v>
      </c>
      <c r="BP26" s="229">
        <f>CD24</f>
        <v>87.8</v>
      </c>
      <c r="BQ26" s="233"/>
      <c r="BR26" s="233"/>
      <c r="BS26" s="233"/>
      <c r="BT26" s="233"/>
      <c r="BU26" s="233"/>
      <c r="BV26" s="233"/>
      <c r="BW26" s="233"/>
      <c r="BX26" s="233"/>
      <c r="BY26" s="233"/>
      <c r="BZ26" s="233"/>
      <c r="CA26" s="233"/>
      <c r="CB26" s="233"/>
      <c r="CC26" s="229">
        <f>(BN26*BO26*BP26)+(BQ26*BR26*BS26)+(BT26*BU26*BV26)+(BW26*BX26*BY26)+(BZ26*CA26*CB26)</f>
        <v>2634</v>
      </c>
      <c r="CD26" s="826"/>
      <c r="CF26" s="875"/>
      <c r="CG26" s="229">
        <v>1</v>
      </c>
      <c r="CH26" s="229">
        <v>42</v>
      </c>
      <c r="CI26" s="229">
        <f>CW24+5</f>
        <v>90.5</v>
      </c>
      <c r="CJ26" s="233"/>
      <c r="CK26" s="233"/>
      <c r="CL26" s="233"/>
      <c r="CM26" s="233"/>
      <c r="CN26" s="233"/>
      <c r="CO26" s="233"/>
      <c r="CP26" s="233"/>
      <c r="CQ26" s="233"/>
      <c r="CR26" s="233"/>
      <c r="CS26" s="233"/>
      <c r="CT26" s="233"/>
      <c r="CU26" s="233"/>
      <c r="CV26" s="229">
        <f>(CG26*CH26*CI26)+(CJ26*CK26*CL26)+(CM26*CN26*CO26)+(CP26*CQ26*CR26)+(CS26*CT26*CU26)</f>
        <v>3801</v>
      </c>
      <c r="CW26" s="826"/>
      <c r="CX26" s="118"/>
      <c r="CY26" s="866"/>
      <c r="CZ26" s="229">
        <v>4</v>
      </c>
      <c r="DA26" s="126">
        <f>((12*3)+(10*1))/4</f>
        <v>11.5</v>
      </c>
      <c r="DB26" s="126">
        <f>((5*1)+(7.5*2)+(10*1))/4</f>
        <v>7.5</v>
      </c>
      <c r="DC26" s="229">
        <v>4</v>
      </c>
      <c r="DD26" s="229">
        <v>10</v>
      </c>
      <c r="DE26" s="229">
        <v>20</v>
      </c>
      <c r="DF26" s="229">
        <v>4</v>
      </c>
      <c r="DG26" s="229">
        <v>10</v>
      </c>
      <c r="DH26" s="229">
        <v>27.2</v>
      </c>
      <c r="DI26" s="229">
        <v>4</v>
      </c>
      <c r="DJ26" s="229">
        <v>10</v>
      </c>
      <c r="DK26" s="229">
        <v>9.1</v>
      </c>
      <c r="DL26" s="233"/>
      <c r="DM26" s="233"/>
      <c r="DN26" s="233"/>
      <c r="DO26" s="229">
        <f>(CZ26*DA26*DB26)+(DC26*DD26*DE26)+(DF26*DG26*DH26)+(DI26*DJ26*DK26)+(DL26*DM26*DN26)</f>
        <v>2597</v>
      </c>
      <c r="DP26" s="826"/>
      <c r="DR26" s="858"/>
      <c r="DS26" s="229">
        <v>1</v>
      </c>
      <c r="DT26" s="229">
        <v>30</v>
      </c>
      <c r="DU26" s="229">
        <f>$EI24+15</f>
        <v>96.7</v>
      </c>
      <c r="DV26" s="233"/>
      <c r="DW26" s="233"/>
      <c r="DX26" s="233"/>
      <c r="DY26" s="233"/>
      <c r="DZ26" s="233"/>
      <c r="EA26" s="233"/>
      <c r="EB26" s="233"/>
      <c r="EC26" s="233"/>
      <c r="ED26" s="233"/>
      <c r="EE26" s="233"/>
      <c r="EF26" s="233"/>
      <c r="EG26" s="233"/>
      <c r="EH26" s="229">
        <f>(DS26*DT26*DU26)+(DV26*DW26*DX26)+(DY26*DZ26*EA26)+(EB26*EC26*ED26)+(EE26*EF26*EG26)</f>
        <v>2901</v>
      </c>
      <c r="EI26" s="826"/>
      <c r="EK26" s="878"/>
      <c r="EL26" s="229">
        <v>3</v>
      </c>
      <c r="EM26" s="229">
        <v>12</v>
      </c>
      <c r="EN26" s="229">
        <v>59</v>
      </c>
      <c r="EO26" s="229">
        <v>3</v>
      </c>
      <c r="EP26" s="229">
        <v>12</v>
      </c>
      <c r="EQ26" s="229">
        <v>25</v>
      </c>
      <c r="ER26" s="229">
        <v>3</v>
      </c>
      <c r="ES26" s="126">
        <v>12</v>
      </c>
      <c r="ET26" s="229">
        <v>20</v>
      </c>
      <c r="EU26" s="233"/>
      <c r="EV26" s="233"/>
      <c r="EW26" s="233"/>
      <c r="EX26" s="233"/>
      <c r="EY26" s="233"/>
      <c r="EZ26" s="233"/>
      <c r="FA26" s="229">
        <f>(EL26*EM26*EN26)+(EO26*EP26*EQ26)+(ER26*ES26*ET26)+(EU26*EV26*EW26)+(EX26*EY26*EZ26)</f>
        <v>3744</v>
      </c>
      <c r="FB26" s="826"/>
      <c r="FD26" s="872"/>
      <c r="FE26" s="229">
        <v>4</v>
      </c>
      <c r="FF26" s="229">
        <f>((12*1)+(8*3))/4</f>
        <v>9</v>
      </c>
      <c r="FG26" s="126">
        <f>((27*1)+(54*3))/4</f>
        <v>47.25</v>
      </c>
      <c r="FH26" s="229">
        <v>3</v>
      </c>
      <c r="FI26" s="229">
        <v>8</v>
      </c>
      <c r="FJ26" s="126">
        <v>15</v>
      </c>
      <c r="FK26" s="229">
        <v>4</v>
      </c>
      <c r="FL26" s="229">
        <f>((12*2)+(8*1))/4</f>
        <v>8</v>
      </c>
      <c r="FM26" s="126">
        <f>((31.8*1)+(34*2))/4</f>
        <v>24.95</v>
      </c>
      <c r="FN26" s="233"/>
      <c r="FO26" s="233"/>
      <c r="FP26" s="233"/>
      <c r="FQ26" s="233"/>
      <c r="FR26" s="233"/>
      <c r="FS26" s="233"/>
      <c r="FT26" s="229">
        <f>(FE26*FF26*FG26)+(FH26*FI26*FJ26)+(FK26*FL26*FM26)+(FN26*FO26*FP26)+(FQ26*FR26*FS26)</f>
        <v>2859.4</v>
      </c>
      <c r="FU26" s="826"/>
      <c r="FW26" s="847"/>
      <c r="FX26" s="233"/>
      <c r="FY26" s="233"/>
      <c r="FZ26" s="233"/>
      <c r="GA26" s="233"/>
      <c r="GB26" s="233"/>
      <c r="GC26" s="233"/>
      <c r="GD26" s="233"/>
      <c r="GE26" s="233"/>
      <c r="GF26" s="233"/>
      <c r="GG26" s="233"/>
      <c r="GH26" s="233"/>
      <c r="GI26" s="233"/>
      <c r="GJ26" s="233"/>
      <c r="GK26" s="233"/>
      <c r="GL26" s="233"/>
      <c r="GM26" s="233"/>
      <c r="GN26" s="233"/>
      <c r="GO26" s="233"/>
      <c r="GP26" s="229">
        <f>(FX26*FY26*FZ26)+(GA26*GB26*GC26)+(GD26*GE26*GF26)+(GG26*GH26*GI26)+(GJ26*GK26*GL26)</f>
        <v>0</v>
      </c>
      <c r="GQ26" s="826"/>
      <c r="GR26" s="118"/>
      <c r="GS26" s="842"/>
      <c r="GT26" s="229">
        <v>4</v>
      </c>
      <c r="GU26" s="126">
        <f>((14*1)+(16*3))/4</f>
        <v>15.5</v>
      </c>
      <c r="GV26" s="229">
        <v>12</v>
      </c>
      <c r="GW26" s="229">
        <v>4</v>
      </c>
      <c r="GX26" s="126">
        <f>((20*2)+(22*2))/4</f>
        <v>21</v>
      </c>
      <c r="GY26" s="229">
        <v>12</v>
      </c>
      <c r="GZ26" s="229">
        <v>4</v>
      </c>
      <c r="HA26" s="126">
        <f>((12*1)+(14*3))/4</f>
        <v>13.5</v>
      </c>
      <c r="HB26" s="229">
        <v>12</v>
      </c>
      <c r="HC26" s="229">
        <v>4</v>
      </c>
      <c r="HD26" s="126">
        <v>14</v>
      </c>
      <c r="HE26" s="229">
        <v>12</v>
      </c>
      <c r="HF26" s="233"/>
      <c r="HG26" s="233"/>
      <c r="HH26" s="233"/>
      <c r="HI26" s="233"/>
      <c r="HJ26" s="233"/>
      <c r="HK26" s="233"/>
      <c r="HL26" s="229">
        <f>(GT26*GU26*GV26)+(GW26*GX26*GY26)+(GZ26*HA26*HB26)+(HC26*HD26*HE26)+(HF26*HG26*HH26)</f>
        <v>3072</v>
      </c>
      <c r="HM26" s="826"/>
      <c r="HN26" s="118"/>
      <c r="HO26" s="872"/>
      <c r="HP26" s="229">
        <v>3</v>
      </c>
      <c r="HQ26" s="126">
        <v>14</v>
      </c>
      <c r="HR26" s="229">
        <v>17.5</v>
      </c>
      <c r="HS26" s="229">
        <v>3</v>
      </c>
      <c r="HT26" s="229">
        <f>((24*1)+(28*1)+(30*1))/3</f>
        <v>27.333333333333332</v>
      </c>
      <c r="HU26" s="229">
        <f>II24*(1.2/3)</f>
        <v>31.319999999999997</v>
      </c>
      <c r="HV26" s="229">
        <v>2</v>
      </c>
      <c r="HW26" s="126">
        <v>12</v>
      </c>
      <c r="HX26" s="126">
        <v>22.7</v>
      </c>
      <c r="HY26" s="233"/>
      <c r="HZ26" s="233"/>
      <c r="IA26" s="233"/>
      <c r="IB26" s="233"/>
      <c r="IC26" s="233"/>
      <c r="ID26" s="233"/>
      <c r="IE26" s="233"/>
      <c r="IF26" s="233"/>
      <c r="IG26" s="233"/>
      <c r="IH26" s="229">
        <f>(HP26*HQ26*HR26)+(HS26*HT26*HU26)+(HV26*HW26*HX26)+(HY26*HZ26*IA26)+(IB26*IC26*ID26)</f>
        <v>3848.04</v>
      </c>
      <c r="II26" s="826"/>
      <c r="IK26" s="875"/>
      <c r="IL26" s="233"/>
      <c r="IM26" s="233"/>
      <c r="IN26" s="233"/>
      <c r="IO26" s="233"/>
      <c r="IP26" s="233"/>
      <c r="IQ26" s="233"/>
      <c r="IR26" s="233"/>
      <c r="IS26" s="233"/>
      <c r="IT26" s="233"/>
      <c r="IU26" s="233"/>
      <c r="IV26" s="233"/>
      <c r="IW26" s="233"/>
      <c r="IX26" s="233"/>
      <c r="IY26" s="233"/>
      <c r="IZ26" s="233"/>
      <c r="JA26" s="233"/>
      <c r="JB26" s="233"/>
      <c r="JC26" s="233"/>
      <c r="JD26" s="949"/>
      <c r="JE26" s="229">
        <f>(IL26*IM26*IN26)+(IO26*IP26*IQ26)+(IR26*IS26*IT26)+(IU26*IV26*IW26)+(IX26*IY26*IZ26)</f>
        <v>0</v>
      </c>
      <c r="JF26" s="826"/>
      <c r="JH26" s="61">
        <v>24</v>
      </c>
      <c r="JI26" s="62" t="str">
        <f>IF(I12&lt;&gt;"", "✔", "")</f>
        <v>✔</v>
      </c>
      <c r="JJ26" s="61">
        <v>24</v>
      </c>
      <c r="JK26" s="62" t="str" cm="1">
        <f t="array" ref="JK26">IF(INDEX(AB:AB, (ROW()-ROW($JK$3))*3 + 3) &lt;&gt; "", "✔", "")</f>
        <v>✔</v>
      </c>
      <c r="JL26" s="61">
        <v>24</v>
      </c>
      <c r="JM26" s="62" t="str" cm="1">
        <f t="array" ref="JM26">IF(INDEX(AU:AU, (ROW()-ROW($JM$3))*3 + 3) &lt;&gt; "", "✔", "")</f>
        <v>✔</v>
      </c>
      <c r="JN26" s="124">
        <v>24</v>
      </c>
      <c r="JO26" s="82" t="str" cm="1">
        <f t="array" ref="JO26">IF(INDEX(BN:BN, (ROW()-ROW($BN$3))*3 + 3) &lt;&gt; "", "✔", "")</f>
        <v>✔</v>
      </c>
      <c r="JP26" s="124">
        <v>24</v>
      </c>
      <c r="JQ26" s="82" t="str" cm="1">
        <f t="array" ref="JQ26">IF(INDEX(CG:CG, (ROW()-ROW($CG$3))*3 + 3) &lt;&gt; "", "✔", "")</f>
        <v/>
      </c>
      <c r="JR26" s="124">
        <v>24</v>
      </c>
      <c r="JS26" s="82" t="str" cm="1">
        <f t="array" ref="JS26">IF(INDEX(CZ:CZ, (ROW()-ROW($CZ$3))*3 + 3) &lt;&gt; "", "✔", "")</f>
        <v/>
      </c>
      <c r="JT26" s="124">
        <v>24</v>
      </c>
      <c r="JU26" s="82" t="str" cm="1">
        <f t="array" ref="JU26">IF(INDEX(DS:DS, (ROW()-ROW($DS$3))*3 + 3) &lt;&gt; "", "✔", "")</f>
        <v>✔</v>
      </c>
      <c r="JV26" s="124">
        <v>24</v>
      </c>
      <c r="JW26" s="82" t="str" cm="1">
        <f t="array" ref="JW26">IF(INDEX(EL:EL, (ROW()-ROW($EL$3))*3 + 3) &lt;&gt; "", "✔", "")</f>
        <v>✔</v>
      </c>
      <c r="JX26" s="124">
        <v>24</v>
      </c>
      <c r="JY26" s="82" t="str" cm="1">
        <f t="array" ref="JY26">IF(INDEX(FE:FE, (ROW()-ROW($FE$3))*3 + 3) &lt;&gt; "", "✔", "")</f>
        <v/>
      </c>
      <c r="JZ26" s="124">
        <v>24</v>
      </c>
      <c r="KA26" s="82" t="str" cm="1">
        <f t="array" ref="KA26">IF(INDEX(FX:FX, (ROW()-ROW($FX$3))*3 + 3) &lt;&gt; "", "✔", "")</f>
        <v>✔</v>
      </c>
      <c r="KB26" s="124">
        <v>24</v>
      </c>
      <c r="KC26" s="82" t="str" cm="1">
        <f t="array" ref="KC26">IF(INDEX(GT:GT, (ROW()-ROW($GT$3))*3 + 3) &lt;&gt; "", "✔", "")</f>
        <v/>
      </c>
      <c r="KD26" s="124">
        <v>24</v>
      </c>
      <c r="KE26" s="82" t="str" cm="1">
        <f t="array" ref="KE26">IF(INDEX(HP:HP, (ROW()-ROW($HP$3))*3 + 3) &lt;&gt; "", "✔", "")</f>
        <v>✔</v>
      </c>
      <c r="KG26" s="231">
        <v>115</v>
      </c>
      <c r="KH26" s="230">
        <f t="shared" si="0"/>
        <v>52.163080000000001</v>
      </c>
    </row>
    <row r="27" spans="1:294" ht="15">
      <c r="H27" s="935">
        <v>45686</v>
      </c>
      <c r="I27" s="844"/>
      <c r="J27" s="844"/>
      <c r="K27" s="844"/>
      <c r="L27" s="844"/>
      <c r="M27" s="844"/>
      <c r="N27" s="844"/>
      <c r="O27" s="844"/>
      <c r="P27" s="844"/>
      <c r="Q27" s="844"/>
      <c r="R27" s="844"/>
      <c r="S27" s="844"/>
      <c r="T27" s="844"/>
      <c r="U27" s="844"/>
      <c r="V27" s="844"/>
      <c r="W27" s="844"/>
      <c r="X27" s="823">
        <f>COUNTA(I27:W27)</f>
        <v>0</v>
      </c>
      <c r="Y27" s="939">
        <f>Y24</f>
        <v>94.3</v>
      </c>
      <c r="AA27" s="864">
        <v>45697</v>
      </c>
      <c r="AB27" s="849" t="s">
        <v>72</v>
      </c>
      <c r="AC27" s="849"/>
      <c r="AD27" s="849"/>
      <c r="AE27" s="848" t="s">
        <v>77</v>
      </c>
      <c r="AF27" s="848"/>
      <c r="AG27" s="848"/>
      <c r="AH27" s="849" t="s">
        <v>119</v>
      </c>
      <c r="AI27" s="849"/>
      <c r="AJ27" s="849"/>
      <c r="AK27" s="882" t="s">
        <v>14</v>
      </c>
      <c r="AL27" s="883"/>
      <c r="AM27" s="884"/>
      <c r="AN27" s="882" t="s">
        <v>100</v>
      </c>
      <c r="AO27" s="883"/>
      <c r="AP27" s="884"/>
      <c r="AQ27" s="823">
        <f>COUNTA(AB27:AP27)</f>
        <v>5</v>
      </c>
      <c r="AR27" s="824">
        <v>92.3</v>
      </c>
      <c r="AT27" s="864">
        <v>45725</v>
      </c>
      <c r="AU27" s="848" t="s">
        <v>77</v>
      </c>
      <c r="AV27" s="848"/>
      <c r="AW27" s="848"/>
      <c r="AX27" s="849" t="s">
        <v>119</v>
      </c>
      <c r="AY27" s="849"/>
      <c r="AZ27" s="849"/>
      <c r="BA27" s="886" t="s">
        <v>82</v>
      </c>
      <c r="BB27" s="886"/>
      <c r="BC27" s="886"/>
      <c r="BD27" s="890" t="s">
        <v>93</v>
      </c>
      <c r="BE27" s="890"/>
      <c r="BF27" s="890"/>
      <c r="BG27" s="834"/>
      <c r="BH27" s="835"/>
      <c r="BI27" s="836"/>
      <c r="BJ27" s="823">
        <f>COUNTA(AU27:BI27)</f>
        <v>4</v>
      </c>
      <c r="BK27" s="824">
        <v>89.8</v>
      </c>
      <c r="BL27" s="118"/>
      <c r="BM27" s="845">
        <v>45756</v>
      </c>
      <c r="BN27" s="849" t="s">
        <v>79</v>
      </c>
      <c r="BO27" s="849"/>
      <c r="BP27" s="849"/>
      <c r="BQ27" s="886" t="s">
        <v>80</v>
      </c>
      <c r="BR27" s="886"/>
      <c r="BS27" s="886"/>
      <c r="BT27" s="886" t="s">
        <v>81</v>
      </c>
      <c r="BU27" s="886"/>
      <c r="BV27" s="886"/>
      <c r="BW27" s="886" t="s">
        <v>82</v>
      </c>
      <c r="BX27" s="886"/>
      <c r="BY27" s="886"/>
      <c r="BZ27" s="844"/>
      <c r="CA27" s="844"/>
      <c r="CB27" s="844"/>
      <c r="CC27" s="823">
        <f>COUNTA(BN27:CB27)</f>
        <v>4</v>
      </c>
      <c r="CD27" s="824">
        <v>87.8</v>
      </c>
      <c r="CF27" s="876">
        <v>45786</v>
      </c>
      <c r="CG27" s="859"/>
      <c r="CH27" s="859"/>
      <c r="CI27" s="859"/>
      <c r="CJ27" s="859"/>
      <c r="CK27" s="859"/>
      <c r="CL27" s="859"/>
      <c r="CM27" s="844"/>
      <c r="CN27" s="844"/>
      <c r="CO27" s="844"/>
      <c r="CP27" s="844"/>
      <c r="CQ27" s="844"/>
      <c r="CR27" s="844"/>
      <c r="CS27" s="844"/>
      <c r="CT27" s="844"/>
      <c r="CU27" s="844"/>
      <c r="CV27" s="823">
        <f>COUNTA(CG27:CU27)</f>
        <v>0</v>
      </c>
      <c r="CW27" s="824">
        <f>CW24</f>
        <v>85.5</v>
      </c>
      <c r="CX27" s="118"/>
      <c r="CY27" s="870">
        <v>45817</v>
      </c>
      <c r="CZ27" s="848" t="s">
        <v>104</v>
      </c>
      <c r="DA27" s="848"/>
      <c r="DB27" s="848"/>
      <c r="DC27" s="882" t="s">
        <v>101</v>
      </c>
      <c r="DD27" s="883"/>
      <c r="DE27" s="884"/>
      <c r="DF27" s="882" t="s">
        <v>14</v>
      </c>
      <c r="DG27" s="883"/>
      <c r="DH27" s="884"/>
      <c r="DI27" s="844"/>
      <c r="DJ27" s="844"/>
      <c r="DK27" s="844"/>
      <c r="DL27" s="844"/>
      <c r="DM27" s="844"/>
      <c r="DN27" s="844"/>
      <c r="DO27" s="823">
        <f>COUNTA(CZ27:DN27)</f>
        <v>3</v>
      </c>
      <c r="DP27" s="824">
        <v>84</v>
      </c>
      <c r="DR27" s="845">
        <v>45847</v>
      </c>
      <c r="DS27" s="859"/>
      <c r="DT27" s="859"/>
      <c r="DU27" s="859"/>
      <c r="DV27" s="859"/>
      <c r="DW27" s="859"/>
      <c r="DX27" s="859"/>
      <c r="DY27" s="844"/>
      <c r="DZ27" s="844"/>
      <c r="EA27" s="844"/>
      <c r="EB27" s="844"/>
      <c r="EC27" s="844"/>
      <c r="ED27" s="844"/>
      <c r="EE27" s="844"/>
      <c r="EF27" s="844"/>
      <c r="EG27" s="844"/>
      <c r="EH27" s="823">
        <f>COUNTA(DS27:EG27)</f>
        <v>0</v>
      </c>
      <c r="EI27" s="824">
        <f>EI24</f>
        <v>81.7</v>
      </c>
      <c r="EK27" s="840">
        <v>45878</v>
      </c>
      <c r="EL27" s="859"/>
      <c r="EM27" s="859"/>
      <c r="EN27" s="859"/>
      <c r="EO27" s="859"/>
      <c r="EP27" s="859"/>
      <c r="EQ27" s="859"/>
      <c r="ER27" s="844"/>
      <c r="ES27" s="844"/>
      <c r="ET27" s="844"/>
      <c r="EU27" s="844"/>
      <c r="EV27" s="844"/>
      <c r="EW27" s="844"/>
      <c r="EX27" s="844"/>
      <c r="EY27" s="844"/>
      <c r="EZ27" s="844"/>
      <c r="FA27" s="823">
        <f>COUNTA(EL27:EZ27)</f>
        <v>0</v>
      </c>
      <c r="FB27" s="824">
        <f>FB24</f>
        <v>81</v>
      </c>
      <c r="FD27" s="856">
        <v>45909</v>
      </c>
      <c r="FE27" s="848" t="s">
        <v>70</v>
      </c>
      <c r="FF27" s="848"/>
      <c r="FG27" s="848"/>
      <c r="FH27" s="859"/>
      <c r="FI27" s="859"/>
      <c r="FJ27" s="859"/>
      <c r="FK27" s="834"/>
      <c r="FL27" s="835"/>
      <c r="FM27" s="836"/>
      <c r="FN27" s="867"/>
      <c r="FO27" s="868"/>
      <c r="FP27" s="869"/>
      <c r="FQ27" s="834"/>
      <c r="FR27" s="835"/>
      <c r="FS27" s="836"/>
      <c r="FT27" s="823">
        <f>COUNTA(FE27:FS27)</f>
        <v>1</v>
      </c>
      <c r="FU27" s="824">
        <v>78.7</v>
      </c>
      <c r="FW27" s="873">
        <v>45939</v>
      </c>
      <c r="FX27" s="849" t="s">
        <v>89</v>
      </c>
      <c r="FY27" s="849"/>
      <c r="FZ27" s="849"/>
      <c r="GA27" s="849" t="s">
        <v>115</v>
      </c>
      <c r="GB27" s="849"/>
      <c r="GC27" s="849"/>
      <c r="GD27" s="849" t="s">
        <v>114</v>
      </c>
      <c r="GE27" s="849"/>
      <c r="GF27" s="849"/>
      <c r="GG27" s="879" t="s">
        <v>78</v>
      </c>
      <c r="GH27" s="880"/>
      <c r="GI27" s="881"/>
      <c r="GJ27" s="844"/>
      <c r="GK27" s="844"/>
      <c r="GL27" s="844"/>
      <c r="GM27" s="844"/>
      <c r="GN27" s="844"/>
      <c r="GO27" s="844"/>
      <c r="GP27" s="823">
        <f>COUNTA(FX27:GO27)</f>
        <v>4</v>
      </c>
      <c r="GQ27" s="824">
        <v>79.400000000000006</v>
      </c>
      <c r="GR27" s="118"/>
      <c r="GS27" s="864">
        <v>45970</v>
      </c>
      <c r="GT27" s="849" t="s">
        <v>89</v>
      </c>
      <c r="GU27" s="849"/>
      <c r="GV27" s="849"/>
      <c r="GW27" s="848" t="s">
        <v>103</v>
      </c>
      <c r="GX27" s="848"/>
      <c r="GY27" s="848"/>
      <c r="GZ27" s="890" t="s">
        <v>131</v>
      </c>
      <c r="HA27" s="890"/>
      <c r="HB27" s="890"/>
      <c r="HC27" s="882" t="s">
        <v>85</v>
      </c>
      <c r="HD27" s="883"/>
      <c r="HE27" s="884"/>
      <c r="HF27" s="879" t="s">
        <v>78</v>
      </c>
      <c r="HG27" s="880"/>
      <c r="HH27" s="881"/>
      <c r="HI27" s="834"/>
      <c r="HJ27" s="835"/>
      <c r="HK27" s="836"/>
      <c r="HL27" s="823">
        <f>COUNTA(GT27:HK27)</f>
        <v>5</v>
      </c>
      <c r="HM27" s="824">
        <v>78.099999999999994</v>
      </c>
      <c r="HN27" s="118"/>
      <c r="HO27" s="856">
        <v>46000</v>
      </c>
      <c r="HP27" s="848" t="s">
        <v>70</v>
      </c>
      <c r="HQ27" s="848"/>
      <c r="HR27" s="848"/>
      <c r="HS27" s="859"/>
      <c r="HT27" s="859"/>
      <c r="HU27" s="859"/>
      <c r="HV27" s="834"/>
      <c r="HW27" s="835"/>
      <c r="HX27" s="836"/>
      <c r="HY27" s="867"/>
      <c r="HZ27" s="868"/>
      <c r="IA27" s="869"/>
      <c r="IB27" s="834"/>
      <c r="IC27" s="835"/>
      <c r="ID27" s="836"/>
      <c r="IE27" s="834"/>
      <c r="IF27" s="835"/>
      <c r="IG27" s="836"/>
      <c r="IH27" s="823">
        <f>COUNTA(HP27:IG27)</f>
        <v>1</v>
      </c>
      <c r="II27" s="824">
        <v>78.099999999999994</v>
      </c>
      <c r="IK27" s="876">
        <v>46031</v>
      </c>
      <c r="IL27" s="849" t="s">
        <v>377</v>
      </c>
      <c r="IM27" s="849"/>
      <c r="IN27" s="849"/>
      <c r="IO27" s="848" t="s">
        <v>115</v>
      </c>
      <c r="IP27" s="848"/>
      <c r="IQ27" s="848"/>
      <c r="IR27" s="848" t="s">
        <v>378</v>
      </c>
      <c r="IS27" s="848"/>
      <c r="IT27" s="848"/>
      <c r="IU27" s="890" t="s">
        <v>106</v>
      </c>
      <c r="IV27" s="890"/>
      <c r="IW27" s="890"/>
      <c r="IX27" s="834"/>
      <c r="IY27" s="835"/>
      <c r="IZ27" s="836"/>
      <c r="JA27" s="834"/>
      <c r="JB27" s="835"/>
      <c r="JC27" s="836"/>
      <c r="JD27" s="232" t="s">
        <v>425</v>
      </c>
      <c r="JE27" s="823">
        <f>COUNTA(IL27:JC27)</f>
        <v>4</v>
      </c>
      <c r="JF27" s="824">
        <v>76.7</v>
      </c>
      <c r="JH27" s="58">
        <v>25</v>
      </c>
      <c r="JI27" s="59" t="str">
        <f>IF(I15&lt;&gt;"", "✔", "")</f>
        <v/>
      </c>
      <c r="JJ27" s="61">
        <v>25</v>
      </c>
      <c r="JK27" s="62" t="str" cm="1">
        <f t="array" ref="JK27">IF(INDEX(AB:AB, (ROW()-ROW($JK$3))*3 + 3) &lt;&gt; "", "✔", "")</f>
        <v/>
      </c>
      <c r="JL27" s="61">
        <v>25</v>
      </c>
      <c r="JM27" s="62" t="str" cm="1">
        <f t="array" ref="JM27">IF(INDEX(AU:AU, (ROW()-ROW($JM$3))*3 + 3) &lt;&gt; "", "✔", "")</f>
        <v>✔</v>
      </c>
      <c r="JN27" s="61">
        <v>25</v>
      </c>
      <c r="JO27" s="62" t="str" cm="1">
        <f t="array" ref="JO27">IF(INDEX(BN:BN, (ROW()-ROW($BN$3))*3 + 3) &lt;&gt; "", "✔", "")</f>
        <v/>
      </c>
      <c r="JP27" s="61">
        <v>25</v>
      </c>
      <c r="JQ27" s="62" t="str" cm="1">
        <f t="array" ref="JQ27">IF(INDEX(CG:CG, (ROW()-ROW($CG$3))*3 + 3) &lt;&gt; "", "✔", "")</f>
        <v/>
      </c>
      <c r="JR27" s="61">
        <v>25</v>
      </c>
      <c r="JS27" s="62" t="str" cm="1">
        <f t="array" ref="JS27">IF(INDEX(CZ:CZ, (ROW()-ROW($CZ$3))*3 + 3) &lt;&gt; "", "✔", "")</f>
        <v>✔</v>
      </c>
      <c r="JT27" s="61">
        <v>25</v>
      </c>
      <c r="JU27" s="62" t="str" cm="1">
        <f t="array" ref="JU27">IF(INDEX(DS:DS, (ROW()-ROW($DS$3))*3 + 3) &lt;&gt; "", "✔", "")</f>
        <v>✔</v>
      </c>
      <c r="JV27" s="61">
        <v>25</v>
      </c>
      <c r="JW27" s="62" t="str" cm="1">
        <f t="array" ref="JW27">IF(INDEX(EL:EL, (ROW()-ROW($EL$3))*3 + 3) &lt;&gt; "", "✔", "")</f>
        <v/>
      </c>
      <c r="JX27" s="61">
        <v>25</v>
      </c>
      <c r="JY27" s="62" t="str" cm="1">
        <f t="array" ref="JY27">IF(INDEX(FE:FE, (ROW()-ROW($FE$3))*3 + 3) &lt;&gt; "", "✔", "")</f>
        <v/>
      </c>
      <c r="JZ27" s="61">
        <v>25</v>
      </c>
      <c r="KA27" s="62" t="str" cm="1">
        <f t="array" ref="KA27">IF(INDEX(FX:FX, (ROW()-ROW($FX$3))*3 + 3) &lt;&gt; "", "✔", "")</f>
        <v/>
      </c>
      <c r="KB27" s="61">
        <v>25</v>
      </c>
      <c r="KC27" s="62" t="str" cm="1">
        <f t="array" ref="KC27">IF(INDEX(GT:GT, (ROW()-ROW($GT$3))*3 + 3) &lt;&gt; "", "✔", "")</f>
        <v>✔</v>
      </c>
      <c r="KD27" s="61">
        <v>25</v>
      </c>
      <c r="KE27" s="62" t="str" cm="1">
        <f t="array" ref="KE27">IF(INDEX(HP:HP, (ROW()-ROW($HP$3))*3 + 3) &lt;&gt; "", "✔", "")</f>
        <v/>
      </c>
      <c r="KG27" s="231">
        <v>120</v>
      </c>
      <c r="KH27" s="230">
        <f t="shared" si="0"/>
        <v>54.431039999999996</v>
      </c>
    </row>
    <row r="28" spans="1:294" ht="15">
      <c r="H28" s="935"/>
      <c r="I28" s="107" t="s">
        <v>59</v>
      </c>
      <c r="J28" s="107" t="s">
        <v>73</v>
      </c>
      <c r="K28" s="108" t="s">
        <v>4</v>
      </c>
      <c r="L28" s="107" t="s">
        <v>59</v>
      </c>
      <c r="M28" s="107" t="s">
        <v>73</v>
      </c>
      <c r="N28" s="108" t="s">
        <v>4</v>
      </c>
      <c r="O28" s="107" t="s">
        <v>59</v>
      </c>
      <c r="P28" s="107" t="s">
        <v>73</v>
      </c>
      <c r="Q28" s="108" t="s">
        <v>4</v>
      </c>
      <c r="R28" s="107" t="s">
        <v>59</v>
      </c>
      <c r="S28" s="107" t="s">
        <v>73</v>
      </c>
      <c r="T28" s="108" t="s">
        <v>4</v>
      </c>
      <c r="U28" s="107" t="s">
        <v>59</v>
      </c>
      <c r="V28" s="107" t="s">
        <v>73</v>
      </c>
      <c r="W28" s="108" t="s">
        <v>4</v>
      </c>
      <c r="X28" s="823"/>
      <c r="Y28" s="940"/>
      <c r="AA28" s="865"/>
      <c r="AB28" s="231" t="s">
        <v>59</v>
      </c>
      <c r="AC28" s="231" t="s">
        <v>73</v>
      </c>
      <c r="AD28" s="102" t="s">
        <v>4</v>
      </c>
      <c r="AE28" s="231" t="s">
        <v>59</v>
      </c>
      <c r="AF28" s="231" t="s">
        <v>73</v>
      </c>
      <c r="AG28" s="102" t="s">
        <v>4</v>
      </c>
      <c r="AH28" s="231" t="s">
        <v>59</v>
      </c>
      <c r="AI28" s="231" t="s">
        <v>73</v>
      </c>
      <c r="AJ28" s="102" t="s">
        <v>4</v>
      </c>
      <c r="AK28" s="231" t="s">
        <v>59</v>
      </c>
      <c r="AL28" s="231" t="s">
        <v>73</v>
      </c>
      <c r="AM28" s="102" t="s">
        <v>4</v>
      </c>
      <c r="AN28" s="231" t="s">
        <v>59</v>
      </c>
      <c r="AO28" s="231" t="s">
        <v>73</v>
      </c>
      <c r="AP28" s="102" t="s">
        <v>4</v>
      </c>
      <c r="AQ28" s="823"/>
      <c r="AR28" s="825"/>
      <c r="AT28" s="865"/>
      <c r="AU28" s="231" t="s">
        <v>59</v>
      </c>
      <c r="AV28" s="231" t="s">
        <v>73</v>
      </c>
      <c r="AW28" s="102" t="s">
        <v>4</v>
      </c>
      <c r="AX28" s="231" t="s">
        <v>59</v>
      </c>
      <c r="AY28" s="231" t="s">
        <v>73</v>
      </c>
      <c r="AZ28" s="102" t="s">
        <v>4</v>
      </c>
      <c r="BA28" s="231" t="s">
        <v>59</v>
      </c>
      <c r="BB28" s="231" t="s">
        <v>73</v>
      </c>
      <c r="BC28" s="102" t="s">
        <v>4</v>
      </c>
      <c r="BD28" s="231" t="s">
        <v>59</v>
      </c>
      <c r="BE28" s="231" t="s">
        <v>73</v>
      </c>
      <c r="BF28" s="102" t="s">
        <v>4</v>
      </c>
      <c r="BG28" s="107" t="s">
        <v>59</v>
      </c>
      <c r="BH28" s="107" t="s">
        <v>73</v>
      </c>
      <c r="BI28" s="108" t="s">
        <v>4</v>
      </c>
      <c r="BJ28" s="823"/>
      <c r="BK28" s="825"/>
      <c r="BL28" s="118"/>
      <c r="BM28" s="846"/>
      <c r="BN28" s="231" t="s">
        <v>59</v>
      </c>
      <c r="BO28" s="231" t="s">
        <v>73</v>
      </c>
      <c r="BP28" s="102" t="s">
        <v>4</v>
      </c>
      <c r="BQ28" s="231" t="s">
        <v>59</v>
      </c>
      <c r="BR28" s="231" t="s">
        <v>73</v>
      </c>
      <c r="BS28" s="102" t="s">
        <v>4</v>
      </c>
      <c r="BT28" s="231" t="s">
        <v>59</v>
      </c>
      <c r="BU28" s="231" t="s">
        <v>73</v>
      </c>
      <c r="BV28" s="102" t="s">
        <v>4</v>
      </c>
      <c r="BW28" s="231" t="s">
        <v>59</v>
      </c>
      <c r="BX28" s="231" t="s">
        <v>73</v>
      </c>
      <c r="BY28" s="102" t="s">
        <v>4</v>
      </c>
      <c r="BZ28" s="107" t="s">
        <v>59</v>
      </c>
      <c r="CA28" s="107" t="s">
        <v>73</v>
      </c>
      <c r="CB28" s="108" t="s">
        <v>4</v>
      </c>
      <c r="CC28" s="823"/>
      <c r="CD28" s="825"/>
      <c r="CF28" s="877"/>
      <c r="CG28" s="107" t="s">
        <v>59</v>
      </c>
      <c r="CH28" s="107" t="s">
        <v>73</v>
      </c>
      <c r="CI28" s="108" t="s">
        <v>4</v>
      </c>
      <c r="CJ28" s="107" t="s">
        <v>59</v>
      </c>
      <c r="CK28" s="107" t="s">
        <v>73</v>
      </c>
      <c r="CL28" s="108" t="s">
        <v>4</v>
      </c>
      <c r="CM28" s="107" t="s">
        <v>59</v>
      </c>
      <c r="CN28" s="107" t="s">
        <v>73</v>
      </c>
      <c r="CO28" s="108" t="s">
        <v>4</v>
      </c>
      <c r="CP28" s="107" t="s">
        <v>59</v>
      </c>
      <c r="CQ28" s="107" t="s">
        <v>73</v>
      </c>
      <c r="CR28" s="108" t="s">
        <v>4</v>
      </c>
      <c r="CS28" s="107" t="s">
        <v>59</v>
      </c>
      <c r="CT28" s="107" t="s">
        <v>73</v>
      </c>
      <c r="CU28" s="108" t="s">
        <v>4</v>
      </c>
      <c r="CV28" s="823"/>
      <c r="CW28" s="825"/>
      <c r="CX28" s="118"/>
      <c r="CY28" s="871"/>
      <c r="CZ28" s="231" t="s">
        <v>59</v>
      </c>
      <c r="DA28" s="231" t="s">
        <v>73</v>
      </c>
      <c r="DB28" s="102" t="s">
        <v>4</v>
      </c>
      <c r="DC28" s="231" t="s">
        <v>59</v>
      </c>
      <c r="DD28" s="231" t="s">
        <v>73</v>
      </c>
      <c r="DE28" s="102" t="s">
        <v>4</v>
      </c>
      <c r="DF28" s="231" t="s">
        <v>59</v>
      </c>
      <c r="DG28" s="231" t="s">
        <v>73</v>
      </c>
      <c r="DH28" s="102" t="s">
        <v>4</v>
      </c>
      <c r="DI28" s="107" t="s">
        <v>59</v>
      </c>
      <c r="DJ28" s="107" t="s">
        <v>73</v>
      </c>
      <c r="DK28" s="108" t="s">
        <v>4</v>
      </c>
      <c r="DL28" s="107" t="s">
        <v>59</v>
      </c>
      <c r="DM28" s="107" t="s">
        <v>73</v>
      </c>
      <c r="DN28" s="108" t="s">
        <v>4</v>
      </c>
      <c r="DO28" s="823"/>
      <c r="DP28" s="825"/>
      <c r="DR28" s="846"/>
      <c r="DS28" s="107" t="s">
        <v>59</v>
      </c>
      <c r="DT28" s="107" t="s">
        <v>73</v>
      </c>
      <c r="DU28" s="108" t="s">
        <v>4</v>
      </c>
      <c r="DV28" s="107" t="s">
        <v>59</v>
      </c>
      <c r="DW28" s="107" t="s">
        <v>73</v>
      </c>
      <c r="DX28" s="108" t="s">
        <v>4</v>
      </c>
      <c r="DY28" s="107" t="s">
        <v>59</v>
      </c>
      <c r="DZ28" s="107" t="s">
        <v>73</v>
      </c>
      <c r="EA28" s="108" t="s">
        <v>4</v>
      </c>
      <c r="EB28" s="107" t="s">
        <v>59</v>
      </c>
      <c r="EC28" s="107" t="s">
        <v>73</v>
      </c>
      <c r="ED28" s="108" t="s">
        <v>4</v>
      </c>
      <c r="EE28" s="107" t="s">
        <v>59</v>
      </c>
      <c r="EF28" s="107" t="s">
        <v>73</v>
      </c>
      <c r="EG28" s="108" t="s">
        <v>4</v>
      </c>
      <c r="EH28" s="823"/>
      <c r="EI28" s="825"/>
      <c r="EK28" s="841"/>
      <c r="EL28" s="107" t="s">
        <v>59</v>
      </c>
      <c r="EM28" s="107" t="s">
        <v>73</v>
      </c>
      <c r="EN28" s="108" t="s">
        <v>4</v>
      </c>
      <c r="EO28" s="107" t="s">
        <v>59</v>
      </c>
      <c r="EP28" s="107" t="s">
        <v>73</v>
      </c>
      <c r="EQ28" s="108" t="s">
        <v>4</v>
      </c>
      <c r="ER28" s="107" t="s">
        <v>59</v>
      </c>
      <c r="ES28" s="107" t="s">
        <v>73</v>
      </c>
      <c r="ET28" s="108" t="s">
        <v>4</v>
      </c>
      <c r="EU28" s="107" t="s">
        <v>59</v>
      </c>
      <c r="EV28" s="107" t="s">
        <v>73</v>
      </c>
      <c r="EW28" s="108" t="s">
        <v>4</v>
      </c>
      <c r="EX28" s="107" t="s">
        <v>59</v>
      </c>
      <c r="EY28" s="107" t="s">
        <v>73</v>
      </c>
      <c r="EZ28" s="108" t="s">
        <v>4</v>
      </c>
      <c r="FA28" s="823"/>
      <c r="FB28" s="825"/>
      <c r="FD28" s="857"/>
      <c r="FE28" s="231" t="s">
        <v>59</v>
      </c>
      <c r="FF28" s="231" t="s">
        <v>73</v>
      </c>
      <c r="FG28" s="102" t="s">
        <v>4</v>
      </c>
      <c r="FH28" s="107" t="s">
        <v>59</v>
      </c>
      <c r="FI28" s="107" t="s">
        <v>73</v>
      </c>
      <c r="FJ28" s="108" t="s">
        <v>4</v>
      </c>
      <c r="FK28" s="107" t="s">
        <v>59</v>
      </c>
      <c r="FL28" s="107" t="s">
        <v>73</v>
      </c>
      <c r="FM28" s="108" t="s">
        <v>4</v>
      </c>
      <c r="FN28" s="107" t="s">
        <v>59</v>
      </c>
      <c r="FO28" s="107" t="s">
        <v>73</v>
      </c>
      <c r="FP28" s="108" t="s">
        <v>4</v>
      </c>
      <c r="FQ28" s="107" t="s">
        <v>59</v>
      </c>
      <c r="FR28" s="107" t="s">
        <v>73</v>
      </c>
      <c r="FS28" s="108" t="s">
        <v>4</v>
      </c>
      <c r="FT28" s="823"/>
      <c r="FU28" s="825"/>
      <c r="FW28" s="874"/>
      <c r="FX28" s="231" t="s">
        <v>59</v>
      </c>
      <c r="FY28" s="231" t="s">
        <v>73</v>
      </c>
      <c r="FZ28" s="102" t="s">
        <v>4</v>
      </c>
      <c r="GA28" s="231" t="s">
        <v>59</v>
      </c>
      <c r="GB28" s="231" t="s">
        <v>73</v>
      </c>
      <c r="GC28" s="102" t="s">
        <v>4</v>
      </c>
      <c r="GD28" s="231" t="s">
        <v>59</v>
      </c>
      <c r="GE28" s="231" t="s">
        <v>73</v>
      </c>
      <c r="GF28" s="102" t="s">
        <v>4</v>
      </c>
      <c r="GG28" s="231" t="s">
        <v>59</v>
      </c>
      <c r="GH28" s="231" t="s">
        <v>73</v>
      </c>
      <c r="GI28" s="102" t="s">
        <v>4</v>
      </c>
      <c r="GJ28" s="107" t="s">
        <v>59</v>
      </c>
      <c r="GK28" s="107" t="s">
        <v>73</v>
      </c>
      <c r="GL28" s="108" t="s">
        <v>4</v>
      </c>
      <c r="GM28" s="107" t="s">
        <v>59</v>
      </c>
      <c r="GN28" s="107" t="s">
        <v>73</v>
      </c>
      <c r="GO28" s="108" t="s">
        <v>4</v>
      </c>
      <c r="GP28" s="823"/>
      <c r="GQ28" s="825"/>
      <c r="GR28" s="118"/>
      <c r="GS28" s="865"/>
      <c r="GT28" s="231" t="s">
        <v>59</v>
      </c>
      <c r="GU28" s="231" t="s">
        <v>73</v>
      </c>
      <c r="GV28" s="102" t="s">
        <v>4</v>
      </c>
      <c r="GW28" s="231" t="s">
        <v>59</v>
      </c>
      <c r="GX28" s="231" t="s">
        <v>73</v>
      </c>
      <c r="GY28" s="102" t="s">
        <v>4</v>
      </c>
      <c r="GZ28" s="231" t="s">
        <v>59</v>
      </c>
      <c r="HA28" s="231" t="s">
        <v>73</v>
      </c>
      <c r="HB28" s="102" t="s">
        <v>4</v>
      </c>
      <c r="HC28" s="231" t="s">
        <v>59</v>
      </c>
      <c r="HD28" s="231" t="s">
        <v>73</v>
      </c>
      <c r="HE28" s="102" t="s">
        <v>4</v>
      </c>
      <c r="HF28" s="231" t="s">
        <v>59</v>
      </c>
      <c r="HG28" s="231" t="s">
        <v>73</v>
      </c>
      <c r="HH28" s="102" t="s">
        <v>4</v>
      </c>
      <c r="HI28" s="107" t="s">
        <v>59</v>
      </c>
      <c r="HJ28" s="107" t="s">
        <v>73</v>
      </c>
      <c r="HK28" s="108" t="s">
        <v>4</v>
      </c>
      <c r="HL28" s="823"/>
      <c r="HM28" s="825"/>
      <c r="HN28" s="118"/>
      <c r="HO28" s="857"/>
      <c r="HP28" s="231" t="s">
        <v>59</v>
      </c>
      <c r="HQ28" s="231" t="s">
        <v>73</v>
      </c>
      <c r="HR28" s="102" t="s">
        <v>4</v>
      </c>
      <c r="HS28" s="107" t="s">
        <v>59</v>
      </c>
      <c r="HT28" s="107" t="s">
        <v>73</v>
      </c>
      <c r="HU28" s="108" t="s">
        <v>4</v>
      </c>
      <c r="HV28" s="107" t="s">
        <v>59</v>
      </c>
      <c r="HW28" s="107" t="s">
        <v>73</v>
      </c>
      <c r="HX28" s="108" t="s">
        <v>4</v>
      </c>
      <c r="HY28" s="107" t="s">
        <v>59</v>
      </c>
      <c r="HZ28" s="107" t="s">
        <v>73</v>
      </c>
      <c r="IA28" s="108" t="s">
        <v>4</v>
      </c>
      <c r="IB28" s="107" t="s">
        <v>59</v>
      </c>
      <c r="IC28" s="107" t="s">
        <v>73</v>
      </c>
      <c r="ID28" s="108" t="s">
        <v>4</v>
      </c>
      <c r="IE28" s="107" t="s">
        <v>59</v>
      </c>
      <c r="IF28" s="107" t="s">
        <v>73</v>
      </c>
      <c r="IG28" s="108" t="s">
        <v>4</v>
      </c>
      <c r="IH28" s="823"/>
      <c r="II28" s="825"/>
      <c r="IK28" s="877"/>
      <c r="IL28" s="231" t="s">
        <v>59</v>
      </c>
      <c r="IM28" s="231" t="s">
        <v>73</v>
      </c>
      <c r="IN28" s="102" t="s">
        <v>4</v>
      </c>
      <c r="IO28" s="231" t="s">
        <v>59</v>
      </c>
      <c r="IP28" s="231" t="s">
        <v>73</v>
      </c>
      <c r="IQ28" s="102" t="s">
        <v>4</v>
      </c>
      <c r="IR28" s="231" t="s">
        <v>59</v>
      </c>
      <c r="IS28" s="231" t="s">
        <v>73</v>
      </c>
      <c r="IT28" s="102" t="s">
        <v>4</v>
      </c>
      <c r="IU28" s="231" t="s">
        <v>59</v>
      </c>
      <c r="IV28" s="231" t="s">
        <v>73</v>
      </c>
      <c r="IW28" s="102" t="s">
        <v>4</v>
      </c>
      <c r="IX28" s="107" t="s">
        <v>59</v>
      </c>
      <c r="IY28" s="107" t="s">
        <v>73</v>
      </c>
      <c r="IZ28" s="108" t="s">
        <v>4</v>
      </c>
      <c r="JA28" s="107" t="s">
        <v>59</v>
      </c>
      <c r="JB28" s="107" t="s">
        <v>73</v>
      </c>
      <c r="JC28" s="108" t="s">
        <v>4</v>
      </c>
      <c r="JD28" s="948"/>
      <c r="JE28" s="823"/>
      <c r="JF28" s="825"/>
      <c r="JH28" s="61">
        <v>26</v>
      </c>
      <c r="JI28" s="103" t="str">
        <f>IF(I18&lt;&gt;"", "✔", "")</f>
        <v>✔</v>
      </c>
      <c r="JJ28" s="58">
        <v>26</v>
      </c>
      <c r="JK28" s="59" t="str" cm="1">
        <f t="array" ref="JK28">IF(INDEX(AB:AB, (ROW()-ROW($JK$3))*3 + 3) &lt;&gt; "", "✔", "")</f>
        <v/>
      </c>
      <c r="JL28" s="58">
        <v>26</v>
      </c>
      <c r="JM28" s="59" t="str" cm="1">
        <f t="array" ref="JM28">IF(INDEX(AU:AU, (ROW()-ROW($JM$3))*3 + 3) &lt;&gt; "", "✔", "")</f>
        <v/>
      </c>
      <c r="JN28" s="124">
        <v>26</v>
      </c>
      <c r="JO28" s="82" t="str" cm="1">
        <f t="array" ref="JO28">IF(INDEX(BN:BN, (ROW()-ROW($BN$3))*3 + 3) &lt;&gt; "", "✔", "")</f>
        <v>✔</v>
      </c>
      <c r="JP28" s="124">
        <v>26</v>
      </c>
      <c r="JQ28" s="82" t="str" cm="1">
        <f t="array" ref="JQ28">IF(INDEX(CG:CG, (ROW()-ROW($CG$3))*3 + 3) &lt;&gt; "", "✔", "")</f>
        <v>✔</v>
      </c>
      <c r="JR28" s="124">
        <v>26</v>
      </c>
      <c r="JS28" s="82" t="str" cm="1">
        <f t="array" ref="JS28">IF(INDEX(CZ:CZ, (ROW()-ROW($CZ$3))*3 + 3) &lt;&gt; "", "✔", "")</f>
        <v>✔</v>
      </c>
      <c r="JT28" s="124">
        <v>26</v>
      </c>
      <c r="JU28" s="82" t="str" cm="1">
        <f t="array" ref="JU28">IF(INDEX(DS:DS, (ROW()-ROW($DS$3))*3 + 3) &lt;&gt; "", "✔", "")</f>
        <v/>
      </c>
      <c r="JV28" s="124">
        <v>26</v>
      </c>
      <c r="JW28" s="82" t="str" cm="1">
        <f t="array" ref="JW28">IF(INDEX(EL:EL, (ROW()-ROW($EL$3))*3 + 3) &lt;&gt; "", "✔", "")</f>
        <v/>
      </c>
      <c r="JX28" s="124">
        <v>26</v>
      </c>
      <c r="JY28" s="82" t="str" cm="1">
        <f t="array" ref="JY28">IF(INDEX(FE:FE, (ROW()-ROW($FE$3))*3 + 3) &lt;&gt; "", "✔", "")</f>
        <v/>
      </c>
      <c r="JZ28" s="124">
        <v>26</v>
      </c>
      <c r="KA28" s="82" t="str" cm="1">
        <f t="array" ref="KA28">IF(INDEX(FX:FX, (ROW()-ROW($FX$3))*3 + 3) &lt;&gt; "", "✔", "")</f>
        <v>✔</v>
      </c>
      <c r="KB28" s="124">
        <v>26</v>
      </c>
      <c r="KC28" s="82" t="str" cm="1">
        <f t="array" ref="KC28">IF(INDEX(GT:GT, (ROW()-ROW($GT$3))*3 + 3) &lt;&gt; "", "✔", "")</f>
        <v>✔</v>
      </c>
      <c r="KD28" s="124">
        <v>26</v>
      </c>
      <c r="KE28" s="82" t="str" cm="1">
        <f t="array" ref="KE28">IF(INDEX(HP:HP, (ROW()-ROW($HP$3))*3 + 3) &lt;&gt; "", "✔", "")</f>
        <v/>
      </c>
      <c r="KG28" s="231">
        <v>125</v>
      </c>
      <c r="KH28" s="230">
        <f t="shared" si="0"/>
        <v>56.698999999999998</v>
      </c>
    </row>
    <row r="29" spans="1:294" ht="15">
      <c r="H29" s="935"/>
      <c r="I29" s="233"/>
      <c r="J29" s="233"/>
      <c r="K29" s="233"/>
      <c r="L29" s="233"/>
      <c r="M29" s="233"/>
      <c r="N29" s="233"/>
      <c r="O29" s="233"/>
      <c r="P29" s="233"/>
      <c r="Q29" s="233"/>
      <c r="R29" s="233"/>
      <c r="S29" s="233"/>
      <c r="T29" s="233"/>
      <c r="U29" s="233"/>
      <c r="V29" s="233"/>
      <c r="W29" s="233"/>
      <c r="X29" s="229">
        <f t="shared" ref="X29" si="83">(I29*J29*K29)+(L29*M29*N29)+(O29*P29*Q29)+(R29*S29*T29)+(U29*V29*W29)</f>
        <v>0</v>
      </c>
      <c r="Y29" s="941"/>
      <c r="AA29" s="866"/>
      <c r="AB29" s="229">
        <v>4</v>
      </c>
      <c r="AC29" s="229">
        <v>8</v>
      </c>
      <c r="AD29" s="229">
        <v>59</v>
      </c>
      <c r="AE29" s="229">
        <v>4</v>
      </c>
      <c r="AF29" s="229">
        <v>8</v>
      </c>
      <c r="AG29" s="229">
        <v>22.5</v>
      </c>
      <c r="AH29" s="229">
        <v>4</v>
      </c>
      <c r="AI29" s="229">
        <v>8</v>
      </c>
      <c r="AJ29" s="229">
        <v>22.5</v>
      </c>
      <c r="AK29" s="229">
        <v>4</v>
      </c>
      <c r="AL29" s="229">
        <v>6</v>
      </c>
      <c r="AM29" s="229">
        <v>15</v>
      </c>
      <c r="AN29" s="229">
        <v>1</v>
      </c>
      <c r="AO29" s="229">
        <v>20</v>
      </c>
      <c r="AP29" s="229">
        <f>AR27</f>
        <v>92.3</v>
      </c>
      <c r="AQ29" s="229">
        <f t="shared" ref="AQ29" si="84">(AB29*AC29*AD29)+(AE29*AF29*AG29)+(AH29*AI29*AJ29)+(AK29*AL29*AM29)+(AN29*AO29*AP29)</f>
        <v>5534</v>
      </c>
      <c r="AR29" s="826"/>
      <c r="AT29" s="866"/>
      <c r="AU29" s="229">
        <v>4</v>
      </c>
      <c r="AV29" s="229">
        <v>8</v>
      </c>
      <c r="AW29" s="229">
        <v>25</v>
      </c>
      <c r="AX29" s="229">
        <v>4</v>
      </c>
      <c r="AY29" s="229">
        <v>8</v>
      </c>
      <c r="AZ29" s="229">
        <v>22.5</v>
      </c>
      <c r="BA29" s="229">
        <v>4</v>
      </c>
      <c r="BB29" s="229">
        <v>8</v>
      </c>
      <c r="BC29" s="229">
        <v>31.8</v>
      </c>
      <c r="BD29" s="229">
        <v>4</v>
      </c>
      <c r="BE29" s="229">
        <v>8</v>
      </c>
      <c r="BF29" s="229">
        <v>20</v>
      </c>
      <c r="BG29" s="233"/>
      <c r="BH29" s="233"/>
      <c r="BI29" s="233"/>
      <c r="BJ29" s="229">
        <f t="shared" ref="BJ29" si="85">(AU29*AV29*AW29)+(AX29*AY29*AZ29)+(BA29*BB29*BC29)+(BD29*BE29*BF29)+(BG29*BH29*BI29)</f>
        <v>3177.6</v>
      </c>
      <c r="BK29" s="826"/>
      <c r="BL29" s="118"/>
      <c r="BM29" s="847"/>
      <c r="BN29" s="229">
        <v>4</v>
      </c>
      <c r="BO29" s="229">
        <f>((8*3)+(10*1))/4</f>
        <v>8.5</v>
      </c>
      <c r="BP29" s="126">
        <f>((12.5*3)+(15*1))/4</f>
        <v>13.125</v>
      </c>
      <c r="BQ29" s="229">
        <v>4</v>
      </c>
      <c r="BR29" s="229">
        <v>8</v>
      </c>
      <c r="BS29" s="229">
        <v>17.5</v>
      </c>
      <c r="BT29" s="229">
        <v>4</v>
      </c>
      <c r="BU29" s="229">
        <v>10</v>
      </c>
      <c r="BV29" s="229">
        <v>5</v>
      </c>
      <c r="BW29" s="229">
        <v>4</v>
      </c>
      <c r="BX29" s="229">
        <v>8</v>
      </c>
      <c r="BY29" s="229">
        <f>70*$FU$3</f>
        <v>5572</v>
      </c>
      <c r="BZ29" s="233"/>
      <c r="CA29" s="233"/>
      <c r="CB29" s="233"/>
      <c r="CC29" s="229">
        <f t="shared" ref="CC29" si="86">(BN29*BO29*BP29)+(BQ29*BR29*BS29)+(BT29*BU29*BV29)+(BW29*BX29*BY29)+(BZ29*CA29*CB29)</f>
        <v>179510.25</v>
      </c>
      <c r="CD29" s="826"/>
      <c r="CF29" s="878"/>
      <c r="CG29" s="233"/>
      <c r="CH29" s="233"/>
      <c r="CI29" s="233"/>
      <c r="CJ29" s="233"/>
      <c r="CK29" s="233"/>
      <c r="CL29" s="233"/>
      <c r="CM29" s="233"/>
      <c r="CN29" s="233"/>
      <c r="CO29" s="233"/>
      <c r="CP29" s="233"/>
      <c r="CQ29" s="233"/>
      <c r="CR29" s="233"/>
      <c r="CS29" s="233"/>
      <c r="CT29" s="233"/>
      <c r="CU29" s="233"/>
      <c r="CV29" s="229">
        <f t="shared" ref="CV29" si="87">(CG29*CH29*CI29)+(CJ29*CK29*CL29)+(CM29*CN29*CO29)+(CP29*CQ29*CR29)+(CS29*CT29*CU29)</f>
        <v>0</v>
      </c>
      <c r="CW29" s="826"/>
      <c r="CX29" s="118"/>
      <c r="CY29" s="872"/>
      <c r="CZ29" s="229">
        <v>4</v>
      </c>
      <c r="DA29" s="126">
        <f>((12*2)+(10*2))/4</f>
        <v>11</v>
      </c>
      <c r="DB29" s="126">
        <f>((7.5*1)+(10*3))/4</f>
        <v>9.375</v>
      </c>
      <c r="DC29" s="229">
        <v>4</v>
      </c>
      <c r="DD29" s="126">
        <f>((12*2)+(10*2))/4</f>
        <v>11</v>
      </c>
      <c r="DE29" s="126">
        <f>((24.9*1)+(27.2*3))/4</f>
        <v>26.625</v>
      </c>
      <c r="DF29" s="229">
        <v>2</v>
      </c>
      <c r="DG29" s="229">
        <v>12</v>
      </c>
      <c r="DH29" s="229">
        <v>10</v>
      </c>
      <c r="DI29" s="233"/>
      <c r="DJ29" s="233"/>
      <c r="DK29" s="233"/>
      <c r="DL29" s="233"/>
      <c r="DM29" s="233"/>
      <c r="DN29" s="233"/>
      <c r="DO29" s="229">
        <f t="shared" ref="DO29" si="88">(CZ29*DA29*DB29)+(DC29*DD29*DE29)+(DF29*DG29*DH29)+(DI29*DJ29*DK29)+(DL29*DM29*DN29)</f>
        <v>1824</v>
      </c>
      <c r="DP29" s="826"/>
      <c r="DR29" s="847"/>
      <c r="DS29" s="233"/>
      <c r="DT29" s="233"/>
      <c r="DU29" s="233"/>
      <c r="DV29" s="233"/>
      <c r="DW29" s="233"/>
      <c r="DX29" s="233"/>
      <c r="DY29" s="233"/>
      <c r="DZ29" s="233"/>
      <c r="EA29" s="233"/>
      <c r="EB29" s="233"/>
      <c r="EC29" s="233"/>
      <c r="ED29" s="233"/>
      <c r="EE29" s="233"/>
      <c r="EF29" s="233"/>
      <c r="EG29" s="233"/>
      <c r="EH29" s="229">
        <f t="shared" ref="EH29" si="89">(DS29*DT29*DU29)+(DV29*DW29*DX29)+(DY29*DZ29*EA29)+(EB29*EC29*ED29)+(EE29*EF29*EG29)</f>
        <v>0</v>
      </c>
      <c r="EI29" s="826"/>
      <c r="EK29" s="842"/>
      <c r="EL29" s="233"/>
      <c r="EM29" s="233"/>
      <c r="EN29" s="233"/>
      <c r="EO29" s="233"/>
      <c r="EP29" s="233"/>
      <c r="EQ29" s="233"/>
      <c r="ER29" s="233"/>
      <c r="ES29" s="233"/>
      <c r="ET29" s="233"/>
      <c r="EU29" s="233"/>
      <c r="EV29" s="233"/>
      <c r="EW29" s="233"/>
      <c r="EX29" s="233"/>
      <c r="EY29" s="233"/>
      <c r="EZ29" s="233"/>
      <c r="FA29" s="229">
        <f t="shared" ref="FA29" si="90">(EL29*EM29*EN29)+(EO29*EP29*EQ29)+(ER29*ES29*ET29)+(EU29*EV29*EW29)+(EX29*EY29*EZ29)</f>
        <v>0</v>
      </c>
      <c r="FB29" s="826"/>
      <c r="FD29" s="858"/>
      <c r="FE29" s="229">
        <v>1</v>
      </c>
      <c r="FF29" s="229">
        <v>33</v>
      </c>
      <c r="FG29" s="229">
        <f>FU27</f>
        <v>78.7</v>
      </c>
      <c r="FH29" s="233"/>
      <c r="FI29" s="233"/>
      <c r="FJ29" s="233"/>
      <c r="FK29" s="233"/>
      <c r="FL29" s="233"/>
      <c r="FM29" s="233"/>
      <c r="FN29" s="233"/>
      <c r="FO29" s="233"/>
      <c r="FP29" s="233"/>
      <c r="FQ29" s="233"/>
      <c r="FR29" s="233"/>
      <c r="FS29" s="233"/>
      <c r="FT29" s="229">
        <f t="shared" ref="FT29" si="91">(FE29*FF29*FG29)+(FH29*FI29*FJ29)+(FK29*FL29*FM29)+(FN29*FO29*FP29)+(FQ29*FR29*FS29)</f>
        <v>2597.1</v>
      </c>
      <c r="FU29" s="826"/>
      <c r="FW29" s="875"/>
      <c r="FX29" s="229">
        <v>3</v>
      </c>
      <c r="FY29" s="229">
        <v>8</v>
      </c>
      <c r="FZ29" s="229">
        <v>63</v>
      </c>
      <c r="GA29" s="229">
        <v>3</v>
      </c>
      <c r="GB29" s="229">
        <f>((10*1)+(12*2))/4</f>
        <v>8.5</v>
      </c>
      <c r="GC29" s="229">
        <v>22.7</v>
      </c>
      <c r="GD29" s="229">
        <v>3</v>
      </c>
      <c r="GE29" s="229">
        <v>8</v>
      </c>
      <c r="GF29" s="229">
        <v>7.5</v>
      </c>
      <c r="GG29" s="229">
        <v>2</v>
      </c>
      <c r="GH29" s="229">
        <v>8</v>
      </c>
      <c r="GI29" s="229">
        <v>15</v>
      </c>
      <c r="GJ29" s="233"/>
      <c r="GK29" s="233"/>
      <c r="GL29" s="233"/>
      <c r="GM29" s="233"/>
      <c r="GN29" s="233"/>
      <c r="GO29" s="233"/>
      <c r="GP29" s="229">
        <f>(FX29*FY29*FZ29)+(GA29*GB29*GC29)+(GD29*GE29*GF29)+(GG29*GH29*GI29)+(GJ29*GK29*GL29)+(GM29*GN29*GO29)</f>
        <v>2510.85</v>
      </c>
      <c r="GQ29" s="826"/>
      <c r="GR29" s="118"/>
      <c r="GS29" s="866"/>
      <c r="GT29" s="229">
        <v>3</v>
      </c>
      <c r="GU29" s="229">
        <f>((10*2)+(12*1))/3</f>
        <v>10.666666666666666</v>
      </c>
      <c r="GV29" s="229">
        <v>63</v>
      </c>
      <c r="GW29" s="229">
        <v>4</v>
      </c>
      <c r="GX29" s="126">
        <f>((8*1)+(10*1)+(12*1))/3</f>
        <v>10</v>
      </c>
      <c r="GY29" s="229">
        <v>20</v>
      </c>
      <c r="GZ29" s="229">
        <v>3</v>
      </c>
      <c r="HA29" s="126">
        <f>((6*1)+(8*2))/3</f>
        <v>7.333333333333333</v>
      </c>
      <c r="HB29" s="126">
        <v>19.75</v>
      </c>
      <c r="HC29" s="229">
        <v>3</v>
      </c>
      <c r="HD29" s="126">
        <f>((34*1)+(36*2))/3</f>
        <v>35.333333333333336</v>
      </c>
      <c r="HE29" s="229">
        <f>HM27*(1/3)</f>
        <v>26.033333333333331</v>
      </c>
      <c r="HF29" s="229">
        <v>2</v>
      </c>
      <c r="HG29" s="229">
        <f>((10*2)+(12*1))/3</f>
        <v>10.666666666666666</v>
      </c>
      <c r="HH29" s="229">
        <v>17.5</v>
      </c>
      <c r="HI29" s="233"/>
      <c r="HJ29" s="233"/>
      <c r="HK29" s="233"/>
      <c r="HL29" s="229">
        <f>(GT29*GU29*GV29)+(GW29*GX29*GY29)+(GZ29*HA29*HB29)+(HC29*HD29*HE29)+(HF29*HG29*HH29)+(HI29*HJ29*HK29)</f>
        <v>6383.3666666666659</v>
      </c>
      <c r="HM29" s="826"/>
      <c r="HN29" s="118"/>
      <c r="HO29" s="858"/>
      <c r="HP29" s="229">
        <v>1</v>
      </c>
      <c r="HQ29" s="229">
        <v>40</v>
      </c>
      <c r="HR29" s="229">
        <f>II27</f>
        <v>78.099999999999994</v>
      </c>
      <c r="HS29" s="233"/>
      <c r="HT29" s="233"/>
      <c r="HU29" s="233"/>
      <c r="HV29" s="233"/>
      <c r="HW29" s="233"/>
      <c r="HX29" s="233"/>
      <c r="HY29" s="233"/>
      <c r="HZ29" s="233"/>
      <c r="IA29" s="233"/>
      <c r="IB29" s="233"/>
      <c r="IC29" s="233"/>
      <c r="ID29" s="233"/>
      <c r="IE29" s="233"/>
      <c r="IF29" s="233"/>
      <c r="IG29" s="233"/>
      <c r="IH29" s="229">
        <f>(HP29*HQ29*HR29)+(HS29*HT29*HU29)+(HV29*HW29*HX29)+(HY29*HZ29*IA29)+(IB29*IC29*ID29)+(IE29*IF29*IG29)</f>
        <v>3124</v>
      </c>
      <c r="II29" s="826"/>
      <c r="IK29" s="878"/>
      <c r="IL29" s="229">
        <v>4</v>
      </c>
      <c r="IM29" s="229">
        <f>((12*2)+(8*2))/4</f>
        <v>10</v>
      </c>
      <c r="IN29" s="229">
        <f>((7*1)+(8.5*2)+(11*1)+(12.25))/4</f>
        <v>11.8125</v>
      </c>
      <c r="IO29" s="229">
        <v>4</v>
      </c>
      <c r="IP29" s="229">
        <f>((12*1)+(8*3))/4</f>
        <v>9</v>
      </c>
      <c r="IQ29" s="229">
        <f>((9.1*1)+(24.9*3))/4</f>
        <v>20.949999999999996</v>
      </c>
      <c r="IR29" s="229">
        <v>3</v>
      </c>
      <c r="IS29" s="229">
        <v>8</v>
      </c>
      <c r="IT29" s="229">
        <v>23</v>
      </c>
      <c r="IU29" s="229">
        <v>3</v>
      </c>
      <c r="IV29" s="229">
        <v>8</v>
      </c>
      <c r="IW29" s="229">
        <v>15</v>
      </c>
      <c r="IX29" s="233"/>
      <c r="IY29" s="233"/>
      <c r="IZ29" s="233"/>
      <c r="JA29" s="233"/>
      <c r="JB29" s="233"/>
      <c r="JC29" s="233"/>
      <c r="JD29" s="949"/>
      <c r="JE29" s="229">
        <f>(IL29*IM29*IN29)+(IO29*IP29*IQ29)+(IR29*IS29*IT29)+(IU29*IV29*IW29)+(IX29*IY29*IZ29)+(JA29*JB29*JC29)</f>
        <v>2138.6999999999998</v>
      </c>
      <c r="JF29" s="826"/>
      <c r="JH29" s="61">
        <v>27</v>
      </c>
      <c r="JI29" s="62" t="str">
        <f>IF(I21&lt;&gt;"", "✔", "")</f>
        <v>✔</v>
      </c>
      <c r="JJ29" s="61">
        <v>27</v>
      </c>
      <c r="JK29" s="62" t="str" cm="1">
        <f t="array" ref="JK29">IF(INDEX(AB:AB, (ROW()-ROW($JK$3))*3 + 3) &lt;&gt; "", "✔", "")</f>
        <v>✔</v>
      </c>
      <c r="JL29" s="61">
        <v>27</v>
      </c>
      <c r="JM29" s="62" t="str" cm="1">
        <f t="array" ref="JM29">IF(INDEX(AU:AU, (ROW()-ROW($JM$3))*3 + 3) &lt;&gt; "", "✔", "")</f>
        <v>✔</v>
      </c>
      <c r="JN29" s="61">
        <v>27</v>
      </c>
      <c r="JO29" s="62" t="str" cm="1">
        <f t="array" ref="JO29">IF(INDEX(BN:BN, (ROW()-ROW($BN$3))*3 + 3) &lt;&gt; "", "✔", "")</f>
        <v>✔</v>
      </c>
      <c r="JP29" s="61">
        <v>27</v>
      </c>
      <c r="JQ29" s="62" t="str" cm="1">
        <f t="array" ref="JQ29">IF(INDEX(CG:CG, (ROW()-ROW($CG$3))*3 + 3) &lt;&gt; "", "✔", "")</f>
        <v>✔</v>
      </c>
      <c r="JR29" s="61">
        <v>27</v>
      </c>
      <c r="JS29" s="62" t="str" cm="1">
        <f t="array" ref="JS29">IF(INDEX(CZ:CZ, (ROW()-ROW($CZ$3))*3 + 3) &lt;&gt; "", "✔", "")</f>
        <v/>
      </c>
      <c r="JT29" s="61">
        <v>27</v>
      </c>
      <c r="JU29" s="62" t="str" cm="1">
        <f t="array" ref="JU29">IF(INDEX(DS:DS, (ROW()-ROW($DS$3))*3 + 3) &lt;&gt; "", "✔", "")</f>
        <v/>
      </c>
      <c r="JV29" s="61">
        <v>27</v>
      </c>
      <c r="JW29" s="62" t="str" cm="1">
        <f t="array" ref="JW29">IF(INDEX(EL:EL, (ROW()-ROW($EL$3))*3 + 3) &lt;&gt; "", "✔", "")</f>
        <v>✔</v>
      </c>
      <c r="JX29" s="61">
        <v>27</v>
      </c>
      <c r="JY29" s="62" t="str" cm="1">
        <f t="array" ref="JY29">IF(INDEX(FE:FE, (ROW()-ROW($FE$3))*3 + 3) &lt;&gt; "", "✔", "")</f>
        <v/>
      </c>
      <c r="JZ29" s="61">
        <v>27</v>
      </c>
      <c r="KA29" s="62" t="str" cm="1">
        <f t="array" ref="KA29">IF(INDEX(FX:FX, (ROW()-ROW($FX$3))*3 + 3) &lt;&gt; "", "✔", "")</f>
        <v>✔</v>
      </c>
      <c r="KB29" s="61">
        <v>27</v>
      </c>
      <c r="KC29" s="62" t="str" cm="1">
        <f t="array" ref="KC29">IF(INDEX(GT:GT, (ROW()-ROW($GT$3))*3 + 3) &lt;&gt; "", "✔", "")</f>
        <v>✔</v>
      </c>
      <c r="KD29" s="61">
        <v>27</v>
      </c>
      <c r="KE29" s="62" t="str" cm="1">
        <f t="array" ref="KE29">IF(INDEX(HP:HP, (ROW()-ROW($HP$3))*3 + 3) &lt;&gt; "", "✔", "")</f>
        <v/>
      </c>
      <c r="KG29" s="231">
        <v>130</v>
      </c>
      <c r="KH29" s="230">
        <f t="shared" si="0"/>
        <v>58.96696</v>
      </c>
    </row>
    <row r="30" spans="1:294" ht="15">
      <c r="H30" s="873">
        <v>45687</v>
      </c>
      <c r="I30" s="849" t="s">
        <v>72</v>
      </c>
      <c r="J30" s="849"/>
      <c r="K30" s="849"/>
      <c r="L30" s="849" t="s">
        <v>119</v>
      </c>
      <c r="M30" s="849"/>
      <c r="N30" s="849"/>
      <c r="O30" s="882" t="s">
        <v>14</v>
      </c>
      <c r="P30" s="883"/>
      <c r="Q30" s="884"/>
      <c r="R30" s="890" t="s">
        <v>93</v>
      </c>
      <c r="S30" s="890"/>
      <c r="T30" s="890"/>
      <c r="U30" s="844"/>
      <c r="V30" s="844"/>
      <c r="W30" s="844"/>
      <c r="X30" s="823">
        <f>COUNTA(I30:W30)</f>
        <v>4</v>
      </c>
      <c r="Y30" s="939">
        <v>94.5</v>
      </c>
      <c r="AA30" s="870">
        <v>45698</v>
      </c>
      <c r="AB30" s="859"/>
      <c r="AC30" s="859"/>
      <c r="AD30" s="859"/>
      <c r="AE30" s="859"/>
      <c r="AF30" s="859"/>
      <c r="AG30" s="859"/>
      <c r="AH30" s="834"/>
      <c r="AI30" s="835"/>
      <c r="AJ30" s="836"/>
      <c r="AK30" s="843"/>
      <c r="AL30" s="843"/>
      <c r="AM30" s="843"/>
      <c r="AN30" s="844"/>
      <c r="AO30" s="844"/>
      <c r="AP30" s="844"/>
      <c r="AQ30" s="823">
        <f>COUNTA(AB30:AP30)</f>
        <v>0</v>
      </c>
      <c r="AR30" s="824">
        <f>AR27</f>
        <v>92.3</v>
      </c>
      <c r="AT30" s="870">
        <v>45726</v>
      </c>
      <c r="AU30" s="849" t="s">
        <v>70</v>
      </c>
      <c r="AV30" s="849"/>
      <c r="AW30" s="849"/>
      <c r="AX30" s="859"/>
      <c r="AY30" s="859"/>
      <c r="AZ30" s="859"/>
      <c r="BA30" s="834"/>
      <c r="BB30" s="835"/>
      <c r="BC30" s="836"/>
      <c r="BD30" s="843"/>
      <c r="BE30" s="843"/>
      <c r="BF30" s="843"/>
      <c r="BG30" s="844"/>
      <c r="BH30" s="844"/>
      <c r="BI30" s="844"/>
      <c r="BJ30" s="823">
        <f>COUNTA(AU30:BI30)</f>
        <v>1</v>
      </c>
      <c r="BK30" s="824">
        <v>90.3</v>
      </c>
      <c r="BL30" s="118"/>
      <c r="BM30" s="873">
        <v>45757</v>
      </c>
      <c r="BN30" s="844"/>
      <c r="BO30" s="844"/>
      <c r="BP30" s="844"/>
      <c r="BQ30" s="859"/>
      <c r="BR30" s="859"/>
      <c r="BS30" s="859"/>
      <c r="BT30" s="844"/>
      <c r="BU30" s="844"/>
      <c r="BV30" s="844"/>
      <c r="BW30" s="844"/>
      <c r="BX30" s="844"/>
      <c r="BY30" s="844"/>
      <c r="BZ30" s="844"/>
      <c r="CA30" s="844"/>
      <c r="CB30" s="844"/>
      <c r="CC30" s="823">
        <f>COUNTA(BN30:CB30)</f>
        <v>0</v>
      </c>
      <c r="CD30" s="824">
        <f>CD27</f>
        <v>87.8</v>
      </c>
      <c r="CF30" s="840">
        <v>45787</v>
      </c>
      <c r="CG30" s="849" t="s">
        <v>70</v>
      </c>
      <c r="CH30" s="849"/>
      <c r="CI30" s="849"/>
      <c r="CJ30" s="859"/>
      <c r="CK30" s="859"/>
      <c r="CL30" s="859"/>
      <c r="CM30" s="844"/>
      <c r="CN30" s="844"/>
      <c r="CO30" s="844"/>
      <c r="CP30" s="844"/>
      <c r="CQ30" s="844"/>
      <c r="CR30" s="844"/>
      <c r="CS30" s="844"/>
      <c r="CT30" s="844"/>
      <c r="CU30" s="844"/>
      <c r="CV30" s="823">
        <f>COUNTA(CG30:CU30)</f>
        <v>1</v>
      </c>
      <c r="CW30" s="824">
        <v>84.8</v>
      </c>
      <c r="CX30" s="118"/>
      <c r="CY30" s="856">
        <v>45818</v>
      </c>
      <c r="CZ30" s="849" t="s">
        <v>70</v>
      </c>
      <c r="DA30" s="849"/>
      <c r="DB30" s="849"/>
      <c r="DC30" s="859"/>
      <c r="DD30" s="859"/>
      <c r="DE30" s="859"/>
      <c r="DF30" s="844"/>
      <c r="DG30" s="844"/>
      <c r="DH30" s="844"/>
      <c r="DI30" s="844"/>
      <c r="DJ30" s="844"/>
      <c r="DK30" s="844"/>
      <c r="DL30" s="844"/>
      <c r="DM30" s="844"/>
      <c r="DN30" s="844"/>
      <c r="DO30" s="823">
        <f>COUNTA(CZ30:DN30)</f>
        <v>1</v>
      </c>
      <c r="DP30" s="824">
        <v>83.4</v>
      </c>
      <c r="DR30" s="873">
        <v>45848</v>
      </c>
      <c r="DS30" s="848" t="s">
        <v>102</v>
      </c>
      <c r="DT30" s="848"/>
      <c r="DU30" s="848"/>
      <c r="DV30" s="886" t="s">
        <v>80</v>
      </c>
      <c r="DW30" s="886"/>
      <c r="DX30" s="886"/>
      <c r="DY30" s="886" t="s">
        <v>81</v>
      </c>
      <c r="DZ30" s="886"/>
      <c r="EA30" s="886"/>
      <c r="EB30" s="849" t="s">
        <v>113</v>
      </c>
      <c r="EC30" s="849"/>
      <c r="ED30" s="849"/>
      <c r="EE30" s="844"/>
      <c r="EF30" s="844"/>
      <c r="EG30" s="844"/>
      <c r="EH30" s="823">
        <f>COUNTA(DS30:EG30)</f>
        <v>4</v>
      </c>
      <c r="EI30" s="824">
        <v>81.7</v>
      </c>
      <c r="EK30" s="864">
        <v>45879</v>
      </c>
      <c r="EL30" s="849" t="s">
        <v>89</v>
      </c>
      <c r="EM30" s="849"/>
      <c r="EN30" s="849"/>
      <c r="EO30" s="849" t="s">
        <v>102</v>
      </c>
      <c r="EP30" s="849"/>
      <c r="EQ30" s="849"/>
      <c r="ER30" s="890" t="s">
        <v>93</v>
      </c>
      <c r="ES30" s="890"/>
      <c r="ET30" s="890"/>
      <c r="EU30" s="849" t="s">
        <v>113</v>
      </c>
      <c r="EV30" s="849"/>
      <c r="EW30" s="849"/>
      <c r="EX30" s="882" t="s">
        <v>85</v>
      </c>
      <c r="EY30" s="883"/>
      <c r="EZ30" s="884"/>
      <c r="FA30" s="823">
        <f>COUNTA(EL30:EZ30)</f>
        <v>5</v>
      </c>
      <c r="FB30" s="824">
        <v>80.599999999999994</v>
      </c>
      <c r="FD30" s="845">
        <v>45910</v>
      </c>
      <c r="FE30" s="844"/>
      <c r="FF30" s="844"/>
      <c r="FG30" s="844"/>
      <c r="FH30" s="844"/>
      <c r="FI30" s="844"/>
      <c r="FJ30" s="844"/>
      <c r="FK30" s="844"/>
      <c r="FL30" s="844"/>
      <c r="FM30" s="844"/>
      <c r="FN30" s="844"/>
      <c r="FO30" s="844"/>
      <c r="FP30" s="844"/>
      <c r="FQ30" s="844"/>
      <c r="FR30" s="844"/>
      <c r="FS30" s="844"/>
      <c r="FT30" s="823">
        <f>COUNTA(FE30:FS30)</f>
        <v>0</v>
      </c>
      <c r="FU30" s="824">
        <f>FU27</f>
        <v>78.7</v>
      </c>
      <c r="FW30" s="876">
        <v>45940</v>
      </c>
      <c r="FX30" s="859"/>
      <c r="FY30" s="859"/>
      <c r="FZ30" s="859"/>
      <c r="GA30" s="860"/>
      <c r="GB30" s="860"/>
      <c r="GC30" s="860"/>
      <c r="GD30" s="859"/>
      <c r="GE30" s="859"/>
      <c r="GF30" s="859"/>
      <c r="GG30" s="861"/>
      <c r="GH30" s="862"/>
      <c r="GI30" s="863"/>
      <c r="GJ30" s="844"/>
      <c r="GK30" s="844"/>
      <c r="GL30" s="844"/>
      <c r="GM30" s="844"/>
      <c r="GN30" s="844"/>
      <c r="GO30" s="844"/>
      <c r="GP30" s="823">
        <f>COUNTA(FX30:GO30)</f>
        <v>0</v>
      </c>
      <c r="GQ30" s="824">
        <f>GQ27</f>
        <v>79.400000000000006</v>
      </c>
      <c r="GR30" s="118"/>
      <c r="GS30" s="870">
        <v>45971</v>
      </c>
      <c r="GT30" s="844"/>
      <c r="GU30" s="844"/>
      <c r="GV30" s="844"/>
      <c r="GW30" s="859"/>
      <c r="GX30" s="859"/>
      <c r="GY30" s="859"/>
      <c r="GZ30" s="843"/>
      <c r="HA30" s="843"/>
      <c r="HB30" s="843"/>
      <c r="HC30" s="834"/>
      <c r="HD30" s="835"/>
      <c r="HE30" s="836"/>
      <c r="HF30" s="843"/>
      <c r="HG30" s="843"/>
      <c r="HH30" s="843"/>
      <c r="HI30" s="834"/>
      <c r="HJ30" s="835"/>
      <c r="HK30" s="836"/>
      <c r="HL30" s="823">
        <f>COUNTA(GT30:HK30)</f>
        <v>0</v>
      </c>
      <c r="HM30" s="824">
        <f>HM27</f>
        <v>78.099999999999994</v>
      </c>
      <c r="HN30" s="118"/>
      <c r="HO30" s="845">
        <v>46001</v>
      </c>
      <c r="HP30" s="879" t="s">
        <v>78</v>
      </c>
      <c r="HQ30" s="880"/>
      <c r="HR30" s="881"/>
      <c r="HS30" s="882" t="s">
        <v>85</v>
      </c>
      <c r="HT30" s="883"/>
      <c r="HU30" s="884"/>
      <c r="HV30" s="882" t="s">
        <v>123</v>
      </c>
      <c r="HW30" s="883"/>
      <c r="HX30" s="884"/>
      <c r="HY30" s="867"/>
      <c r="HZ30" s="868"/>
      <c r="IA30" s="869"/>
      <c r="IB30" s="834"/>
      <c r="IC30" s="835"/>
      <c r="ID30" s="836"/>
      <c r="IE30" s="834"/>
      <c r="IF30" s="835"/>
      <c r="IG30" s="836"/>
      <c r="IH30" s="823">
        <f>COUNTA(HP30:IG30)</f>
        <v>3</v>
      </c>
      <c r="II30" s="824">
        <v>78.2</v>
      </c>
      <c r="IK30" s="840">
        <v>46032</v>
      </c>
      <c r="IL30" s="844"/>
      <c r="IM30" s="844"/>
      <c r="IN30" s="844"/>
      <c r="IO30" s="844"/>
      <c r="IP30" s="844"/>
      <c r="IQ30" s="844"/>
      <c r="IR30" s="844"/>
      <c r="IS30" s="844"/>
      <c r="IT30" s="844"/>
      <c r="IU30" s="844"/>
      <c r="IV30" s="844"/>
      <c r="IW30" s="844"/>
      <c r="IX30" s="834"/>
      <c r="IY30" s="835"/>
      <c r="IZ30" s="836"/>
      <c r="JA30" s="834"/>
      <c r="JB30" s="835"/>
      <c r="JC30" s="836"/>
      <c r="JD30" s="232" t="s">
        <v>425</v>
      </c>
      <c r="JE30" s="823">
        <f>COUNTA(IL30:JC30)</f>
        <v>0</v>
      </c>
      <c r="JF30" s="824">
        <f>JF27</f>
        <v>76.7</v>
      </c>
      <c r="JH30" s="61">
        <v>28</v>
      </c>
      <c r="JI30" s="62" t="str">
        <f>IF(I24&lt;&gt;"", "✔", "")</f>
        <v>✔</v>
      </c>
      <c r="JJ30" s="61">
        <v>28</v>
      </c>
      <c r="JK30" s="62" t="str" cm="1">
        <f t="array" ref="JK30">IF(INDEX(AB:AB, (ROW()-ROW($JK$3))*3 + 3) &lt;&gt; "", "✔", "")</f>
        <v>✔</v>
      </c>
      <c r="JL30" s="61">
        <v>28</v>
      </c>
      <c r="JM30" s="62" t="str" cm="1">
        <f t="array" ref="JM30">IF(INDEX(AU:AU, (ROW()-ROW($JM$3))*3 + 3) &lt;&gt; "", "✔", "")</f>
        <v>✔</v>
      </c>
      <c r="JN30" s="61">
        <v>28</v>
      </c>
      <c r="JO30" s="62" t="str" cm="1">
        <f t="array" ref="JO30">IF(INDEX(BN:BN, (ROW()-ROW($BN$3))*3 + 3) &lt;&gt; "", "✔", "")</f>
        <v>✔</v>
      </c>
      <c r="JP30" s="61">
        <v>28</v>
      </c>
      <c r="JQ30" s="62" t="str" cm="1">
        <f t="array" ref="JQ30">IF(INDEX(CG:CG, (ROW()-ROW($CG$3))*3 + 3) &lt;&gt; "", "✔", "")</f>
        <v>✔</v>
      </c>
      <c r="JR30" s="61">
        <v>28</v>
      </c>
      <c r="JS30" s="62" t="str" cm="1">
        <f t="array" ref="JS30">IF(INDEX(CZ:CZ, (ROW()-ROW($CZ$3))*3 + 3) &lt;&gt; "", "✔", "")</f>
        <v/>
      </c>
      <c r="JT30" s="61">
        <v>28</v>
      </c>
      <c r="JU30" s="62" t="str" cm="1">
        <f t="array" ref="JU30">IF(INDEX(DS:DS, (ROW()-ROW($DS$3))*3 + 3) &lt;&gt; "", "✔", "")</f>
        <v>✔</v>
      </c>
      <c r="JV30" s="61">
        <v>28</v>
      </c>
      <c r="JW30" s="62" t="str" cm="1">
        <f t="array" ref="JW30">IF(INDEX(EL:EL, (ROW()-ROW($EL$3))*3 + 3) &lt;&gt; "", "✔", "")</f>
        <v>✔</v>
      </c>
      <c r="JX30" s="61">
        <v>28</v>
      </c>
      <c r="JY30" s="62" t="str" cm="1">
        <f t="array" ref="JY30">IF(INDEX(FE:FE, (ROW()-ROW($FE$3))*3 + 3) &lt;&gt; "", "✔", "")</f>
        <v>✔</v>
      </c>
      <c r="JZ30" s="61">
        <v>28</v>
      </c>
      <c r="KA30" s="62" t="str" cm="1">
        <f t="array" ref="KA30">IF(INDEX(FX:FX, (ROW()-ROW($FX$3))*3 + 3) &lt;&gt; "", "✔", "")</f>
        <v>✔</v>
      </c>
      <c r="KB30" s="61">
        <v>28</v>
      </c>
      <c r="KC30" s="62" t="str" cm="1">
        <f t="array" ref="KC30">IF(INDEX(GT:GT, (ROW()-ROW($GT$3))*3 + 3) &lt;&gt; "", "✔", "")</f>
        <v/>
      </c>
      <c r="KD30" s="61">
        <v>28</v>
      </c>
      <c r="KE30" s="62" t="str" cm="1">
        <f t="array" ref="KE30">IF(INDEX(HP:HP, (ROW()-ROW($HP$3))*3 + 3) &lt;&gt; "", "✔", "")</f>
        <v/>
      </c>
      <c r="KG30" s="231">
        <v>135</v>
      </c>
      <c r="KH30" s="230">
        <f t="shared" si="0"/>
        <v>61.234920000000002</v>
      </c>
    </row>
    <row r="31" spans="1:294" ht="15">
      <c r="H31" s="874"/>
      <c r="I31" s="231" t="s">
        <v>59</v>
      </c>
      <c r="J31" s="231" t="s">
        <v>73</v>
      </c>
      <c r="K31" s="102" t="s">
        <v>4</v>
      </c>
      <c r="L31" s="231" t="s">
        <v>59</v>
      </c>
      <c r="M31" s="231" t="s">
        <v>73</v>
      </c>
      <c r="N31" s="102" t="s">
        <v>4</v>
      </c>
      <c r="O31" s="231" t="s">
        <v>59</v>
      </c>
      <c r="P31" s="231" t="s">
        <v>73</v>
      </c>
      <c r="Q31" s="102" t="s">
        <v>4</v>
      </c>
      <c r="R31" s="231" t="s">
        <v>59</v>
      </c>
      <c r="S31" s="231" t="s">
        <v>73</v>
      </c>
      <c r="T31" s="102" t="s">
        <v>4</v>
      </c>
      <c r="U31" s="107" t="s">
        <v>59</v>
      </c>
      <c r="V31" s="107" t="s">
        <v>73</v>
      </c>
      <c r="W31" s="108" t="s">
        <v>4</v>
      </c>
      <c r="X31" s="823"/>
      <c r="Y31" s="940"/>
      <c r="AA31" s="871"/>
      <c r="AB31" s="107" t="s">
        <v>59</v>
      </c>
      <c r="AC31" s="107" t="s">
        <v>73</v>
      </c>
      <c r="AD31" s="108" t="s">
        <v>4</v>
      </c>
      <c r="AE31" s="107" t="s">
        <v>59</v>
      </c>
      <c r="AF31" s="107" t="s">
        <v>73</v>
      </c>
      <c r="AG31" s="108" t="s">
        <v>4</v>
      </c>
      <c r="AH31" s="107" t="s">
        <v>59</v>
      </c>
      <c r="AI31" s="107" t="s">
        <v>73</v>
      </c>
      <c r="AJ31" s="108" t="s">
        <v>4</v>
      </c>
      <c r="AK31" s="107" t="s">
        <v>59</v>
      </c>
      <c r="AL31" s="107" t="s">
        <v>73</v>
      </c>
      <c r="AM31" s="108" t="s">
        <v>4</v>
      </c>
      <c r="AN31" s="107" t="s">
        <v>59</v>
      </c>
      <c r="AO31" s="107" t="s">
        <v>73</v>
      </c>
      <c r="AP31" s="108" t="s">
        <v>4</v>
      </c>
      <c r="AQ31" s="823"/>
      <c r="AR31" s="825"/>
      <c r="AT31" s="871"/>
      <c r="AU31" s="231" t="s">
        <v>59</v>
      </c>
      <c r="AV31" s="231" t="s">
        <v>73</v>
      </c>
      <c r="AW31" s="102" t="s">
        <v>4</v>
      </c>
      <c r="AX31" s="107" t="s">
        <v>59</v>
      </c>
      <c r="AY31" s="107" t="s">
        <v>73</v>
      </c>
      <c r="AZ31" s="108" t="s">
        <v>4</v>
      </c>
      <c r="BA31" s="107" t="s">
        <v>59</v>
      </c>
      <c r="BB31" s="107" t="s">
        <v>73</v>
      </c>
      <c r="BC31" s="108" t="s">
        <v>4</v>
      </c>
      <c r="BD31" s="107" t="s">
        <v>59</v>
      </c>
      <c r="BE31" s="107" t="s">
        <v>73</v>
      </c>
      <c r="BF31" s="108" t="s">
        <v>4</v>
      </c>
      <c r="BG31" s="107" t="s">
        <v>59</v>
      </c>
      <c r="BH31" s="107" t="s">
        <v>73</v>
      </c>
      <c r="BI31" s="108" t="s">
        <v>4</v>
      </c>
      <c r="BJ31" s="823"/>
      <c r="BK31" s="825"/>
      <c r="BL31" s="118"/>
      <c r="BM31" s="874"/>
      <c r="BN31" s="107" t="s">
        <v>59</v>
      </c>
      <c r="BO31" s="107" t="s">
        <v>73</v>
      </c>
      <c r="BP31" s="108" t="s">
        <v>4</v>
      </c>
      <c r="BQ31" s="107" t="s">
        <v>59</v>
      </c>
      <c r="BR31" s="107" t="s">
        <v>73</v>
      </c>
      <c r="BS31" s="108" t="s">
        <v>4</v>
      </c>
      <c r="BT31" s="107" t="s">
        <v>59</v>
      </c>
      <c r="BU31" s="107" t="s">
        <v>73</v>
      </c>
      <c r="BV31" s="108" t="s">
        <v>4</v>
      </c>
      <c r="BW31" s="107" t="s">
        <v>59</v>
      </c>
      <c r="BX31" s="107" t="s">
        <v>73</v>
      </c>
      <c r="BY31" s="108" t="s">
        <v>4</v>
      </c>
      <c r="BZ31" s="107" t="s">
        <v>59</v>
      </c>
      <c r="CA31" s="107" t="s">
        <v>73</v>
      </c>
      <c r="CB31" s="108" t="s">
        <v>4</v>
      </c>
      <c r="CC31" s="823"/>
      <c r="CD31" s="825"/>
      <c r="CF31" s="841"/>
      <c r="CG31" s="231" t="s">
        <v>59</v>
      </c>
      <c r="CH31" s="231" t="s">
        <v>73</v>
      </c>
      <c r="CI31" s="102" t="s">
        <v>4</v>
      </c>
      <c r="CJ31" s="107" t="s">
        <v>59</v>
      </c>
      <c r="CK31" s="107" t="s">
        <v>73</v>
      </c>
      <c r="CL31" s="108" t="s">
        <v>4</v>
      </c>
      <c r="CM31" s="107" t="s">
        <v>59</v>
      </c>
      <c r="CN31" s="107" t="s">
        <v>73</v>
      </c>
      <c r="CO31" s="108" t="s">
        <v>4</v>
      </c>
      <c r="CP31" s="107" t="s">
        <v>59</v>
      </c>
      <c r="CQ31" s="107" t="s">
        <v>73</v>
      </c>
      <c r="CR31" s="108" t="s">
        <v>4</v>
      </c>
      <c r="CS31" s="107" t="s">
        <v>59</v>
      </c>
      <c r="CT31" s="107" t="s">
        <v>73</v>
      </c>
      <c r="CU31" s="108" t="s">
        <v>4</v>
      </c>
      <c r="CV31" s="823"/>
      <c r="CW31" s="825"/>
      <c r="CX31" s="118"/>
      <c r="CY31" s="857"/>
      <c r="CZ31" s="231" t="s">
        <v>59</v>
      </c>
      <c r="DA31" s="231" t="s">
        <v>73</v>
      </c>
      <c r="DB31" s="102" t="s">
        <v>4</v>
      </c>
      <c r="DC31" s="107" t="s">
        <v>59</v>
      </c>
      <c r="DD31" s="107" t="s">
        <v>73</v>
      </c>
      <c r="DE31" s="108" t="s">
        <v>4</v>
      </c>
      <c r="DF31" s="107" t="s">
        <v>59</v>
      </c>
      <c r="DG31" s="107" t="s">
        <v>73</v>
      </c>
      <c r="DH31" s="108" t="s">
        <v>4</v>
      </c>
      <c r="DI31" s="107" t="s">
        <v>59</v>
      </c>
      <c r="DJ31" s="107" t="s">
        <v>73</v>
      </c>
      <c r="DK31" s="108" t="s">
        <v>4</v>
      </c>
      <c r="DL31" s="107" t="s">
        <v>59</v>
      </c>
      <c r="DM31" s="107" t="s">
        <v>73</v>
      </c>
      <c r="DN31" s="108" t="s">
        <v>4</v>
      </c>
      <c r="DO31" s="823"/>
      <c r="DP31" s="825"/>
      <c r="DR31" s="874"/>
      <c r="DS31" s="231" t="s">
        <v>59</v>
      </c>
      <c r="DT31" s="231" t="s">
        <v>73</v>
      </c>
      <c r="DU31" s="102" t="s">
        <v>4</v>
      </c>
      <c r="DV31" s="231" t="s">
        <v>59</v>
      </c>
      <c r="DW31" s="231" t="s">
        <v>73</v>
      </c>
      <c r="DX31" s="102" t="s">
        <v>4</v>
      </c>
      <c r="DY31" s="231" t="s">
        <v>59</v>
      </c>
      <c r="DZ31" s="231" t="s">
        <v>73</v>
      </c>
      <c r="EA31" s="102" t="s">
        <v>4</v>
      </c>
      <c r="EB31" s="231" t="s">
        <v>59</v>
      </c>
      <c r="EC31" s="231" t="s">
        <v>73</v>
      </c>
      <c r="ED31" s="102" t="s">
        <v>4</v>
      </c>
      <c r="EE31" s="107" t="s">
        <v>59</v>
      </c>
      <c r="EF31" s="107" t="s">
        <v>73</v>
      </c>
      <c r="EG31" s="108" t="s">
        <v>4</v>
      </c>
      <c r="EH31" s="823"/>
      <c r="EI31" s="825"/>
      <c r="EK31" s="865"/>
      <c r="EL31" s="231" t="s">
        <v>59</v>
      </c>
      <c r="EM31" s="231" t="s">
        <v>73</v>
      </c>
      <c r="EN31" s="102" t="s">
        <v>4</v>
      </c>
      <c r="EO31" s="231" t="s">
        <v>59</v>
      </c>
      <c r="EP31" s="231" t="s">
        <v>73</v>
      </c>
      <c r="EQ31" s="102" t="s">
        <v>4</v>
      </c>
      <c r="ER31" s="231" t="s">
        <v>59</v>
      </c>
      <c r="ES31" s="231" t="s">
        <v>73</v>
      </c>
      <c r="ET31" s="102" t="s">
        <v>4</v>
      </c>
      <c r="EU31" s="231" t="s">
        <v>59</v>
      </c>
      <c r="EV31" s="231" t="s">
        <v>73</v>
      </c>
      <c r="EW31" s="102" t="s">
        <v>4</v>
      </c>
      <c r="EX31" s="231" t="s">
        <v>59</v>
      </c>
      <c r="EY31" s="231" t="s">
        <v>73</v>
      </c>
      <c r="EZ31" s="102" t="s">
        <v>4</v>
      </c>
      <c r="FA31" s="823"/>
      <c r="FB31" s="825"/>
      <c r="FD31" s="846"/>
      <c r="FE31" s="107" t="s">
        <v>59</v>
      </c>
      <c r="FF31" s="107" t="s">
        <v>73</v>
      </c>
      <c r="FG31" s="108" t="s">
        <v>4</v>
      </c>
      <c r="FH31" s="107" t="s">
        <v>59</v>
      </c>
      <c r="FI31" s="107" t="s">
        <v>73</v>
      </c>
      <c r="FJ31" s="108" t="s">
        <v>4</v>
      </c>
      <c r="FK31" s="107" t="s">
        <v>59</v>
      </c>
      <c r="FL31" s="107" t="s">
        <v>73</v>
      </c>
      <c r="FM31" s="108" t="s">
        <v>4</v>
      </c>
      <c r="FN31" s="107" t="s">
        <v>59</v>
      </c>
      <c r="FO31" s="107" t="s">
        <v>73</v>
      </c>
      <c r="FP31" s="108" t="s">
        <v>4</v>
      </c>
      <c r="FQ31" s="107" t="s">
        <v>59</v>
      </c>
      <c r="FR31" s="107" t="s">
        <v>73</v>
      </c>
      <c r="FS31" s="108" t="s">
        <v>4</v>
      </c>
      <c r="FT31" s="823"/>
      <c r="FU31" s="825"/>
      <c r="FW31" s="877"/>
      <c r="FX31" s="107" t="s">
        <v>59</v>
      </c>
      <c r="FY31" s="107" t="s">
        <v>73</v>
      </c>
      <c r="FZ31" s="108" t="s">
        <v>4</v>
      </c>
      <c r="GA31" s="107" t="s">
        <v>59</v>
      </c>
      <c r="GB31" s="107" t="s">
        <v>73</v>
      </c>
      <c r="GC31" s="108" t="s">
        <v>4</v>
      </c>
      <c r="GD31" s="107" t="s">
        <v>59</v>
      </c>
      <c r="GE31" s="107" t="s">
        <v>73</v>
      </c>
      <c r="GF31" s="108" t="s">
        <v>4</v>
      </c>
      <c r="GG31" s="107" t="s">
        <v>59</v>
      </c>
      <c r="GH31" s="107" t="s">
        <v>73</v>
      </c>
      <c r="GI31" s="108" t="s">
        <v>4</v>
      </c>
      <c r="GJ31" s="107" t="s">
        <v>59</v>
      </c>
      <c r="GK31" s="107" t="s">
        <v>73</v>
      </c>
      <c r="GL31" s="108" t="s">
        <v>4</v>
      </c>
      <c r="GM31" s="107" t="s">
        <v>59</v>
      </c>
      <c r="GN31" s="107" t="s">
        <v>73</v>
      </c>
      <c r="GO31" s="108" t="s">
        <v>4</v>
      </c>
      <c r="GP31" s="823"/>
      <c r="GQ31" s="825"/>
      <c r="GR31" s="118"/>
      <c r="GS31" s="871"/>
      <c r="GT31" s="107" t="s">
        <v>59</v>
      </c>
      <c r="GU31" s="107" t="s">
        <v>73</v>
      </c>
      <c r="GV31" s="108" t="s">
        <v>4</v>
      </c>
      <c r="GW31" s="107" t="s">
        <v>59</v>
      </c>
      <c r="GX31" s="107" t="s">
        <v>73</v>
      </c>
      <c r="GY31" s="108" t="s">
        <v>4</v>
      </c>
      <c r="GZ31" s="107" t="s">
        <v>59</v>
      </c>
      <c r="HA31" s="107" t="s">
        <v>73</v>
      </c>
      <c r="HB31" s="108" t="s">
        <v>4</v>
      </c>
      <c r="HC31" s="107" t="s">
        <v>59</v>
      </c>
      <c r="HD31" s="107" t="s">
        <v>73</v>
      </c>
      <c r="HE31" s="108" t="s">
        <v>4</v>
      </c>
      <c r="HF31" s="107" t="s">
        <v>59</v>
      </c>
      <c r="HG31" s="107" t="s">
        <v>73</v>
      </c>
      <c r="HH31" s="108" t="s">
        <v>4</v>
      </c>
      <c r="HI31" s="107" t="s">
        <v>59</v>
      </c>
      <c r="HJ31" s="107" t="s">
        <v>73</v>
      </c>
      <c r="HK31" s="108" t="s">
        <v>4</v>
      </c>
      <c r="HL31" s="823"/>
      <c r="HM31" s="825"/>
      <c r="HN31" s="118"/>
      <c r="HO31" s="846"/>
      <c r="HP31" s="231" t="s">
        <v>59</v>
      </c>
      <c r="HQ31" s="231" t="s">
        <v>73</v>
      </c>
      <c r="HR31" s="102" t="s">
        <v>4</v>
      </c>
      <c r="HS31" s="231" t="s">
        <v>59</v>
      </c>
      <c r="HT31" s="231" t="s">
        <v>73</v>
      </c>
      <c r="HU31" s="102" t="s">
        <v>4</v>
      </c>
      <c r="HV31" s="231" t="s">
        <v>59</v>
      </c>
      <c r="HW31" s="231" t="s">
        <v>73</v>
      </c>
      <c r="HX31" s="102" t="s">
        <v>4</v>
      </c>
      <c r="HY31" s="107" t="s">
        <v>59</v>
      </c>
      <c r="HZ31" s="107" t="s">
        <v>73</v>
      </c>
      <c r="IA31" s="108" t="s">
        <v>4</v>
      </c>
      <c r="IB31" s="107" t="s">
        <v>59</v>
      </c>
      <c r="IC31" s="107" t="s">
        <v>73</v>
      </c>
      <c r="ID31" s="108" t="s">
        <v>4</v>
      </c>
      <c r="IE31" s="107" t="s">
        <v>59</v>
      </c>
      <c r="IF31" s="107" t="s">
        <v>73</v>
      </c>
      <c r="IG31" s="108" t="s">
        <v>4</v>
      </c>
      <c r="IH31" s="823"/>
      <c r="II31" s="825"/>
      <c r="IK31" s="841"/>
      <c r="IL31" s="107" t="s">
        <v>59</v>
      </c>
      <c r="IM31" s="107" t="s">
        <v>73</v>
      </c>
      <c r="IN31" s="108" t="s">
        <v>4</v>
      </c>
      <c r="IO31" s="107" t="s">
        <v>59</v>
      </c>
      <c r="IP31" s="107" t="s">
        <v>73</v>
      </c>
      <c r="IQ31" s="108" t="s">
        <v>4</v>
      </c>
      <c r="IR31" s="107" t="s">
        <v>59</v>
      </c>
      <c r="IS31" s="107" t="s">
        <v>73</v>
      </c>
      <c r="IT31" s="108" t="s">
        <v>4</v>
      </c>
      <c r="IU31" s="107" t="s">
        <v>59</v>
      </c>
      <c r="IV31" s="107" t="s">
        <v>73</v>
      </c>
      <c r="IW31" s="108" t="s">
        <v>4</v>
      </c>
      <c r="IX31" s="107" t="s">
        <v>59</v>
      </c>
      <c r="IY31" s="107" t="s">
        <v>73</v>
      </c>
      <c r="IZ31" s="108" t="s">
        <v>4</v>
      </c>
      <c r="JA31" s="107" t="s">
        <v>59</v>
      </c>
      <c r="JB31" s="107" t="s">
        <v>73</v>
      </c>
      <c r="JC31" s="108" t="s">
        <v>4</v>
      </c>
      <c r="JD31" s="948"/>
      <c r="JE31" s="823"/>
      <c r="JF31" s="825"/>
      <c r="JH31" s="58">
        <v>29</v>
      </c>
      <c r="JI31" s="59" t="str">
        <f>IF(I27&lt;&gt;"", "✔", "")</f>
        <v/>
      </c>
      <c r="JJ31" s="109"/>
      <c r="JK31" s="77" t="str">
        <f>IF(AB87&lt;&gt;"", "✔", "")</f>
        <v/>
      </c>
      <c r="JL31" s="58">
        <v>29</v>
      </c>
      <c r="JM31" s="59" t="str" cm="1">
        <f t="array" ref="JM31">IF(INDEX(AU:AU, (ROW()-ROW($JM$3))*3 + 3) &lt;&gt; "", "✔", "")</f>
        <v>✔</v>
      </c>
      <c r="JN31" s="124">
        <v>29</v>
      </c>
      <c r="JO31" s="82" t="str" cm="1">
        <f t="array" ref="JO31">IF(INDEX(BN:BN, (ROW()-ROW($BN$3))*3 + 3) &lt;&gt; "", "✔", "")</f>
        <v>✔</v>
      </c>
      <c r="JP31" s="124">
        <v>29</v>
      </c>
      <c r="JQ31" s="82" t="str" cm="1">
        <f t="array" ref="JQ31">IF(INDEX(CG:CG, (ROW()-ROW($CG$3))*3 + 3) &lt;&gt; "", "✔", "")</f>
        <v/>
      </c>
      <c r="JR31" s="124">
        <v>29</v>
      </c>
      <c r="JS31" s="82" t="str" cm="1">
        <f t="array" ref="JS31">IF(INDEX(CZ:CZ, (ROW()-ROW($CZ$3))*3 + 3) &lt;&gt; "", "✔", "")</f>
        <v>✔</v>
      </c>
      <c r="JT31" s="124">
        <v>29</v>
      </c>
      <c r="JU31" s="82" t="str" cm="1">
        <f t="array" ref="JU31">IF(INDEX(DS:DS, (ROW()-ROW($DS$3))*3 + 3) &lt;&gt; "", "✔", "")</f>
        <v>✔</v>
      </c>
      <c r="JV31" s="124">
        <v>29</v>
      </c>
      <c r="JW31" s="82" t="str" cm="1">
        <f t="array" ref="JW31">IF(INDEX(EL:EL, (ROW()-ROW($EL$3))*3 + 3) &lt;&gt; "", "✔", "")</f>
        <v/>
      </c>
      <c r="JX31" s="124">
        <v>29</v>
      </c>
      <c r="JY31" s="82" t="str" cm="1">
        <f t="array" ref="JY31">IF(INDEX(FE:FE, (ROW()-ROW($FE$3))*3 + 3) &lt;&gt; "", "✔", "")</f>
        <v>✔</v>
      </c>
      <c r="JZ31" s="124">
        <v>29</v>
      </c>
      <c r="KA31" s="82" t="str" cm="1">
        <f t="array" ref="KA31">IF(INDEX(FX:FX, (ROW()-ROW($FX$3))*3 + 3) &lt;&gt; "", "✔", "")</f>
        <v/>
      </c>
      <c r="KB31" s="124">
        <v>29</v>
      </c>
      <c r="KC31" s="82" t="str" cm="1">
        <f t="array" ref="KC31">IF(INDEX(GT:GT, (ROW()-ROW($GT$3))*3 + 3) &lt;&gt; "", "✔", "")</f>
        <v>✔</v>
      </c>
      <c r="KD31" s="124">
        <v>29</v>
      </c>
      <c r="KE31" s="82" t="str" cm="1">
        <f t="array" ref="KE31">IF(INDEX(HP:HP, (ROW()-ROW($HP$3))*3 + 3) &lt;&gt; "", "✔", "")</f>
        <v/>
      </c>
      <c r="KG31" s="231">
        <v>140</v>
      </c>
      <c r="KH31" s="230">
        <f t="shared" si="0"/>
        <v>63.502879999999998</v>
      </c>
    </row>
    <row r="32" spans="1:294" ht="15">
      <c r="H32" s="875"/>
      <c r="I32" s="229">
        <v>4</v>
      </c>
      <c r="J32" s="229">
        <v>8</v>
      </c>
      <c r="K32" s="229">
        <v>54.4</v>
      </c>
      <c r="L32" s="229">
        <v>4</v>
      </c>
      <c r="M32" s="229">
        <v>8</v>
      </c>
      <c r="N32" s="229">
        <v>20</v>
      </c>
      <c r="O32" s="229">
        <v>4</v>
      </c>
      <c r="P32" s="229">
        <v>6</v>
      </c>
      <c r="Q32" s="229">
        <v>12.5</v>
      </c>
      <c r="R32" s="229">
        <v>1</v>
      </c>
      <c r="S32" s="229">
        <v>8</v>
      </c>
      <c r="T32" s="229">
        <v>20</v>
      </c>
      <c r="U32" s="233"/>
      <c r="V32" s="233"/>
      <c r="W32" s="233"/>
      <c r="X32" s="229">
        <f t="shared" ref="X32" si="92">(I32*J32*K32)+(L32*M32*N32)+(O32*P32*Q32)+(R32*S32*T32)+(U32*V32*W32)</f>
        <v>2840.8</v>
      </c>
      <c r="Y32" s="941"/>
      <c r="AA32" s="872"/>
      <c r="AB32" s="233"/>
      <c r="AC32" s="233"/>
      <c r="AD32" s="233"/>
      <c r="AE32" s="233"/>
      <c r="AF32" s="233"/>
      <c r="AG32" s="233"/>
      <c r="AH32" s="233"/>
      <c r="AI32" s="233"/>
      <c r="AJ32" s="233"/>
      <c r="AK32" s="233"/>
      <c r="AL32" s="233"/>
      <c r="AM32" s="233"/>
      <c r="AN32" s="233"/>
      <c r="AO32" s="233"/>
      <c r="AP32" s="233"/>
      <c r="AQ32" s="229">
        <f t="shared" ref="AQ32" si="93">(AB32*AC32*AD32)+(AE32*AF32*AG32)+(AH32*AI32*AJ32)+(AK32*AL32*AM32)+(AN32*AO32*AP32)</f>
        <v>0</v>
      </c>
      <c r="AR32" s="826"/>
      <c r="AT32" s="872"/>
      <c r="AU32" s="229">
        <v>1</v>
      </c>
      <c r="AV32" s="229">
        <v>25</v>
      </c>
      <c r="AW32" s="229">
        <f>BK30</f>
        <v>90.3</v>
      </c>
      <c r="AX32" s="233"/>
      <c r="AY32" s="233"/>
      <c r="AZ32" s="233"/>
      <c r="BA32" s="233"/>
      <c r="BB32" s="233"/>
      <c r="BC32" s="233"/>
      <c r="BD32" s="233"/>
      <c r="BE32" s="233"/>
      <c r="BF32" s="233"/>
      <c r="BG32" s="233"/>
      <c r="BH32" s="233"/>
      <c r="BI32" s="233"/>
      <c r="BJ32" s="229">
        <f t="shared" ref="BJ32" si="94">(AU32*AV32*AW32)+(AX32*AY32*AZ32)+(BA32*BB32*BC32)+(BD32*BE32*BF32)+(BG32*BH32*BI32)</f>
        <v>2257.5</v>
      </c>
      <c r="BK32" s="826"/>
      <c r="BL32" s="118"/>
      <c r="BM32" s="875"/>
      <c r="BN32" s="233"/>
      <c r="BO32" s="233"/>
      <c r="BP32" s="233"/>
      <c r="BQ32" s="233"/>
      <c r="BR32" s="233"/>
      <c r="BS32" s="233"/>
      <c r="BT32" s="233"/>
      <c r="BU32" s="233"/>
      <c r="BV32" s="233"/>
      <c r="BW32" s="233"/>
      <c r="BX32" s="233"/>
      <c r="BY32" s="233"/>
      <c r="BZ32" s="233"/>
      <c r="CA32" s="233"/>
      <c r="CB32" s="233"/>
      <c r="CC32" s="229">
        <f t="shared" ref="CC32" si="95">(BN32*BO32*BP32)+(BQ32*BR32*BS32)+(BT32*BU32*BV32)+(BW32*BX32*BY32)+(BZ32*CA32*CB32)</f>
        <v>0</v>
      </c>
      <c r="CD32" s="826"/>
      <c r="CF32" s="842"/>
      <c r="CG32" s="229">
        <v>1</v>
      </c>
      <c r="CH32" s="229">
        <v>42</v>
      </c>
      <c r="CI32" s="229">
        <f>CW30+5</f>
        <v>89.8</v>
      </c>
      <c r="CJ32" s="233"/>
      <c r="CK32" s="233"/>
      <c r="CL32" s="233"/>
      <c r="CM32" s="233"/>
      <c r="CN32" s="233"/>
      <c r="CO32" s="233"/>
      <c r="CP32" s="233"/>
      <c r="CQ32" s="233"/>
      <c r="CR32" s="233"/>
      <c r="CS32" s="233"/>
      <c r="CT32" s="233"/>
      <c r="CU32" s="233"/>
      <c r="CV32" s="229">
        <f t="shared" ref="CV32" si="96">(CG32*CH32*CI32)+(CJ32*CK32*CL32)+(CM32*CN32*CO32)+(CP32*CQ32*CR32)+(CS32*CT32*CU32)</f>
        <v>3771.6</v>
      </c>
      <c r="CW32" s="826"/>
      <c r="CX32" s="118"/>
      <c r="CY32" s="858"/>
      <c r="CZ32" s="229">
        <v>1</v>
      </c>
      <c r="DA32" s="229">
        <v>30</v>
      </c>
      <c r="DB32" s="229">
        <f>DP30+10</f>
        <v>93.4</v>
      </c>
      <c r="DC32" s="233"/>
      <c r="DD32" s="233"/>
      <c r="DE32" s="233"/>
      <c r="DF32" s="233"/>
      <c r="DG32" s="233"/>
      <c r="DH32" s="233"/>
      <c r="DI32" s="233"/>
      <c r="DJ32" s="233"/>
      <c r="DK32" s="233"/>
      <c r="DL32" s="233"/>
      <c r="DM32" s="233"/>
      <c r="DN32" s="233"/>
      <c r="DO32" s="229">
        <f t="shared" ref="DO32" si="97">(CZ32*DA32*DB32)+(DC32*DD32*DE32)+(DF32*DG32*DH32)+(DI32*DJ32*DK32)+(DL32*DM32*DN32)</f>
        <v>2802</v>
      </c>
      <c r="DP32" s="826"/>
      <c r="DR32" s="875"/>
      <c r="DS32" s="229">
        <v>3</v>
      </c>
      <c r="DT32" s="229">
        <v>10</v>
      </c>
      <c r="DU32" s="229">
        <v>11.3</v>
      </c>
      <c r="DV32" s="229">
        <v>3</v>
      </c>
      <c r="DW32" s="229">
        <v>10</v>
      </c>
      <c r="DX32" s="229">
        <v>17.5</v>
      </c>
      <c r="DY32" s="229">
        <v>3</v>
      </c>
      <c r="DZ32" s="229">
        <v>12</v>
      </c>
      <c r="EA32" s="229">
        <v>5</v>
      </c>
      <c r="EB32" s="229">
        <v>3</v>
      </c>
      <c r="EC32" s="229">
        <v>12</v>
      </c>
      <c r="ED32" s="229">
        <v>7.5</v>
      </c>
      <c r="EE32" s="233"/>
      <c r="EF32" s="233"/>
      <c r="EG32" s="233"/>
      <c r="EH32" s="229">
        <f t="shared" ref="EH32" si="98">(DS32*DT32*DU32)+(DV32*DW32*DX32)+(DY32*DZ32*EA32)+(EB32*EC32*ED32)+(EE32*EF32*EG32)</f>
        <v>1314</v>
      </c>
      <c r="EI32" s="826"/>
      <c r="EK32" s="866"/>
      <c r="EL32" s="229">
        <v>3</v>
      </c>
      <c r="EM32" s="126">
        <f>((12*3)+(8*1))/4</f>
        <v>11</v>
      </c>
      <c r="EN32" s="126">
        <f>((32*1)+(50*2)+(54*1))/4</f>
        <v>46.5</v>
      </c>
      <c r="EO32" s="229">
        <v>3</v>
      </c>
      <c r="EP32" s="126">
        <v>12</v>
      </c>
      <c r="EQ32" s="229">
        <v>13.6</v>
      </c>
      <c r="ER32" s="229">
        <v>3</v>
      </c>
      <c r="ES32" s="126">
        <v>11</v>
      </c>
      <c r="ET32" s="229">
        <v>20</v>
      </c>
      <c r="EU32" s="229">
        <v>3</v>
      </c>
      <c r="EV32" s="126">
        <v>8</v>
      </c>
      <c r="EW32" s="126">
        <v>10</v>
      </c>
      <c r="EX32" s="229">
        <v>3</v>
      </c>
      <c r="EY32" s="229">
        <v>20</v>
      </c>
      <c r="EZ32" s="229">
        <f>(1/3)*$FB30</f>
        <v>26.866666666666664</v>
      </c>
      <c r="FA32" s="229">
        <f t="shared" ref="FA32" si="99">(EL32*EM32*EN32)+(EO32*EP32*EQ32)+(ER32*ES32*ET32)+(EU32*EV32*EW32)+(EX32*EY32*EZ32)</f>
        <v>4536.0999999999995</v>
      </c>
      <c r="FB32" s="826"/>
      <c r="FD32" s="847"/>
      <c r="FE32" s="233"/>
      <c r="FF32" s="233"/>
      <c r="FG32" s="233"/>
      <c r="FH32" s="233"/>
      <c r="FI32" s="233"/>
      <c r="FJ32" s="233"/>
      <c r="FK32" s="233"/>
      <c r="FL32" s="233"/>
      <c r="FM32" s="233"/>
      <c r="FN32" s="233"/>
      <c r="FO32" s="233"/>
      <c r="FP32" s="233"/>
      <c r="FQ32" s="233"/>
      <c r="FR32" s="233"/>
      <c r="FS32" s="233"/>
      <c r="FT32" s="229">
        <f t="shared" ref="FT32" si="100">(FE32*FF32*FG32)+(FH32*FI32*FJ32)+(FK32*FL32*FM32)+(FN32*FO32*FP32)+(FQ32*FR32*FS32)</f>
        <v>0</v>
      </c>
      <c r="FU32" s="826"/>
      <c r="FW32" s="878"/>
      <c r="FX32" s="233"/>
      <c r="FY32" s="233"/>
      <c r="FZ32" s="233"/>
      <c r="GA32" s="233"/>
      <c r="GB32" s="233"/>
      <c r="GC32" s="233"/>
      <c r="GD32" s="233"/>
      <c r="GE32" s="233"/>
      <c r="GF32" s="233"/>
      <c r="GG32" s="233"/>
      <c r="GH32" s="233"/>
      <c r="GI32" s="233"/>
      <c r="GJ32" s="233"/>
      <c r="GK32" s="233"/>
      <c r="GL32" s="233"/>
      <c r="GM32" s="233"/>
      <c r="GN32" s="233"/>
      <c r="GO32" s="233"/>
      <c r="GP32" s="229">
        <f>(FX32*FY32*FZ32)+(GA32*GB32*GC32)+(GD32*GE32*GF32)+(GG32*GH32*GI32)+(GJ32*GK32*GL32)+(GM32*GN32*GO32)</f>
        <v>0</v>
      </c>
      <c r="GQ32" s="826"/>
      <c r="GR32" s="118"/>
      <c r="GS32" s="872"/>
      <c r="GT32" s="233"/>
      <c r="GU32" s="233"/>
      <c r="GV32" s="233"/>
      <c r="GW32" s="233"/>
      <c r="GX32" s="233"/>
      <c r="GY32" s="233"/>
      <c r="GZ32" s="233"/>
      <c r="HA32" s="233"/>
      <c r="HB32" s="233"/>
      <c r="HC32" s="233"/>
      <c r="HD32" s="233"/>
      <c r="HE32" s="233"/>
      <c r="HF32" s="233"/>
      <c r="HG32" s="233"/>
      <c r="HH32" s="233"/>
      <c r="HI32" s="233"/>
      <c r="HJ32" s="233"/>
      <c r="HK32" s="233"/>
      <c r="HL32" s="229">
        <f>(GT32*GU32*GV32)+(GW32*GX32*GY32)+(GZ32*HA32*HB32)+(HC32*HD32*HE32)+(HF32*HG32*HH32)+(HI32*HJ32*HK32)</f>
        <v>0</v>
      </c>
      <c r="HM32" s="826"/>
      <c r="HN32" s="118"/>
      <c r="HO32" s="847"/>
      <c r="HP32" s="229">
        <v>3</v>
      </c>
      <c r="HQ32" s="229">
        <v>14</v>
      </c>
      <c r="HR32" s="229">
        <v>17.5</v>
      </c>
      <c r="HS32" s="229">
        <v>3</v>
      </c>
      <c r="HT32" s="229">
        <v>30</v>
      </c>
      <c r="HU32" s="229">
        <f>II30*(1.2/3)</f>
        <v>31.279999999999998</v>
      </c>
      <c r="HV32" s="229">
        <v>2</v>
      </c>
      <c r="HW32" s="229">
        <v>12</v>
      </c>
      <c r="HX32" s="229">
        <v>22.7</v>
      </c>
      <c r="HY32" s="233"/>
      <c r="HZ32" s="233"/>
      <c r="IA32" s="233"/>
      <c r="IB32" s="233"/>
      <c r="IC32" s="233"/>
      <c r="ID32" s="233"/>
      <c r="IE32" s="233"/>
      <c r="IF32" s="233"/>
      <c r="IG32" s="233"/>
      <c r="IH32" s="229">
        <f>(HP32*HQ32*HR32)+(HS32*HT32*HU32)+(HV32*HW32*HX32)+(HY32*HZ32*IA32)+(IB32*IC32*ID32)+(IE32*IF32*IG32)</f>
        <v>4095</v>
      </c>
      <c r="II32" s="826"/>
      <c r="IK32" s="842"/>
      <c r="IL32" s="233"/>
      <c r="IM32" s="233"/>
      <c r="IN32" s="233"/>
      <c r="IO32" s="233"/>
      <c r="IP32" s="233"/>
      <c r="IQ32" s="233"/>
      <c r="IR32" s="233"/>
      <c r="IS32" s="233"/>
      <c r="IT32" s="233"/>
      <c r="IU32" s="233"/>
      <c r="IV32" s="233"/>
      <c r="IW32" s="233"/>
      <c r="IX32" s="233"/>
      <c r="IY32" s="233"/>
      <c r="IZ32" s="233"/>
      <c r="JA32" s="233"/>
      <c r="JB32" s="233"/>
      <c r="JC32" s="233"/>
      <c r="JD32" s="949"/>
      <c r="JE32" s="229">
        <f>(IL32*IM32*IN32)+(IO32*IP32*IQ32)+(IR32*IS32*IT32)+(IU32*IV32*IW32)+(IX32*IY32*IZ32)+(JA32*JB32*JC32)</f>
        <v>0</v>
      </c>
      <c r="JF32" s="826"/>
      <c r="JH32" s="61">
        <v>30</v>
      </c>
      <c r="JI32" s="103" t="str">
        <f>IF(I30&lt;&gt;"", "✔", "")</f>
        <v>✔</v>
      </c>
      <c r="JJ32" s="76">
        <v>30</v>
      </c>
      <c r="JK32" s="77" t="str">
        <f>IF(AB90&lt;&gt;"", "✔", "")</f>
        <v/>
      </c>
      <c r="JL32" s="61">
        <v>30</v>
      </c>
      <c r="JM32" s="62" t="str" cm="1">
        <f t="array" ref="JM32">IF(INDEX(AU:AU, (ROW()-ROW($JM$3))*3 + 3) &lt;&gt; "", "✔", "")</f>
        <v>✔</v>
      </c>
      <c r="JN32" s="61">
        <v>30</v>
      </c>
      <c r="JO32" s="62" t="str" cm="1">
        <f t="array" ref="JO32">IF(INDEX(BN:BN, (ROW()-ROW($BN$3))*3 + 3) &lt;&gt; "", "✔", "")</f>
        <v/>
      </c>
      <c r="JP32" s="61">
        <v>30</v>
      </c>
      <c r="JQ32" s="62" t="str" cm="1">
        <f t="array" ref="JQ32">IF(INDEX(CG:CG, (ROW()-ROW($CG$3))*3 + 3) &lt;&gt; "", "✔", "")</f>
        <v>✔</v>
      </c>
      <c r="JR32" s="61">
        <v>30</v>
      </c>
      <c r="JS32" s="62" t="str" cm="1">
        <f t="array" ref="JS32">IF(INDEX(CZ:CZ, (ROW()-ROW($CZ$3))*3 + 3) &lt;&gt; "", "✔", "")</f>
        <v>✔</v>
      </c>
      <c r="JT32" s="61">
        <v>30</v>
      </c>
      <c r="JU32" s="62" t="str" cm="1">
        <f t="array" ref="JU32">IF(INDEX(DS:DS, (ROW()-ROW($DS$3))*3 + 3) &lt;&gt; "", "✔", "")</f>
        <v/>
      </c>
      <c r="JV32" s="61">
        <v>30</v>
      </c>
      <c r="JW32" s="62" t="str" cm="1">
        <f t="array" ref="JW32">IF(INDEX(EL:EL, (ROW()-ROW($EL$3))*3 + 3) &lt;&gt; "", "✔", "")</f>
        <v/>
      </c>
      <c r="JX32" s="61">
        <v>30</v>
      </c>
      <c r="JY32" s="62" t="str" cm="1">
        <f t="array" ref="JY32">IF(INDEX(FE:FE, (ROW()-ROW($FE$3))*3 + 3) &lt;&gt; "", "✔", "")</f>
        <v>✔</v>
      </c>
      <c r="JZ32" s="61">
        <v>30</v>
      </c>
      <c r="KA32" s="62" t="str" cm="1">
        <f t="array" ref="KA32">IF(INDEX(FX:FX, (ROW()-ROW($FX$3))*3 + 3) &lt;&gt; "", "✔", "")</f>
        <v>✔</v>
      </c>
      <c r="KB32" s="61">
        <v>30</v>
      </c>
      <c r="KC32" s="62" t="str" cm="1">
        <f t="array" ref="KC32">IF(INDEX(GT:GT, (ROW()-ROW($GT$3))*3 + 3) &lt;&gt; "", "✔", "")</f>
        <v>✔</v>
      </c>
      <c r="KD32" s="61">
        <v>30</v>
      </c>
      <c r="KE32" s="62" t="str" cm="1">
        <f t="array" ref="KE32">IF(INDEX(HP:HP, (ROW()-ROW($HP$3))*3 + 3) &lt;&gt; "", "✔", "")</f>
        <v/>
      </c>
      <c r="KG32" s="231">
        <v>145</v>
      </c>
      <c r="KH32" s="230">
        <f t="shared" si="0"/>
        <v>65.770839999999993</v>
      </c>
    </row>
    <row r="33" spans="8:294" ht="15.75" thickBot="1">
      <c r="H33" s="876">
        <v>45688</v>
      </c>
      <c r="I33" s="849" t="s">
        <v>89</v>
      </c>
      <c r="J33" s="849"/>
      <c r="K33" s="849"/>
      <c r="L33" s="886" t="s">
        <v>82</v>
      </c>
      <c r="M33" s="886"/>
      <c r="N33" s="886"/>
      <c r="O33" s="890" t="s">
        <v>93</v>
      </c>
      <c r="P33" s="890"/>
      <c r="Q33" s="890"/>
      <c r="R33" s="882" t="s">
        <v>14</v>
      </c>
      <c r="S33" s="883"/>
      <c r="T33" s="884"/>
      <c r="U33" s="844"/>
      <c r="V33" s="844"/>
      <c r="W33" s="844"/>
      <c r="X33" s="823">
        <f t="shared" ref="X33" si="101">COUNTA(I33:W33)</f>
        <v>4</v>
      </c>
      <c r="Y33" s="939">
        <v>94.6</v>
      </c>
      <c r="AA33" s="856">
        <v>45699</v>
      </c>
      <c r="AB33" s="882" t="s">
        <v>14</v>
      </c>
      <c r="AC33" s="883"/>
      <c r="AD33" s="884"/>
      <c r="AE33" s="848" t="s">
        <v>92</v>
      </c>
      <c r="AF33" s="848"/>
      <c r="AG33" s="848"/>
      <c r="AH33" s="882" t="s">
        <v>95</v>
      </c>
      <c r="AI33" s="883"/>
      <c r="AJ33" s="884"/>
      <c r="AK33" s="890" t="s">
        <v>94</v>
      </c>
      <c r="AL33" s="890"/>
      <c r="AM33" s="890"/>
      <c r="AN33" s="844"/>
      <c r="AO33" s="844"/>
      <c r="AP33" s="844"/>
      <c r="AQ33" s="823">
        <f t="shared" ref="AQ33" si="102">COUNTA(AB33:AP33)</f>
        <v>4</v>
      </c>
      <c r="AR33" s="824">
        <v>93.2</v>
      </c>
      <c r="AT33" s="856">
        <v>45727</v>
      </c>
      <c r="AU33" s="848" t="s">
        <v>92</v>
      </c>
      <c r="AV33" s="848"/>
      <c r="AW33" s="848"/>
      <c r="AX33" s="848" t="s">
        <v>101</v>
      </c>
      <c r="AY33" s="848"/>
      <c r="AZ33" s="848"/>
      <c r="BA33" s="834"/>
      <c r="BB33" s="835"/>
      <c r="BC33" s="836"/>
      <c r="BD33" s="843"/>
      <c r="BE33" s="843"/>
      <c r="BF33" s="843"/>
      <c r="BG33" s="844"/>
      <c r="BH33" s="844"/>
      <c r="BI33" s="844"/>
      <c r="BJ33" s="823">
        <f t="shared" ref="BJ33" si="103">COUNTA(AU33:BI33)</f>
        <v>2</v>
      </c>
      <c r="BK33" s="824">
        <v>89.9</v>
      </c>
      <c r="BL33" s="118"/>
      <c r="BM33" s="876">
        <v>45758</v>
      </c>
      <c r="BN33" s="848" t="s">
        <v>68</v>
      </c>
      <c r="BO33" s="848"/>
      <c r="BP33" s="848"/>
      <c r="BQ33" s="890" t="s">
        <v>71</v>
      </c>
      <c r="BR33" s="890"/>
      <c r="BS33" s="890"/>
      <c r="BT33" s="882" t="s">
        <v>110</v>
      </c>
      <c r="BU33" s="883"/>
      <c r="BV33" s="884"/>
      <c r="BW33" s="882" t="s">
        <v>111</v>
      </c>
      <c r="BX33" s="883"/>
      <c r="BY33" s="884"/>
      <c r="BZ33" s="848" t="s">
        <v>85</v>
      </c>
      <c r="CA33" s="848"/>
      <c r="CB33" s="848"/>
      <c r="CC33" s="823">
        <f t="shared" ref="CC33" si="104">COUNTA(BN33:CB33)</f>
        <v>5</v>
      </c>
      <c r="CD33" s="824">
        <v>87.7</v>
      </c>
      <c r="CF33" s="864">
        <v>45788</v>
      </c>
      <c r="CG33" s="849" t="s">
        <v>119</v>
      </c>
      <c r="CH33" s="849"/>
      <c r="CI33" s="849"/>
      <c r="CJ33" s="849" t="s">
        <v>79</v>
      </c>
      <c r="CK33" s="849"/>
      <c r="CL33" s="849"/>
      <c r="CM33" s="886" t="s">
        <v>82</v>
      </c>
      <c r="CN33" s="886"/>
      <c r="CO33" s="886"/>
      <c r="CP33" s="890" t="s">
        <v>93</v>
      </c>
      <c r="CQ33" s="890"/>
      <c r="CR33" s="890"/>
      <c r="CS33" s="844"/>
      <c r="CT33" s="844"/>
      <c r="CU33" s="844"/>
      <c r="CV33" s="823">
        <f t="shared" ref="CV33" si="105">COUNTA(CG33:CU33)</f>
        <v>4</v>
      </c>
      <c r="CW33" s="824">
        <v>85.1</v>
      </c>
      <c r="CX33" s="118"/>
      <c r="CY33" s="845">
        <v>45819</v>
      </c>
      <c r="CZ33" s="859"/>
      <c r="DA33" s="859"/>
      <c r="DB33" s="859"/>
      <c r="DC33" s="859"/>
      <c r="DD33" s="859"/>
      <c r="DE33" s="859"/>
      <c r="DF33" s="844"/>
      <c r="DG33" s="844"/>
      <c r="DH33" s="844"/>
      <c r="DI33" s="844"/>
      <c r="DJ33" s="844"/>
      <c r="DK33" s="844"/>
      <c r="DL33" s="844"/>
      <c r="DM33" s="844"/>
      <c r="DN33" s="844"/>
      <c r="DO33" s="823">
        <f t="shared" ref="DO33" si="106">COUNTA(CZ33:DN33)</f>
        <v>0</v>
      </c>
      <c r="DP33" s="824">
        <f>DP30</f>
        <v>83.4</v>
      </c>
      <c r="DR33" s="876">
        <v>45849</v>
      </c>
      <c r="DS33" s="859"/>
      <c r="DT33" s="859"/>
      <c r="DU33" s="859"/>
      <c r="DV33" s="859"/>
      <c r="DW33" s="859"/>
      <c r="DX33" s="859"/>
      <c r="DY33" s="844"/>
      <c r="DZ33" s="844"/>
      <c r="EA33" s="844"/>
      <c r="EB33" s="844"/>
      <c r="EC33" s="844"/>
      <c r="ED33" s="844"/>
      <c r="EE33" s="844"/>
      <c r="EF33" s="844"/>
      <c r="EG33" s="844"/>
      <c r="EH33" s="823">
        <f t="shared" ref="EH33" si="107">COUNTA(DS33:EG33)</f>
        <v>0</v>
      </c>
      <c r="EI33" s="824">
        <f>EI30</f>
        <v>81.7</v>
      </c>
      <c r="EK33" s="870">
        <v>45880</v>
      </c>
      <c r="EL33" s="848" t="s">
        <v>105</v>
      </c>
      <c r="EM33" s="848"/>
      <c r="EN33" s="848"/>
      <c r="EO33" s="849" t="s">
        <v>72</v>
      </c>
      <c r="EP33" s="849"/>
      <c r="EQ33" s="849"/>
      <c r="ER33" s="882" t="s">
        <v>101</v>
      </c>
      <c r="ES33" s="883"/>
      <c r="ET33" s="884"/>
      <c r="EU33" s="879" t="s">
        <v>133</v>
      </c>
      <c r="EV33" s="880"/>
      <c r="EW33" s="881"/>
      <c r="EX33" s="882" t="s">
        <v>85</v>
      </c>
      <c r="EY33" s="883"/>
      <c r="EZ33" s="884"/>
      <c r="FA33" s="823">
        <f t="shared" ref="FA33" si="108">COUNTA(EL33:EZ33)</f>
        <v>5</v>
      </c>
      <c r="FB33" s="824">
        <v>80.2</v>
      </c>
      <c r="FD33" s="873">
        <v>45911</v>
      </c>
      <c r="FE33" s="849" t="s">
        <v>89</v>
      </c>
      <c r="FF33" s="849"/>
      <c r="FG33" s="849"/>
      <c r="FH33" s="890" t="s">
        <v>116</v>
      </c>
      <c r="FI33" s="890"/>
      <c r="FJ33" s="890"/>
      <c r="FK33" s="849" t="s">
        <v>134</v>
      </c>
      <c r="FL33" s="849"/>
      <c r="FM33" s="849"/>
      <c r="FN33" s="859"/>
      <c r="FO33" s="859"/>
      <c r="FP33" s="859"/>
      <c r="FQ33" s="844"/>
      <c r="FR33" s="844"/>
      <c r="FS33" s="844"/>
      <c r="FT33" s="823">
        <f t="shared" ref="FT33" si="109">COUNTA(FE33:FS33)</f>
        <v>3</v>
      </c>
      <c r="FU33" s="824">
        <v>78.900000000000006</v>
      </c>
      <c r="FW33" s="840">
        <v>45941</v>
      </c>
      <c r="FX33" s="844"/>
      <c r="FY33" s="844"/>
      <c r="FZ33" s="844"/>
      <c r="GA33" s="843"/>
      <c r="GB33" s="843"/>
      <c r="GC33" s="843"/>
      <c r="GD33" s="844"/>
      <c r="GE33" s="844"/>
      <c r="GF33" s="844"/>
      <c r="GG33" s="844"/>
      <c r="GH33" s="844"/>
      <c r="GI33" s="844"/>
      <c r="GJ33" s="844"/>
      <c r="GK33" s="844"/>
      <c r="GL33" s="844"/>
      <c r="GM33" s="844"/>
      <c r="GN33" s="844"/>
      <c r="GO33" s="844"/>
      <c r="GP33" s="823">
        <f>COUNTA(FX33:GO33)</f>
        <v>0</v>
      </c>
      <c r="GQ33" s="824">
        <f t="shared" ref="GQ33" si="110">GQ30</f>
        <v>79.400000000000006</v>
      </c>
      <c r="GR33" s="118"/>
      <c r="GS33" s="856">
        <v>45972</v>
      </c>
      <c r="GT33" s="879" t="s">
        <v>78</v>
      </c>
      <c r="GU33" s="880"/>
      <c r="GV33" s="881"/>
      <c r="GW33" s="882" t="s">
        <v>85</v>
      </c>
      <c r="GX33" s="883"/>
      <c r="GY33" s="884"/>
      <c r="GZ33" s="849" t="s">
        <v>72</v>
      </c>
      <c r="HA33" s="849"/>
      <c r="HB33" s="849"/>
      <c r="HC33" s="867"/>
      <c r="HD33" s="868"/>
      <c r="HE33" s="869"/>
      <c r="HF33" s="834"/>
      <c r="HG33" s="835"/>
      <c r="HH33" s="836"/>
      <c r="HI33" s="834"/>
      <c r="HJ33" s="835"/>
      <c r="HK33" s="836"/>
      <c r="HL33" s="823">
        <f>COUNTA(GT33:HK33)</f>
        <v>3</v>
      </c>
      <c r="HM33" s="824">
        <v>78.8</v>
      </c>
      <c r="HN33" s="118"/>
      <c r="HO33" s="873">
        <v>46002</v>
      </c>
      <c r="HP33" s="848" t="s">
        <v>70</v>
      </c>
      <c r="HQ33" s="848"/>
      <c r="HR33" s="848"/>
      <c r="HS33" s="859"/>
      <c r="HT33" s="859"/>
      <c r="HU33" s="859"/>
      <c r="HV33" s="834"/>
      <c r="HW33" s="835"/>
      <c r="HX33" s="836"/>
      <c r="HY33" s="867"/>
      <c r="HZ33" s="868"/>
      <c r="IA33" s="869"/>
      <c r="IB33" s="834"/>
      <c r="IC33" s="835"/>
      <c r="ID33" s="836"/>
      <c r="IE33" s="834"/>
      <c r="IF33" s="835"/>
      <c r="IG33" s="836"/>
      <c r="IH33" s="823">
        <f>COUNTA(HP33:IG33)</f>
        <v>1</v>
      </c>
      <c r="II33" s="824">
        <f>II30</f>
        <v>78.2</v>
      </c>
      <c r="IK33" s="864">
        <v>46033</v>
      </c>
      <c r="IL33" s="848" t="s">
        <v>147</v>
      </c>
      <c r="IM33" s="848"/>
      <c r="IN33" s="848"/>
      <c r="IO33" s="890" t="s">
        <v>379</v>
      </c>
      <c r="IP33" s="890"/>
      <c r="IQ33" s="890"/>
      <c r="IR33" s="848" t="s">
        <v>129</v>
      </c>
      <c r="IS33" s="848"/>
      <c r="IT33" s="848"/>
      <c r="IU33" s="848" t="s">
        <v>380</v>
      </c>
      <c r="IV33" s="848"/>
      <c r="IW33" s="848"/>
      <c r="IX33" s="882" t="s">
        <v>103</v>
      </c>
      <c r="IY33" s="883"/>
      <c r="IZ33" s="884"/>
      <c r="JA33" s="882" t="s">
        <v>146</v>
      </c>
      <c r="JB33" s="883"/>
      <c r="JC33" s="884"/>
      <c r="JD33" s="232" t="s">
        <v>425</v>
      </c>
      <c r="JE33" s="823">
        <f>COUNTA(IL33:JC33)</f>
        <v>6</v>
      </c>
      <c r="JF33" s="824">
        <v>77</v>
      </c>
      <c r="JH33" s="63">
        <v>31</v>
      </c>
      <c r="JI33" s="104" t="str">
        <f>IF(I33&lt;&gt;"", "✔", "")</f>
        <v>✔</v>
      </c>
      <c r="JJ33" s="110">
        <v>31</v>
      </c>
      <c r="JK33" s="77" t="str">
        <f>IF(AB93&lt;&gt;"", "✔", "")</f>
        <v/>
      </c>
      <c r="JL33" s="63">
        <v>31</v>
      </c>
      <c r="JM33" s="62" t="str" cm="1">
        <f t="array" ref="JM33">IF(INDEX(AU:AU, (ROW()-ROW($JM$3))*3 + 3) &lt;&gt; "", "✔", "")</f>
        <v>✔</v>
      </c>
      <c r="JN33" s="110">
        <v>31</v>
      </c>
      <c r="JO33" s="77" t="str" cm="1">
        <f t="array" ref="JO33">IF(INDEX(BN:BN, (ROW()-ROW($BN$3))*3 + 3) &lt;&gt; "", "✔", "")</f>
        <v/>
      </c>
      <c r="JP33" s="125">
        <v>31</v>
      </c>
      <c r="JQ33" s="82" t="str" cm="1">
        <f t="array" ref="JQ33">IF(INDEX(CG:CG, (ROW()-ROW($CG$3))*3 + 3) &lt;&gt; "", "✔", "")</f>
        <v/>
      </c>
      <c r="JR33" s="110">
        <v>31</v>
      </c>
      <c r="JS33" s="77" t="str" cm="1">
        <f t="array" ref="JS33">IF(INDEX(CZ:CZ, (ROW()-ROW($CZ$3))*3 + 3) &lt;&gt; "", "✔", "")</f>
        <v/>
      </c>
      <c r="JT33" s="125">
        <v>31</v>
      </c>
      <c r="JU33" s="82" t="str" cm="1">
        <f t="array" ref="JU33">IF(INDEX(DS:DS, (ROW()-ROW($DS$3))*3 + 3) &lt;&gt; "", "✔", "")</f>
        <v>✔</v>
      </c>
      <c r="JV33" s="125">
        <v>31</v>
      </c>
      <c r="JW33" s="82" t="str" cm="1">
        <f t="array" ref="JW33">IF(INDEX(EL:EL, (ROW()-ROW($EL$3))*3 + 3) &lt;&gt; "", "✔", "")</f>
        <v>✔</v>
      </c>
      <c r="JX33" s="110">
        <v>31</v>
      </c>
      <c r="JY33" s="77" t="str" cm="1">
        <f t="array" ref="JY33">IF(INDEX(FE:FE, (ROW()-ROW($FE$3))*3 + 3) &lt;&gt; "", "✔", "")</f>
        <v/>
      </c>
      <c r="JZ33" s="125">
        <v>31</v>
      </c>
      <c r="KA33" s="82" t="str" cm="1">
        <f t="array" ref="KA33">IF(INDEX(FX:FX, (ROW()-ROW($FX$3))*3 + 3) &lt;&gt; "", "✔", "")</f>
        <v>✔</v>
      </c>
      <c r="KB33" s="110">
        <v>31</v>
      </c>
      <c r="KC33" s="77" t="str" cm="1">
        <f t="array" ref="KC33">IF(INDEX(GT:GT, (ROW()-ROW($GT$3))*3 + 3) &lt;&gt; "", "✔", "")</f>
        <v/>
      </c>
      <c r="KD33" s="125">
        <v>31</v>
      </c>
      <c r="KE33" s="82" t="str" cm="1">
        <f t="array" ref="KE33">IF(INDEX(HP:HP, (ROW()-ROW($HP$3))*3 + 3) &lt;&gt; "", "✔", "")</f>
        <v/>
      </c>
      <c r="KG33" s="231">
        <v>150</v>
      </c>
      <c r="KH33" s="230">
        <f t="shared" si="0"/>
        <v>68.038799999999995</v>
      </c>
    </row>
    <row r="34" spans="8:294" ht="15">
      <c r="H34" s="877"/>
      <c r="I34" s="231" t="s">
        <v>59</v>
      </c>
      <c r="J34" s="231" t="s">
        <v>73</v>
      </c>
      <c r="K34" s="102" t="s">
        <v>4</v>
      </c>
      <c r="L34" s="231" t="s">
        <v>59</v>
      </c>
      <c r="M34" s="231" t="s">
        <v>73</v>
      </c>
      <c r="N34" s="102" t="s">
        <v>4</v>
      </c>
      <c r="O34" s="231" t="s">
        <v>59</v>
      </c>
      <c r="P34" s="231" t="s">
        <v>73</v>
      </c>
      <c r="Q34" s="102" t="s">
        <v>4</v>
      </c>
      <c r="R34" s="231" t="s">
        <v>59</v>
      </c>
      <c r="S34" s="231" t="s">
        <v>73</v>
      </c>
      <c r="T34" s="102" t="s">
        <v>4</v>
      </c>
      <c r="U34" s="107" t="s">
        <v>59</v>
      </c>
      <c r="V34" s="107" t="s">
        <v>73</v>
      </c>
      <c r="W34" s="108" t="s">
        <v>4</v>
      </c>
      <c r="X34" s="823"/>
      <c r="Y34" s="940"/>
      <c r="AA34" s="857"/>
      <c r="AB34" s="231" t="s">
        <v>59</v>
      </c>
      <c r="AC34" s="231" t="s">
        <v>73</v>
      </c>
      <c r="AD34" s="102" t="s">
        <v>4</v>
      </c>
      <c r="AE34" s="231" t="s">
        <v>59</v>
      </c>
      <c r="AF34" s="231" t="s">
        <v>73</v>
      </c>
      <c r="AG34" s="102" t="s">
        <v>4</v>
      </c>
      <c r="AH34" s="231" t="s">
        <v>59</v>
      </c>
      <c r="AI34" s="231" t="s">
        <v>73</v>
      </c>
      <c r="AJ34" s="102" t="s">
        <v>4</v>
      </c>
      <c r="AK34" s="231" t="s">
        <v>59</v>
      </c>
      <c r="AL34" s="231" t="s">
        <v>73</v>
      </c>
      <c r="AM34" s="102" t="s">
        <v>4</v>
      </c>
      <c r="AN34" s="107" t="s">
        <v>59</v>
      </c>
      <c r="AO34" s="107" t="s">
        <v>73</v>
      </c>
      <c r="AP34" s="108" t="s">
        <v>4</v>
      </c>
      <c r="AQ34" s="823"/>
      <c r="AR34" s="825"/>
      <c r="AT34" s="857"/>
      <c r="AU34" s="231" t="s">
        <v>59</v>
      </c>
      <c r="AV34" s="231" t="s">
        <v>73</v>
      </c>
      <c r="AW34" s="102" t="s">
        <v>4</v>
      </c>
      <c r="AX34" s="231" t="s">
        <v>59</v>
      </c>
      <c r="AY34" s="231" t="s">
        <v>73</v>
      </c>
      <c r="AZ34" s="102" t="s">
        <v>4</v>
      </c>
      <c r="BA34" s="107" t="s">
        <v>59</v>
      </c>
      <c r="BB34" s="107" t="s">
        <v>73</v>
      </c>
      <c r="BC34" s="108" t="s">
        <v>4</v>
      </c>
      <c r="BD34" s="107" t="s">
        <v>59</v>
      </c>
      <c r="BE34" s="107" t="s">
        <v>73</v>
      </c>
      <c r="BF34" s="108" t="s">
        <v>4</v>
      </c>
      <c r="BG34" s="107" t="s">
        <v>59</v>
      </c>
      <c r="BH34" s="107" t="s">
        <v>73</v>
      </c>
      <c r="BI34" s="108" t="s">
        <v>4</v>
      </c>
      <c r="BJ34" s="823"/>
      <c r="BK34" s="825"/>
      <c r="BL34" s="118"/>
      <c r="BM34" s="877"/>
      <c r="BN34" s="231" t="s">
        <v>59</v>
      </c>
      <c r="BO34" s="231" t="s">
        <v>73</v>
      </c>
      <c r="BP34" s="102" t="s">
        <v>4</v>
      </c>
      <c r="BQ34" s="231" t="s">
        <v>59</v>
      </c>
      <c r="BR34" s="231" t="s">
        <v>73</v>
      </c>
      <c r="BS34" s="102" t="s">
        <v>4</v>
      </c>
      <c r="BT34" s="231" t="s">
        <v>59</v>
      </c>
      <c r="BU34" s="231" t="s">
        <v>73</v>
      </c>
      <c r="BV34" s="102" t="s">
        <v>4</v>
      </c>
      <c r="BW34" s="231" t="s">
        <v>59</v>
      </c>
      <c r="BX34" s="231" t="s">
        <v>73</v>
      </c>
      <c r="BY34" s="102" t="s">
        <v>4</v>
      </c>
      <c r="BZ34" s="231" t="s">
        <v>59</v>
      </c>
      <c r="CA34" s="231" t="s">
        <v>73</v>
      </c>
      <c r="CB34" s="102" t="s">
        <v>4</v>
      </c>
      <c r="CC34" s="823"/>
      <c r="CD34" s="825"/>
      <c r="CF34" s="865"/>
      <c r="CG34" s="231" t="s">
        <v>59</v>
      </c>
      <c r="CH34" s="231" t="s">
        <v>73</v>
      </c>
      <c r="CI34" s="102" t="s">
        <v>4</v>
      </c>
      <c r="CJ34" s="231" t="s">
        <v>59</v>
      </c>
      <c r="CK34" s="231" t="s">
        <v>73</v>
      </c>
      <c r="CL34" s="102" t="s">
        <v>4</v>
      </c>
      <c r="CM34" s="231" t="s">
        <v>59</v>
      </c>
      <c r="CN34" s="231" t="s">
        <v>73</v>
      </c>
      <c r="CO34" s="102" t="s">
        <v>4</v>
      </c>
      <c r="CP34" s="231" t="s">
        <v>59</v>
      </c>
      <c r="CQ34" s="231" t="s">
        <v>73</v>
      </c>
      <c r="CR34" s="102" t="s">
        <v>4</v>
      </c>
      <c r="CS34" s="107" t="s">
        <v>59</v>
      </c>
      <c r="CT34" s="107" t="s">
        <v>73</v>
      </c>
      <c r="CU34" s="108" t="s">
        <v>4</v>
      </c>
      <c r="CV34" s="823"/>
      <c r="CW34" s="825"/>
      <c r="CX34" s="118"/>
      <c r="CY34" s="846"/>
      <c r="CZ34" s="107" t="s">
        <v>59</v>
      </c>
      <c r="DA34" s="107" t="s">
        <v>73</v>
      </c>
      <c r="DB34" s="108" t="s">
        <v>4</v>
      </c>
      <c r="DC34" s="107" t="s">
        <v>59</v>
      </c>
      <c r="DD34" s="107" t="s">
        <v>73</v>
      </c>
      <c r="DE34" s="108" t="s">
        <v>4</v>
      </c>
      <c r="DF34" s="107" t="s">
        <v>59</v>
      </c>
      <c r="DG34" s="107" t="s">
        <v>73</v>
      </c>
      <c r="DH34" s="108" t="s">
        <v>4</v>
      </c>
      <c r="DI34" s="107" t="s">
        <v>59</v>
      </c>
      <c r="DJ34" s="107" t="s">
        <v>73</v>
      </c>
      <c r="DK34" s="108" t="s">
        <v>4</v>
      </c>
      <c r="DL34" s="107" t="s">
        <v>59</v>
      </c>
      <c r="DM34" s="107" t="s">
        <v>73</v>
      </c>
      <c r="DN34" s="108" t="s">
        <v>4</v>
      </c>
      <c r="DO34" s="823"/>
      <c r="DP34" s="825"/>
      <c r="DR34" s="877"/>
      <c r="DS34" s="107" t="s">
        <v>59</v>
      </c>
      <c r="DT34" s="107" t="s">
        <v>73</v>
      </c>
      <c r="DU34" s="108" t="s">
        <v>4</v>
      </c>
      <c r="DV34" s="107" t="s">
        <v>59</v>
      </c>
      <c r="DW34" s="107" t="s">
        <v>73</v>
      </c>
      <c r="DX34" s="108" t="s">
        <v>4</v>
      </c>
      <c r="DY34" s="107" t="s">
        <v>59</v>
      </c>
      <c r="DZ34" s="107" t="s">
        <v>73</v>
      </c>
      <c r="EA34" s="108" t="s">
        <v>4</v>
      </c>
      <c r="EB34" s="107" t="s">
        <v>59</v>
      </c>
      <c r="EC34" s="107" t="s">
        <v>73</v>
      </c>
      <c r="ED34" s="108" t="s">
        <v>4</v>
      </c>
      <c r="EE34" s="107" t="s">
        <v>59</v>
      </c>
      <c r="EF34" s="107" t="s">
        <v>73</v>
      </c>
      <c r="EG34" s="108" t="s">
        <v>4</v>
      </c>
      <c r="EH34" s="823"/>
      <c r="EI34" s="825"/>
      <c r="EK34" s="871"/>
      <c r="EL34" s="231" t="s">
        <v>59</v>
      </c>
      <c r="EM34" s="231" t="s">
        <v>73</v>
      </c>
      <c r="EN34" s="102" t="s">
        <v>4</v>
      </c>
      <c r="EO34" s="231" t="s">
        <v>59</v>
      </c>
      <c r="EP34" s="231" t="s">
        <v>73</v>
      </c>
      <c r="EQ34" s="102" t="s">
        <v>4</v>
      </c>
      <c r="ER34" s="231" t="s">
        <v>59</v>
      </c>
      <c r="ES34" s="231" t="s">
        <v>73</v>
      </c>
      <c r="ET34" s="102" t="s">
        <v>4</v>
      </c>
      <c r="EU34" s="231" t="s">
        <v>59</v>
      </c>
      <c r="EV34" s="231" t="s">
        <v>73</v>
      </c>
      <c r="EW34" s="102" t="s">
        <v>4</v>
      </c>
      <c r="EX34" s="231" t="s">
        <v>59</v>
      </c>
      <c r="EY34" s="231" t="s">
        <v>73</v>
      </c>
      <c r="EZ34" s="102" t="s">
        <v>4</v>
      </c>
      <c r="FA34" s="823"/>
      <c r="FB34" s="825"/>
      <c r="FD34" s="874"/>
      <c r="FE34" s="231" t="s">
        <v>59</v>
      </c>
      <c r="FF34" s="231" t="s">
        <v>73</v>
      </c>
      <c r="FG34" s="102" t="s">
        <v>4</v>
      </c>
      <c r="FH34" s="231" t="s">
        <v>59</v>
      </c>
      <c r="FI34" s="231" t="s">
        <v>73</v>
      </c>
      <c r="FJ34" s="102" t="s">
        <v>4</v>
      </c>
      <c r="FK34" s="231" t="s">
        <v>59</v>
      </c>
      <c r="FL34" s="231" t="s">
        <v>73</v>
      </c>
      <c r="FM34" s="102" t="s">
        <v>4</v>
      </c>
      <c r="FN34" s="107" t="s">
        <v>59</v>
      </c>
      <c r="FO34" s="107" t="s">
        <v>73</v>
      </c>
      <c r="FP34" s="108" t="s">
        <v>4</v>
      </c>
      <c r="FQ34" s="107" t="s">
        <v>59</v>
      </c>
      <c r="FR34" s="107" t="s">
        <v>73</v>
      </c>
      <c r="FS34" s="108" t="s">
        <v>4</v>
      </c>
      <c r="FT34" s="823"/>
      <c r="FU34" s="825"/>
      <c r="FW34" s="841"/>
      <c r="FX34" s="107" t="s">
        <v>59</v>
      </c>
      <c r="FY34" s="107" t="s">
        <v>73</v>
      </c>
      <c r="FZ34" s="108" t="s">
        <v>4</v>
      </c>
      <c r="GA34" s="107" t="s">
        <v>59</v>
      </c>
      <c r="GB34" s="107" t="s">
        <v>73</v>
      </c>
      <c r="GC34" s="108" t="s">
        <v>4</v>
      </c>
      <c r="GD34" s="107" t="s">
        <v>59</v>
      </c>
      <c r="GE34" s="107" t="s">
        <v>73</v>
      </c>
      <c r="GF34" s="108" t="s">
        <v>4</v>
      </c>
      <c r="GG34" s="107" t="s">
        <v>59</v>
      </c>
      <c r="GH34" s="107" t="s">
        <v>73</v>
      </c>
      <c r="GI34" s="108" t="s">
        <v>4</v>
      </c>
      <c r="GJ34" s="107" t="s">
        <v>59</v>
      </c>
      <c r="GK34" s="107" t="s">
        <v>73</v>
      </c>
      <c r="GL34" s="108" t="s">
        <v>4</v>
      </c>
      <c r="GM34" s="107" t="s">
        <v>59</v>
      </c>
      <c r="GN34" s="107" t="s">
        <v>73</v>
      </c>
      <c r="GO34" s="108" t="s">
        <v>4</v>
      </c>
      <c r="GP34" s="823"/>
      <c r="GQ34" s="825"/>
      <c r="GR34" s="118"/>
      <c r="GS34" s="857"/>
      <c r="GT34" s="231" t="s">
        <v>59</v>
      </c>
      <c r="GU34" s="231" t="s">
        <v>73</v>
      </c>
      <c r="GV34" s="102" t="s">
        <v>4</v>
      </c>
      <c r="GW34" s="231" t="s">
        <v>59</v>
      </c>
      <c r="GX34" s="231" t="s">
        <v>73</v>
      </c>
      <c r="GY34" s="102" t="s">
        <v>4</v>
      </c>
      <c r="GZ34" s="231" t="s">
        <v>59</v>
      </c>
      <c r="HA34" s="231" t="s">
        <v>73</v>
      </c>
      <c r="HB34" s="102" t="s">
        <v>4</v>
      </c>
      <c r="HC34" s="107" t="s">
        <v>59</v>
      </c>
      <c r="HD34" s="107" t="s">
        <v>73</v>
      </c>
      <c r="HE34" s="108" t="s">
        <v>4</v>
      </c>
      <c r="HF34" s="107" t="s">
        <v>59</v>
      </c>
      <c r="HG34" s="107" t="s">
        <v>73</v>
      </c>
      <c r="HH34" s="108" t="s">
        <v>4</v>
      </c>
      <c r="HI34" s="107" t="s">
        <v>59</v>
      </c>
      <c r="HJ34" s="107" t="s">
        <v>73</v>
      </c>
      <c r="HK34" s="108" t="s">
        <v>4</v>
      </c>
      <c r="HL34" s="823"/>
      <c r="HM34" s="825"/>
      <c r="HN34" s="118"/>
      <c r="HO34" s="874"/>
      <c r="HP34" s="231" t="s">
        <v>59</v>
      </c>
      <c r="HQ34" s="231" t="s">
        <v>73</v>
      </c>
      <c r="HR34" s="102" t="s">
        <v>4</v>
      </c>
      <c r="HS34" s="107" t="s">
        <v>59</v>
      </c>
      <c r="HT34" s="107" t="s">
        <v>73</v>
      </c>
      <c r="HU34" s="108" t="s">
        <v>4</v>
      </c>
      <c r="HV34" s="107" t="s">
        <v>59</v>
      </c>
      <c r="HW34" s="107" t="s">
        <v>73</v>
      </c>
      <c r="HX34" s="108" t="s">
        <v>4</v>
      </c>
      <c r="HY34" s="107" t="s">
        <v>59</v>
      </c>
      <c r="HZ34" s="107" t="s">
        <v>73</v>
      </c>
      <c r="IA34" s="108" t="s">
        <v>4</v>
      </c>
      <c r="IB34" s="107" t="s">
        <v>59</v>
      </c>
      <c r="IC34" s="107" t="s">
        <v>73</v>
      </c>
      <c r="ID34" s="108" t="s">
        <v>4</v>
      </c>
      <c r="IE34" s="107" t="s">
        <v>59</v>
      </c>
      <c r="IF34" s="107" t="s">
        <v>73</v>
      </c>
      <c r="IG34" s="108" t="s">
        <v>4</v>
      </c>
      <c r="IH34" s="823"/>
      <c r="II34" s="825"/>
      <c r="IK34" s="865"/>
      <c r="IL34" s="231" t="s">
        <v>59</v>
      </c>
      <c r="IM34" s="231" t="s">
        <v>73</v>
      </c>
      <c r="IN34" s="102" t="s">
        <v>4</v>
      </c>
      <c r="IO34" s="231" t="s">
        <v>59</v>
      </c>
      <c r="IP34" s="231" t="s">
        <v>73</v>
      </c>
      <c r="IQ34" s="102" t="s">
        <v>4</v>
      </c>
      <c r="IR34" s="231" t="s">
        <v>59</v>
      </c>
      <c r="IS34" s="231" t="s">
        <v>73</v>
      </c>
      <c r="IT34" s="102" t="s">
        <v>4</v>
      </c>
      <c r="IU34" s="231" t="s">
        <v>59</v>
      </c>
      <c r="IV34" s="231" t="s">
        <v>73</v>
      </c>
      <c r="IW34" s="102" t="s">
        <v>4</v>
      </c>
      <c r="IX34" s="231" t="s">
        <v>59</v>
      </c>
      <c r="IY34" s="231" t="s">
        <v>73</v>
      </c>
      <c r="IZ34" s="102" t="s">
        <v>4</v>
      </c>
      <c r="JA34" s="231" t="s">
        <v>59</v>
      </c>
      <c r="JB34" s="231" t="s">
        <v>73</v>
      </c>
      <c r="JC34" s="102" t="s">
        <v>4</v>
      </c>
      <c r="JD34" s="948"/>
      <c r="JE34" s="823"/>
      <c r="JF34" s="825"/>
      <c r="JH34" s="813" t="s">
        <v>55</v>
      </c>
      <c r="JI34" s="78">
        <f>COUNTIF(JI3:JI33,"✔")</f>
        <v>22</v>
      </c>
      <c r="JJ34" s="912" t="s">
        <v>55</v>
      </c>
      <c r="JK34" s="78">
        <f>COUNTIF(JK3:JK33,"✔")</f>
        <v>15</v>
      </c>
      <c r="JL34" s="912" t="s">
        <v>55</v>
      </c>
      <c r="JM34" s="78">
        <f>COUNTIF(JM3:JM33,"✔")</f>
        <v>23</v>
      </c>
      <c r="JN34" s="813" t="s">
        <v>55</v>
      </c>
      <c r="JO34" s="78">
        <f>COUNTIF(JO3:JO33,"✔")</f>
        <v>23</v>
      </c>
      <c r="JP34" s="813" t="s">
        <v>55</v>
      </c>
      <c r="JQ34" s="78">
        <f>COUNTIF(JQ3:JQ33,"✔")</f>
        <v>22</v>
      </c>
      <c r="JR34" s="813" t="s">
        <v>55</v>
      </c>
      <c r="JS34" s="78">
        <f>COUNTIF(JS3:JS33,"✔")</f>
        <v>16</v>
      </c>
      <c r="JT34" s="813" t="s">
        <v>55</v>
      </c>
      <c r="JU34" s="78">
        <f>COUNTIF(JU3:JU33,"✔")</f>
        <v>15</v>
      </c>
      <c r="JV34" s="813" t="s">
        <v>55</v>
      </c>
      <c r="JW34" s="78">
        <f>COUNTIF(JW3:JW33,"✔")</f>
        <v>17</v>
      </c>
      <c r="JX34" s="813" t="s">
        <v>55</v>
      </c>
      <c r="JY34" s="78">
        <f>COUNTIF(JY3:JY33,"✔")</f>
        <v>20</v>
      </c>
      <c r="JZ34" s="813" t="s">
        <v>55</v>
      </c>
      <c r="KA34" s="78">
        <f>COUNTIF(KA3:KA33,"✔")</f>
        <v>19</v>
      </c>
      <c r="KB34" s="813" t="s">
        <v>55</v>
      </c>
      <c r="KC34" s="78">
        <f>COUNTIF(KC3:KC33,"✔")</f>
        <v>20</v>
      </c>
      <c r="KD34" s="813" t="s">
        <v>55</v>
      </c>
      <c r="KE34" s="78">
        <f>COUNTIF(KE3:KE33,"✔")</f>
        <v>16</v>
      </c>
    </row>
    <row r="35" spans="8:294" ht="15.75" thickBot="1">
      <c r="H35" s="878"/>
      <c r="I35" s="229">
        <v>4</v>
      </c>
      <c r="J35" s="229">
        <v>8</v>
      </c>
      <c r="K35" s="229">
        <v>54.4</v>
      </c>
      <c r="L35" s="229">
        <v>4</v>
      </c>
      <c r="M35" s="229">
        <v>8</v>
      </c>
      <c r="N35" s="229">
        <f>(24.9+27.2)/2</f>
        <v>26.049999999999997</v>
      </c>
      <c r="O35" s="229">
        <v>2</v>
      </c>
      <c r="P35" s="229">
        <v>8</v>
      </c>
      <c r="Q35" s="229">
        <v>20</v>
      </c>
      <c r="R35" s="229">
        <v>4</v>
      </c>
      <c r="S35" s="229">
        <v>6</v>
      </c>
      <c r="T35" s="229">
        <v>12.5</v>
      </c>
      <c r="U35" s="233"/>
      <c r="V35" s="233"/>
      <c r="W35" s="233"/>
      <c r="X35" s="229">
        <f t="shared" ref="X35" si="111">(I35*J35*K35)+(L35*M35*N35)+(O35*P35*Q35)+(R35*S35*T35)+(U35*V35*W35)</f>
        <v>3194.3999999999996</v>
      </c>
      <c r="Y35" s="941"/>
      <c r="AA35" s="858"/>
      <c r="AB35" s="229">
        <v>4</v>
      </c>
      <c r="AC35" s="229">
        <v>6</v>
      </c>
      <c r="AD35" s="229">
        <v>15</v>
      </c>
      <c r="AE35" s="229">
        <v>4</v>
      </c>
      <c r="AF35" s="229">
        <v>8</v>
      </c>
      <c r="AG35" s="229">
        <v>12.5</v>
      </c>
      <c r="AH35" s="229">
        <v>4</v>
      </c>
      <c r="AI35" s="229">
        <v>8</v>
      </c>
      <c r="AJ35" s="229">
        <v>6.8</v>
      </c>
      <c r="AK35" s="229">
        <v>4</v>
      </c>
      <c r="AL35" s="229">
        <v>8</v>
      </c>
      <c r="AM35" s="229">
        <f>((15*1)+(17.5*3))/4</f>
        <v>16.875</v>
      </c>
      <c r="AN35" s="233"/>
      <c r="AO35" s="233"/>
      <c r="AP35" s="233"/>
      <c r="AQ35" s="229">
        <f t="shared" ref="AQ35" si="112">(AB35*AC35*AD35)+(AE35*AF35*AG35)+(AH35*AI35*AJ35)+(AK35*AL35*AM35)+(AN35*AO35*AP35)</f>
        <v>1517.6</v>
      </c>
      <c r="AR35" s="826"/>
      <c r="AT35" s="858"/>
      <c r="AU35" s="229">
        <v>4</v>
      </c>
      <c r="AV35" s="229">
        <v>8</v>
      </c>
      <c r="AW35" s="229">
        <f>((15*3)+(12.5*1))/4</f>
        <v>14.375</v>
      </c>
      <c r="AX35" s="229">
        <v>4</v>
      </c>
      <c r="AY35" s="229">
        <v>8</v>
      </c>
      <c r="AZ35" s="229">
        <f>((15.9*3)+(18.1*1))/4</f>
        <v>16.450000000000003</v>
      </c>
      <c r="BA35" s="233"/>
      <c r="BB35" s="233"/>
      <c r="BC35" s="233"/>
      <c r="BD35" s="233"/>
      <c r="BE35" s="233"/>
      <c r="BF35" s="233"/>
      <c r="BG35" s="233"/>
      <c r="BH35" s="233"/>
      <c r="BI35" s="233"/>
      <c r="BJ35" s="229">
        <f>(AU35*AV35*AW35)+(AX35*AY35*AZ35)+(BA35*BB35*BC35)+(BD35*BE35*BF35)+(BG35*BH35*BI35)</f>
        <v>986.40000000000009</v>
      </c>
      <c r="BK35" s="826"/>
      <c r="BL35" s="118"/>
      <c r="BM35" s="878"/>
      <c r="BN35" s="229">
        <v>4</v>
      </c>
      <c r="BO35" s="126">
        <f>((8*1)+(10*3))/4</f>
        <v>9.5</v>
      </c>
      <c r="BP35" s="229">
        <f>120*$FU$3</f>
        <v>9552</v>
      </c>
      <c r="BQ35" s="229">
        <v>4</v>
      </c>
      <c r="BR35" s="126">
        <f>((8*1)+(10*3))/4</f>
        <v>9.5</v>
      </c>
      <c r="BS35" s="229">
        <v>25</v>
      </c>
      <c r="BT35" s="229">
        <v>4</v>
      </c>
      <c r="BU35" s="126">
        <f>((8*3)+(10*1))/4</f>
        <v>8.5</v>
      </c>
      <c r="BV35" s="229">
        <f>25*$FU$3</f>
        <v>1989.9999999999998</v>
      </c>
      <c r="BW35" s="229">
        <v>4</v>
      </c>
      <c r="BX35" s="126">
        <v>10</v>
      </c>
      <c r="BY35" s="126">
        <v>17.5</v>
      </c>
      <c r="BZ35" s="229">
        <v>4</v>
      </c>
      <c r="CA35" s="229">
        <v>12</v>
      </c>
      <c r="CB35" s="229">
        <v>0</v>
      </c>
      <c r="CC35" s="229">
        <f>(BN35*BO35*BP35)+(BQ35*BR35*BS35)+(BT35*BU35*BV35)+(BW35*BX35*BY35)+(BZ35*CA35*CB35)</f>
        <v>432286</v>
      </c>
      <c r="CD35" s="826"/>
      <c r="CF35" s="866"/>
      <c r="CG35" s="229">
        <v>4</v>
      </c>
      <c r="CH35" s="229">
        <v>8</v>
      </c>
      <c r="CI35" s="229">
        <v>22.5</v>
      </c>
      <c r="CJ35" s="229">
        <v>4</v>
      </c>
      <c r="CK35" s="229">
        <v>10</v>
      </c>
      <c r="CL35" s="229">
        <v>12.5</v>
      </c>
      <c r="CM35" s="229">
        <v>4</v>
      </c>
      <c r="CN35" s="229">
        <v>8</v>
      </c>
      <c r="CO35" s="229">
        <v>27.2</v>
      </c>
      <c r="CP35" s="229">
        <v>4</v>
      </c>
      <c r="CQ35" s="229">
        <v>8</v>
      </c>
      <c r="CR35" s="229">
        <v>17.5</v>
      </c>
      <c r="CS35" s="233"/>
      <c r="CT35" s="233"/>
      <c r="CU35" s="233"/>
      <c r="CV35" s="229">
        <f>(CG35*CH35*CI35)+(CJ35*CK35*CL35)+(CM35*CN35*CO35)+(CP35*CQ35*CR35)+(CS35*CT35*CU35)</f>
        <v>2650.4</v>
      </c>
      <c r="CW35" s="826"/>
      <c r="CX35" s="118"/>
      <c r="CY35" s="847"/>
      <c r="CZ35" s="233"/>
      <c r="DA35" s="233"/>
      <c r="DB35" s="233"/>
      <c r="DC35" s="233"/>
      <c r="DD35" s="233"/>
      <c r="DE35" s="233"/>
      <c r="DF35" s="233"/>
      <c r="DG35" s="233"/>
      <c r="DH35" s="233"/>
      <c r="DI35" s="233"/>
      <c r="DJ35" s="233"/>
      <c r="DK35" s="233"/>
      <c r="DL35" s="233"/>
      <c r="DM35" s="233"/>
      <c r="DN35" s="233"/>
      <c r="DO35" s="229">
        <f>(CZ35*DA35*DB35)+(DC35*DD35*DE35)+(DF35*DG35*DH35)+(DI35*DJ35*DK35)+(DL35*DM35*DN35)</f>
        <v>0</v>
      </c>
      <c r="DP35" s="826"/>
      <c r="DR35" s="878"/>
      <c r="DS35" s="233"/>
      <c r="DT35" s="233"/>
      <c r="DU35" s="233"/>
      <c r="DV35" s="233"/>
      <c r="DW35" s="233"/>
      <c r="DX35" s="233"/>
      <c r="DY35" s="233"/>
      <c r="DZ35" s="233"/>
      <c r="EA35" s="233"/>
      <c r="EB35" s="233"/>
      <c r="EC35" s="233"/>
      <c r="ED35" s="233"/>
      <c r="EE35" s="233"/>
      <c r="EF35" s="233"/>
      <c r="EG35" s="233"/>
      <c r="EH35" s="229">
        <f>(DS35*DT35*DU35)+(DV35*DW35*DX35)+(DY35*DZ35*EA35)+(EB35*EC35*ED35)+(EE35*EF35*EG35)</f>
        <v>0</v>
      </c>
      <c r="EI35" s="826"/>
      <c r="EK35" s="872"/>
      <c r="EL35" s="229">
        <v>3</v>
      </c>
      <c r="EM35" s="229">
        <v>12</v>
      </c>
      <c r="EN35" s="229">
        <v>12.5</v>
      </c>
      <c r="EO35" s="229">
        <v>3</v>
      </c>
      <c r="EP35" s="126">
        <v>12</v>
      </c>
      <c r="EQ35" s="229">
        <v>50</v>
      </c>
      <c r="ER35" s="229">
        <v>3</v>
      </c>
      <c r="ES35" s="229">
        <v>12</v>
      </c>
      <c r="ET35" s="229">
        <v>31.8</v>
      </c>
      <c r="EU35" s="229">
        <v>3</v>
      </c>
      <c r="EV35" s="229">
        <v>12</v>
      </c>
      <c r="EW35" s="229">
        <v>12.5</v>
      </c>
      <c r="EX35" s="229">
        <v>3</v>
      </c>
      <c r="EY35" s="126">
        <f>((20*1)+(22*1)+(24*1))/3</f>
        <v>22</v>
      </c>
      <c r="EZ35" s="229">
        <f>(1/3)*$FB33</f>
        <v>26.733333333333334</v>
      </c>
      <c r="FA35" s="229">
        <f>(EL35*EM35*EN35)+(EO35*EP35*EQ35)+(ER35*ES35*ET35)+(EU35*EV35*EW35)+(EX35*EY35*EZ35)</f>
        <v>5609.2000000000007</v>
      </c>
      <c r="FB35" s="826"/>
      <c r="FD35" s="875"/>
      <c r="FE35" s="229">
        <v>3</v>
      </c>
      <c r="FF35" s="126">
        <v>12</v>
      </c>
      <c r="FG35" s="229">
        <v>59</v>
      </c>
      <c r="FH35" s="229">
        <v>3</v>
      </c>
      <c r="FI35" s="229">
        <v>8</v>
      </c>
      <c r="FJ35" s="229">
        <v>17.5</v>
      </c>
      <c r="FK35" s="229">
        <v>3</v>
      </c>
      <c r="FL35" s="229">
        <f>((8*2)+(12*1))/3</f>
        <v>9.3333333333333339</v>
      </c>
      <c r="FM35" s="229">
        <f>((18.1*2)+(20.4*1))/3</f>
        <v>18.866666666666667</v>
      </c>
      <c r="FN35" s="233"/>
      <c r="FO35" s="233"/>
      <c r="FP35" s="233"/>
      <c r="FQ35" s="233"/>
      <c r="FR35" s="233"/>
      <c r="FS35" s="233"/>
      <c r="FT35" s="229">
        <f>(FE35*FF35*FG35)+(FH35*FI35*FJ35)+(FK35*FL35*FM35)+(FN35*FO35*FP35)+(FQ35*FR35*FS35)</f>
        <v>3072.2666666666664</v>
      </c>
      <c r="FU35" s="826"/>
      <c r="FW35" s="842"/>
      <c r="FX35" s="233"/>
      <c r="FY35" s="233"/>
      <c r="FZ35" s="233"/>
      <c r="GA35" s="233"/>
      <c r="GB35" s="233"/>
      <c r="GC35" s="233"/>
      <c r="GD35" s="233"/>
      <c r="GE35" s="233"/>
      <c r="GF35" s="233"/>
      <c r="GG35" s="233"/>
      <c r="GH35" s="233"/>
      <c r="GI35" s="233"/>
      <c r="GJ35" s="233"/>
      <c r="GK35" s="233"/>
      <c r="GL35" s="233"/>
      <c r="GM35" s="233"/>
      <c r="GN35" s="233"/>
      <c r="GO35" s="233"/>
      <c r="GP35" s="229">
        <f>(FX35*FY35*FZ35)+(GA35*GB35*GC35)+(GD35*GE35*GF35)+(GG35*GH35*GI35)+(GJ35*GK35*GL35)+(GM35*GN35*GO35)</f>
        <v>0</v>
      </c>
      <c r="GQ35" s="826"/>
      <c r="GR35" s="118"/>
      <c r="GS35" s="858"/>
      <c r="GT35" s="229">
        <v>3</v>
      </c>
      <c r="GU35" s="229">
        <v>12</v>
      </c>
      <c r="GV35" s="229">
        <v>17.5</v>
      </c>
      <c r="GW35" s="229">
        <v>3</v>
      </c>
      <c r="GX35" s="229">
        <v>36</v>
      </c>
      <c r="GY35" s="229">
        <f>HM33*(1/3)</f>
        <v>26.266666666666666</v>
      </c>
      <c r="GZ35" s="229">
        <v>4</v>
      </c>
      <c r="HA35" s="229">
        <v>10</v>
      </c>
      <c r="HB35" s="229">
        <v>54</v>
      </c>
      <c r="HC35" s="233"/>
      <c r="HD35" s="233"/>
      <c r="HE35" s="233"/>
      <c r="HF35" s="233"/>
      <c r="HG35" s="233"/>
      <c r="HH35" s="233"/>
      <c r="HI35" s="233"/>
      <c r="HJ35" s="233"/>
      <c r="HK35" s="233"/>
      <c r="HL35" s="229">
        <f>(GT35*GU35*GV35)+(GW35*GX35*GY35)+(GZ35*HA35*HB35)+(HC35*HD35*HE35)+(HF35*HG35*HH35)+(HI35*HJ35*HK35)</f>
        <v>5626.7999999999993</v>
      </c>
      <c r="HM35" s="826"/>
      <c r="HN35" s="118"/>
      <c r="HO35" s="875"/>
      <c r="HP35" s="229">
        <v>1</v>
      </c>
      <c r="HQ35" s="229">
        <v>30</v>
      </c>
      <c r="HR35" s="229">
        <f>II33</f>
        <v>78.2</v>
      </c>
      <c r="HS35" s="233"/>
      <c r="HT35" s="233"/>
      <c r="HU35" s="233"/>
      <c r="HV35" s="233"/>
      <c r="HW35" s="233"/>
      <c r="HX35" s="233"/>
      <c r="HY35" s="233"/>
      <c r="HZ35" s="233"/>
      <c r="IA35" s="233"/>
      <c r="IB35" s="233"/>
      <c r="IC35" s="233"/>
      <c r="ID35" s="233"/>
      <c r="IE35" s="233"/>
      <c r="IF35" s="233"/>
      <c r="IG35" s="233"/>
      <c r="IH35" s="229">
        <f>(HP35*HQ35*HR35)+(HS35*HT35*HU35)+(HV35*HW35*HX35)+(HY35*HZ35*IA35)+(IB35*IC35*ID35)+(IE35*IF35*IG35)</f>
        <v>2346</v>
      </c>
      <c r="II35" s="826"/>
      <c r="IK35" s="866"/>
      <c r="IL35" s="229">
        <v>4</v>
      </c>
      <c r="IM35" s="229">
        <f>((1*1)+(2*3))/4</f>
        <v>1.75</v>
      </c>
      <c r="IN35" s="229">
        <f>JF33</f>
        <v>77</v>
      </c>
      <c r="IO35" s="229">
        <v>4</v>
      </c>
      <c r="IP35" s="229">
        <v>12</v>
      </c>
      <c r="IQ35" s="229">
        <f>+((3.5*1)+(8.5*1)+(12.25*1)+(13*1))/4</f>
        <v>9.3125</v>
      </c>
      <c r="IR35" s="229">
        <v>4</v>
      </c>
      <c r="IS35" s="229">
        <v>12</v>
      </c>
      <c r="IT35" s="229">
        <f>((9.1*1)+(15.9*1)+(18.1*1)+(20.4*1))/4</f>
        <v>15.875</v>
      </c>
      <c r="IU35" s="229">
        <v>4</v>
      </c>
      <c r="IV35" s="229">
        <v>12</v>
      </c>
      <c r="IW35" s="229">
        <f>((9.1*1)+(15.9*1)+(24.9*1)+(27.2*1))/4</f>
        <v>19.274999999999999</v>
      </c>
      <c r="IX35" s="229">
        <v>4</v>
      </c>
      <c r="IY35" s="229">
        <f>((12*3)+(8*1))/4</f>
        <v>11</v>
      </c>
      <c r="IZ35" s="229">
        <f>((7.5*1)+(15*1)+(17.5*1)+(20*1))/4</f>
        <v>15</v>
      </c>
      <c r="JA35" s="229">
        <v>4</v>
      </c>
      <c r="JB35" s="229">
        <v>12</v>
      </c>
      <c r="JC35" s="229">
        <f>((6.8*1)+(11.3*1)+(13.6*1)+(15.9*1))/4</f>
        <v>11.9</v>
      </c>
      <c r="JD35" s="949"/>
      <c r="JE35" s="229">
        <f>(IL35*IM35*IN35)+(IO35*IP35*IQ35)+(IR35*IS35*IT35)+(IU35*IV35*IW35)+(IX35*IY35*IZ35)+(JA35*JB35*JC35)</f>
        <v>3904.3999999999996</v>
      </c>
      <c r="JF35" s="826"/>
      <c r="JH35" s="814"/>
      <c r="JI35" s="79">
        <f>JI34/22</f>
        <v>1</v>
      </c>
      <c r="JJ35" s="913"/>
      <c r="JK35" s="79">
        <f>JK34/20</f>
        <v>0.75</v>
      </c>
      <c r="JL35" s="913"/>
      <c r="JM35" s="79">
        <f>JM34/ROWS(JM3:JM33)*COLUMNS(JM3:JM33)</f>
        <v>0.74193548387096775</v>
      </c>
      <c r="JN35" s="814"/>
      <c r="JO35" s="79">
        <f>JO34/14</f>
        <v>1.6428571428571428</v>
      </c>
      <c r="JP35" s="814"/>
      <c r="JQ35" s="79">
        <f>JQ34/14</f>
        <v>1.5714285714285714</v>
      </c>
      <c r="JR35" s="814"/>
      <c r="JS35" s="79">
        <f>JS34/14</f>
        <v>1.1428571428571428</v>
      </c>
      <c r="JT35" s="814"/>
      <c r="JU35" s="79">
        <f>JU34/20</f>
        <v>0.75</v>
      </c>
      <c r="JV35" s="814"/>
      <c r="JW35" s="79">
        <f>JW34/20</f>
        <v>0.85</v>
      </c>
      <c r="JX35" s="814"/>
      <c r="JY35" s="79">
        <f>JY34/20</f>
        <v>1</v>
      </c>
      <c r="JZ35" s="814"/>
      <c r="KA35" s="79">
        <f>KA34/20</f>
        <v>0.95</v>
      </c>
      <c r="KB35" s="814"/>
      <c r="KC35" s="79">
        <f>KC34/20</f>
        <v>1</v>
      </c>
      <c r="KD35" s="814"/>
      <c r="KE35" s="79">
        <f>KE34/20</f>
        <v>0.8</v>
      </c>
    </row>
    <row r="36" spans="8:294" ht="15">
      <c r="U36" s="831" t="s">
        <v>135</v>
      </c>
      <c r="V36" s="831"/>
      <c r="W36" s="831"/>
      <c r="X36" s="106">
        <f>SUM(X3,X6,X9,X12,X15,X18,X21,X24,X27,X30,X33)</f>
        <v>28</v>
      </c>
      <c r="Y36" s="829" cm="1">
        <f t="array" ref="Y36">LOOKUP(2, 1/(Y3:Y35&lt;&gt;""), Y3:Y35) - Y3</f>
        <v>-0.80000000000001137</v>
      </c>
      <c r="AA36" s="845">
        <v>45700</v>
      </c>
      <c r="AB36" s="849" t="s">
        <v>99</v>
      </c>
      <c r="AC36" s="849"/>
      <c r="AD36" s="849"/>
      <c r="AE36" s="886" t="s">
        <v>82</v>
      </c>
      <c r="AF36" s="886"/>
      <c r="AG36" s="886"/>
      <c r="AH36" s="848" t="s">
        <v>96</v>
      </c>
      <c r="AI36" s="848"/>
      <c r="AJ36" s="848"/>
      <c r="AK36" s="882" t="s">
        <v>14</v>
      </c>
      <c r="AL36" s="883"/>
      <c r="AM36" s="884"/>
      <c r="AN36" s="890" t="s">
        <v>94</v>
      </c>
      <c r="AO36" s="890"/>
      <c r="AP36" s="890"/>
      <c r="AQ36" s="823">
        <f t="shared" ref="AQ36" si="113">COUNTA(AB36:AP36)</f>
        <v>5</v>
      </c>
      <c r="AR36" s="824">
        <v>92.7</v>
      </c>
      <c r="AT36" s="845">
        <v>45728</v>
      </c>
      <c r="AU36" s="849" t="s">
        <v>70</v>
      </c>
      <c r="AV36" s="849"/>
      <c r="AW36" s="849"/>
      <c r="AX36" s="860"/>
      <c r="AY36" s="860"/>
      <c r="AZ36" s="860"/>
      <c r="BA36" s="844"/>
      <c r="BB36" s="844"/>
      <c r="BC36" s="844"/>
      <c r="BD36" s="834"/>
      <c r="BE36" s="835"/>
      <c r="BF36" s="836"/>
      <c r="BG36" s="843"/>
      <c r="BH36" s="843"/>
      <c r="BI36" s="843"/>
      <c r="BJ36" s="823">
        <f t="shared" ref="BJ36" si="114">COUNTA(AU36:BI36)</f>
        <v>1</v>
      </c>
      <c r="BK36" s="824">
        <v>90.1</v>
      </c>
      <c r="BL36" s="118"/>
      <c r="BM36" s="840">
        <v>45759</v>
      </c>
      <c r="BN36" s="844"/>
      <c r="BO36" s="844"/>
      <c r="BP36" s="844"/>
      <c r="BQ36" s="859"/>
      <c r="BR36" s="859"/>
      <c r="BS36" s="859"/>
      <c r="BT36" s="844"/>
      <c r="BU36" s="844"/>
      <c r="BV36" s="844"/>
      <c r="BW36" s="844"/>
      <c r="BX36" s="844"/>
      <c r="BY36" s="844"/>
      <c r="BZ36" s="844"/>
      <c r="CA36" s="844"/>
      <c r="CB36" s="844"/>
      <c r="CC36" s="823">
        <f t="shared" ref="CC36" si="115">COUNTA(BN36:CB36)</f>
        <v>0</v>
      </c>
      <c r="CD36" s="824">
        <f>CD33</f>
        <v>87.7</v>
      </c>
      <c r="CF36" s="870">
        <v>45789</v>
      </c>
      <c r="CG36" s="849" t="s">
        <v>72</v>
      </c>
      <c r="CH36" s="849"/>
      <c r="CI36" s="849"/>
      <c r="CJ36" s="848" t="s">
        <v>128</v>
      </c>
      <c r="CK36" s="848"/>
      <c r="CL36" s="848"/>
      <c r="CM36" s="882" t="s">
        <v>101</v>
      </c>
      <c r="CN36" s="883"/>
      <c r="CO36" s="884"/>
      <c r="CP36" s="882" t="s">
        <v>14</v>
      </c>
      <c r="CQ36" s="883"/>
      <c r="CR36" s="884"/>
      <c r="CS36" s="848" t="s">
        <v>129</v>
      </c>
      <c r="CT36" s="848"/>
      <c r="CU36" s="848"/>
      <c r="CV36" s="823">
        <f t="shared" ref="CV36" si="116">COUNTA(CG36:CU36)</f>
        <v>5</v>
      </c>
      <c r="CW36" s="824">
        <v>84.1</v>
      </c>
      <c r="CX36" s="118"/>
      <c r="CY36" s="873">
        <v>45820</v>
      </c>
      <c r="CZ36" s="848" t="s">
        <v>102</v>
      </c>
      <c r="DA36" s="848"/>
      <c r="DB36" s="848"/>
      <c r="DC36" s="886" t="s">
        <v>80</v>
      </c>
      <c r="DD36" s="886"/>
      <c r="DE36" s="886"/>
      <c r="DF36" s="844"/>
      <c r="DG36" s="844"/>
      <c r="DH36" s="844"/>
      <c r="DI36" s="844"/>
      <c r="DJ36" s="844"/>
      <c r="DK36" s="844"/>
      <c r="DL36" s="844"/>
      <c r="DM36" s="844"/>
      <c r="DN36" s="844"/>
      <c r="DO36" s="823">
        <f t="shared" ref="DO36" si="117">COUNTA(CZ36:DN36)</f>
        <v>2</v>
      </c>
      <c r="DP36" s="824">
        <v>83.8</v>
      </c>
      <c r="DR36" s="840">
        <v>45850</v>
      </c>
      <c r="DS36" s="859"/>
      <c r="DT36" s="859"/>
      <c r="DU36" s="859"/>
      <c r="DV36" s="859"/>
      <c r="DW36" s="859"/>
      <c r="DX36" s="859"/>
      <c r="DY36" s="844"/>
      <c r="DZ36" s="844"/>
      <c r="EA36" s="844"/>
      <c r="EB36" s="844"/>
      <c r="EC36" s="844"/>
      <c r="ED36" s="844"/>
      <c r="EE36" s="844"/>
      <c r="EF36" s="844"/>
      <c r="EG36" s="844"/>
      <c r="EH36" s="823">
        <f t="shared" ref="EH36" si="118">COUNTA(DS36:EG36)</f>
        <v>0</v>
      </c>
      <c r="EI36" s="824">
        <f>EI33</f>
        <v>81.7</v>
      </c>
      <c r="EK36" s="856">
        <v>45881</v>
      </c>
      <c r="EL36" s="849" t="s">
        <v>70</v>
      </c>
      <c r="EM36" s="849"/>
      <c r="EN36" s="849"/>
      <c r="EO36" s="859"/>
      <c r="EP36" s="859"/>
      <c r="EQ36" s="859"/>
      <c r="ER36" s="844"/>
      <c r="ES36" s="844"/>
      <c r="ET36" s="844"/>
      <c r="EU36" s="844"/>
      <c r="EV36" s="844"/>
      <c r="EW36" s="844"/>
      <c r="EX36" s="844"/>
      <c r="EY36" s="844"/>
      <c r="EZ36" s="844"/>
      <c r="FA36" s="823">
        <f t="shared" ref="FA36" si="119">COUNTA(EL36:EZ36)</f>
        <v>1</v>
      </c>
      <c r="FB36" s="824">
        <v>80.599999999999994</v>
      </c>
      <c r="FD36" s="876">
        <v>45912</v>
      </c>
      <c r="FE36" s="848" t="s">
        <v>68</v>
      </c>
      <c r="FF36" s="848"/>
      <c r="FG36" s="848"/>
      <c r="FH36" s="890" t="s">
        <v>71</v>
      </c>
      <c r="FI36" s="890"/>
      <c r="FJ36" s="890"/>
      <c r="FK36" s="890" t="s">
        <v>106</v>
      </c>
      <c r="FL36" s="890"/>
      <c r="FM36" s="890"/>
      <c r="FN36" s="844"/>
      <c r="FO36" s="844"/>
      <c r="FP36" s="844"/>
      <c r="FQ36" s="844"/>
      <c r="FR36" s="844"/>
      <c r="FS36" s="844"/>
      <c r="FT36" s="823">
        <f t="shared" ref="FT36" si="120">COUNTA(FE36:FS36)</f>
        <v>3</v>
      </c>
      <c r="FU36" s="824">
        <v>78.7</v>
      </c>
      <c r="FW36" s="864">
        <v>45942</v>
      </c>
      <c r="FX36" s="834"/>
      <c r="FY36" s="835"/>
      <c r="FZ36" s="836"/>
      <c r="GA36" s="843"/>
      <c r="GB36" s="843"/>
      <c r="GC36" s="843"/>
      <c r="GD36" s="834"/>
      <c r="GE36" s="835"/>
      <c r="GF36" s="836"/>
      <c r="GG36" s="844"/>
      <c r="GH36" s="844"/>
      <c r="GI36" s="844"/>
      <c r="GJ36" s="844"/>
      <c r="GK36" s="844"/>
      <c r="GL36" s="844"/>
      <c r="GM36" s="844"/>
      <c r="GN36" s="844"/>
      <c r="GO36" s="844"/>
      <c r="GP36" s="823">
        <f>COUNTA(FX36:GO36)</f>
        <v>0</v>
      </c>
      <c r="GQ36" s="824">
        <f t="shared" ref="GQ36" si="121">GQ33</f>
        <v>79.400000000000006</v>
      </c>
      <c r="GR36" s="118"/>
      <c r="GS36" s="845">
        <v>45973</v>
      </c>
      <c r="GT36" s="844"/>
      <c r="GU36" s="844"/>
      <c r="GV36" s="844"/>
      <c r="GW36" s="859"/>
      <c r="GX36" s="859"/>
      <c r="GY36" s="859"/>
      <c r="GZ36" s="834"/>
      <c r="HA36" s="835"/>
      <c r="HB36" s="836"/>
      <c r="HC36" s="867"/>
      <c r="HD36" s="868"/>
      <c r="HE36" s="869"/>
      <c r="HF36" s="834"/>
      <c r="HG36" s="835"/>
      <c r="HH36" s="836"/>
      <c r="HI36" s="834"/>
      <c r="HJ36" s="835"/>
      <c r="HK36" s="836"/>
      <c r="HL36" s="823">
        <f>COUNTA(GT36:HK36)</f>
        <v>0</v>
      </c>
      <c r="HM36" s="824">
        <f>HM33</f>
        <v>78.8</v>
      </c>
      <c r="HN36" s="118"/>
      <c r="HO36" s="876">
        <v>46003</v>
      </c>
      <c r="HP36" s="859"/>
      <c r="HQ36" s="859"/>
      <c r="HR36" s="859"/>
      <c r="HS36" s="859"/>
      <c r="HT36" s="859"/>
      <c r="HU36" s="859"/>
      <c r="HV36" s="834"/>
      <c r="HW36" s="835"/>
      <c r="HX36" s="836"/>
      <c r="HY36" s="867"/>
      <c r="HZ36" s="868"/>
      <c r="IA36" s="869"/>
      <c r="IB36" s="834"/>
      <c r="IC36" s="835"/>
      <c r="ID36" s="836"/>
      <c r="IE36" s="834"/>
      <c r="IF36" s="835"/>
      <c r="IG36" s="836"/>
      <c r="IH36" s="823">
        <f>COUNTA(HP36:IG36)</f>
        <v>0</v>
      </c>
      <c r="II36" s="824">
        <f>II33</f>
        <v>78.2</v>
      </c>
      <c r="IK36" s="870">
        <v>46034</v>
      </c>
      <c r="IL36" s="886" t="s">
        <v>78</v>
      </c>
      <c r="IM36" s="886"/>
      <c r="IN36" s="886"/>
      <c r="IO36" s="848" t="s">
        <v>85</v>
      </c>
      <c r="IP36" s="848"/>
      <c r="IQ36" s="848"/>
      <c r="IR36" s="848" t="s">
        <v>147</v>
      </c>
      <c r="IS36" s="848"/>
      <c r="IT36" s="848"/>
      <c r="IU36" s="890" t="s">
        <v>131</v>
      </c>
      <c r="IV36" s="890"/>
      <c r="IW36" s="890"/>
      <c r="IX36" s="834"/>
      <c r="IY36" s="835"/>
      <c r="IZ36" s="836"/>
      <c r="JA36" s="834"/>
      <c r="JB36" s="835"/>
      <c r="JC36" s="836"/>
      <c r="JD36" s="232" t="s">
        <v>425</v>
      </c>
      <c r="JE36" s="823">
        <f>COUNTA(IL36:JC36)</f>
        <v>4</v>
      </c>
      <c r="JF36" s="824">
        <v>76.5</v>
      </c>
    </row>
    <row r="37" spans="8:294" ht="15">
      <c r="U37" s="831" t="s">
        <v>136</v>
      </c>
      <c r="V37" s="831"/>
      <c r="W37" s="831"/>
      <c r="X37" s="274">
        <f>SUM(X5,X8,X11,X14,X17,X20,X23,X26,X29,X32,X35)</f>
        <v>25280.6</v>
      </c>
      <c r="Y37" s="830"/>
      <c r="AA37" s="846"/>
      <c r="AB37" s="231" t="s">
        <v>59</v>
      </c>
      <c r="AC37" s="231" t="s">
        <v>73</v>
      </c>
      <c r="AD37" s="102" t="s">
        <v>4</v>
      </c>
      <c r="AE37" s="231" t="s">
        <v>59</v>
      </c>
      <c r="AF37" s="231" t="s">
        <v>73</v>
      </c>
      <c r="AG37" s="102" t="s">
        <v>4</v>
      </c>
      <c r="AH37" s="231" t="s">
        <v>59</v>
      </c>
      <c r="AI37" s="231" t="s">
        <v>73</v>
      </c>
      <c r="AJ37" s="102" t="s">
        <v>4</v>
      </c>
      <c r="AK37" s="231" t="s">
        <v>59</v>
      </c>
      <c r="AL37" s="231" t="s">
        <v>73</v>
      </c>
      <c r="AM37" s="102" t="s">
        <v>4</v>
      </c>
      <c r="AN37" s="231" t="s">
        <v>59</v>
      </c>
      <c r="AO37" s="231" t="s">
        <v>73</v>
      </c>
      <c r="AP37" s="102" t="s">
        <v>4</v>
      </c>
      <c r="AQ37" s="823"/>
      <c r="AR37" s="825"/>
      <c r="AT37" s="846"/>
      <c r="AU37" s="231" t="s">
        <v>59</v>
      </c>
      <c r="AV37" s="231" t="s">
        <v>73</v>
      </c>
      <c r="AW37" s="102" t="s">
        <v>4</v>
      </c>
      <c r="AX37" s="107" t="s">
        <v>59</v>
      </c>
      <c r="AY37" s="107" t="s">
        <v>73</v>
      </c>
      <c r="AZ37" s="108" t="s">
        <v>4</v>
      </c>
      <c r="BA37" s="107" t="s">
        <v>59</v>
      </c>
      <c r="BB37" s="107" t="s">
        <v>73</v>
      </c>
      <c r="BC37" s="108" t="s">
        <v>4</v>
      </c>
      <c r="BD37" s="107" t="s">
        <v>59</v>
      </c>
      <c r="BE37" s="107" t="s">
        <v>73</v>
      </c>
      <c r="BF37" s="108" t="s">
        <v>4</v>
      </c>
      <c r="BG37" s="107" t="s">
        <v>59</v>
      </c>
      <c r="BH37" s="107" t="s">
        <v>73</v>
      </c>
      <c r="BI37" s="108" t="s">
        <v>4</v>
      </c>
      <c r="BJ37" s="823"/>
      <c r="BK37" s="825"/>
      <c r="BL37" s="118"/>
      <c r="BM37" s="841"/>
      <c r="BN37" s="107" t="s">
        <v>59</v>
      </c>
      <c r="BO37" s="107" t="s">
        <v>73</v>
      </c>
      <c r="BP37" s="108" t="s">
        <v>4</v>
      </c>
      <c r="BQ37" s="107" t="s">
        <v>59</v>
      </c>
      <c r="BR37" s="107" t="s">
        <v>73</v>
      </c>
      <c r="BS37" s="108" t="s">
        <v>4</v>
      </c>
      <c r="BT37" s="107" t="s">
        <v>59</v>
      </c>
      <c r="BU37" s="107" t="s">
        <v>73</v>
      </c>
      <c r="BV37" s="108" t="s">
        <v>4</v>
      </c>
      <c r="BW37" s="107" t="s">
        <v>59</v>
      </c>
      <c r="BX37" s="107" t="s">
        <v>73</v>
      </c>
      <c r="BY37" s="108" t="s">
        <v>4</v>
      </c>
      <c r="BZ37" s="107" t="s">
        <v>59</v>
      </c>
      <c r="CA37" s="107" t="s">
        <v>73</v>
      </c>
      <c r="CB37" s="108" t="s">
        <v>4</v>
      </c>
      <c r="CC37" s="823"/>
      <c r="CD37" s="825"/>
      <c r="CF37" s="871"/>
      <c r="CG37" s="231" t="s">
        <v>59</v>
      </c>
      <c r="CH37" s="231" t="s">
        <v>73</v>
      </c>
      <c r="CI37" s="102" t="s">
        <v>4</v>
      </c>
      <c r="CJ37" s="231" t="s">
        <v>59</v>
      </c>
      <c r="CK37" s="231" t="s">
        <v>73</v>
      </c>
      <c r="CL37" s="102" t="s">
        <v>4</v>
      </c>
      <c r="CM37" s="231" t="s">
        <v>59</v>
      </c>
      <c r="CN37" s="231" t="s">
        <v>73</v>
      </c>
      <c r="CO37" s="102" t="s">
        <v>4</v>
      </c>
      <c r="CP37" s="231" t="s">
        <v>59</v>
      </c>
      <c r="CQ37" s="231" t="s">
        <v>73</v>
      </c>
      <c r="CR37" s="102" t="s">
        <v>4</v>
      </c>
      <c r="CS37" s="231" t="s">
        <v>59</v>
      </c>
      <c r="CT37" s="231" t="s">
        <v>73</v>
      </c>
      <c r="CU37" s="102" t="s">
        <v>4</v>
      </c>
      <c r="CV37" s="823"/>
      <c r="CW37" s="825"/>
      <c r="CX37" s="118"/>
      <c r="CY37" s="874"/>
      <c r="CZ37" s="231" t="s">
        <v>59</v>
      </c>
      <c r="DA37" s="231" t="s">
        <v>73</v>
      </c>
      <c r="DB37" s="102" t="s">
        <v>4</v>
      </c>
      <c r="DC37" s="231" t="s">
        <v>59</v>
      </c>
      <c r="DD37" s="231" t="s">
        <v>73</v>
      </c>
      <c r="DE37" s="102" t="s">
        <v>4</v>
      </c>
      <c r="DF37" s="107" t="s">
        <v>59</v>
      </c>
      <c r="DG37" s="107" t="s">
        <v>73</v>
      </c>
      <c r="DH37" s="108" t="s">
        <v>4</v>
      </c>
      <c r="DI37" s="107" t="s">
        <v>59</v>
      </c>
      <c r="DJ37" s="107" t="s">
        <v>73</v>
      </c>
      <c r="DK37" s="108" t="s">
        <v>4</v>
      </c>
      <c r="DL37" s="107" t="s">
        <v>59</v>
      </c>
      <c r="DM37" s="107" t="s">
        <v>73</v>
      </c>
      <c r="DN37" s="108" t="s">
        <v>4</v>
      </c>
      <c r="DO37" s="823"/>
      <c r="DP37" s="825"/>
      <c r="DR37" s="841"/>
      <c r="DS37" s="107" t="s">
        <v>59</v>
      </c>
      <c r="DT37" s="107" t="s">
        <v>73</v>
      </c>
      <c r="DU37" s="108" t="s">
        <v>4</v>
      </c>
      <c r="DV37" s="107" t="s">
        <v>59</v>
      </c>
      <c r="DW37" s="107" t="s">
        <v>73</v>
      </c>
      <c r="DX37" s="108" t="s">
        <v>4</v>
      </c>
      <c r="DY37" s="107" t="s">
        <v>59</v>
      </c>
      <c r="DZ37" s="107" t="s">
        <v>73</v>
      </c>
      <c r="EA37" s="108" t="s">
        <v>4</v>
      </c>
      <c r="EB37" s="107" t="s">
        <v>59</v>
      </c>
      <c r="EC37" s="107" t="s">
        <v>73</v>
      </c>
      <c r="ED37" s="108" t="s">
        <v>4</v>
      </c>
      <c r="EE37" s="107" t="s">
        <v>59</v>
      </c>
      <c r="EF37" s="107" t="s">
        <v>73</v>
      </c>
      <c r="EG37" s="108" t="s">
        <v>4</v>
      </c>
      <c r="EH37" s="823"/>
      <c r="EI37" s="825"/>
      <c r="EK37" s="857"/>
      <c r="EL37" s="231" t="s">
        <v>59</v>
      </c>
      <c r="EM37" s="231" t="s">
        <v>73</v>
      </c>
      <c r="EN37" s="102" t="s">
        <v>4</v>
      </c>
      <c r="EO37" s="107" t="s">
        <v>59</v>
      </c>
      <c r="EP37" s="107" t="s">
        <v>73</v>
      </c>
      <c r="EQ37" s="108" t="s">
        <v>4</v>
      </c>
      <c r="ER37" s="107" t="s">
        <v>59</v>
      </c>
      <c r="ES37" s="107" t="s">
        <v>73</v>
      </c>
      <c r="ET37" s="108" t="s">
        <v>4</v>
      </c>
      <c r="EU37" s="107" t="s">
        <v>59</v>
      </c>
      <c r="EV37" s="107" t="s">
        <v>73</v>
      </c>
      <c r="EW37" s="108" t="s">
        <v>4</v>
      </c>
      <c r="EX37" s="107" t="s">
        <v>59</v>
      </c>
      <c r="EY37" s="107" t="s">
        <v>73</v>
      </c>
      <c r="EZ37" s="108" t="s">
        <v>4</v>
      </c>
      <c r="FA37" s="823"/>
      <c r="FB37" s="825"/>
      <c r="FD37" s="877"/>
      <c r="FE37" s="231" t="s">
        <v>59</v>
      </c>
      <c r="FF37" s="231" t="s">
        <v>73</v>
      </c>
      <c r="FG37" s="102" t="s">
        <v>4</v>
      </c>
      <c r="FH37" s="231" t="s">
        <v>59</v>
      </c>
      <c r="FI37" s="231" t="s">
        <v>73</v>
      </c>
      <c r="FJ37" s="102" t="s">
        <v>4</v>
      </c>
      <c r="FK37" s="231" t="s">
        <v>59</v>
      </c>
      <c r="FL37" s="231" t="s">
        <v>73</v>
      </c>
      <c r="FM37" s="102" t="s">
        <v>4</v>
      </c>
      <c r="FN37" s="107" t="s">
        <v>59</v>
      </c>
      <c r="FO37" s="107" t="s">
        <v>73</v>
      </c>
      <c r="FP37" s="108" t="s">
        <v>4</v>
      </c>
      <c r="FQ37" s="107" t="s">
        <v>59</v>
      </c>
      <c r="FR37" s="107" t="s">
        <v>73</v>
      </c>
      <c r="FS37" s="108" t="s">
        <v>4</v>
      </c>
      <c r="FT37" s="823"/>
      <c r="FU37" s="825"/>
      <c r="FW37" s="865"/>
      <c r="FX37" s="107" t="s">
        <v>59</v>
      </c>
      <c r="FY37" s="107" t="s">
        <v>73</v>
      </c>
      <c r="FZ37" s="108" t="s">
        <v>4</v>
      </c>
      <c r="GA37" s="107" t="s">
        <v>59</v>
      </c>
      <c r="GB37" s="107" t="s">
        <v>73</v>
      </c>
      <c r="GC37" s="108" t="s">
        <v>4</v>
      </c>
      <c r="GD37" s="107" t="s">
        <v>59</v>
      </c>
      <c r="GE37" s="107" t="s">
        <v>73</v>
      </c>
      <c r="GF37" s="108" t="s">
        <v>4</v>
      </c>
      <c r="GG37" s="107" t="s">
        <v>59</v>
      </c>
      <c r="GH37" s="107" t="s">
        <v>73</v>
      </c>
      <c r="GI37" s="108" t="s">
        <v>4</v>
      </c>
      <c r="GJ37" s="107" t="s">
        <v>59</v>
      </c>
      <c r="GK37" s="107" t="s">
        <v>73</v>
      </c>
      <c r="GL37" s="108" t="s">
        <v>4</v>
      </c>
      <c r="GM37" s="107" t="s">
        <v>59</v>
      </c>
      <c r="GN37" s="107" t="s">
        <v>73</v>
      </c>
      <c r="GO37" s="108" t="s">
        <v>4</v>
      </c>
      <c r="GP37" s="823"/>
      <c r="GQ37" s="825"/>
      <c r="GR37" s="118"/>
      <c r="GS37" s="846"/>
      <c r="GT37" s="107" t="s">
        <v>59</v>
      </c>
      <c r="GU37" s="107" t="s">
        <v>73</v>
      </c>
      <c r="GV37" s="108" t="s">
        <v>4</v>
      </c>
      <c r="GW37" s="107" t="s">
        <v>59</v>
      </c>
      <c r="GX37" s="107" t="s">
        <v>73</v>
      </c>
      <c r="GY37" s="108" t="s">
        <v>4</v>
      </c>
      <c r="GZ37" s="107" t="s">
        <v>59</v>
      </c>
      <c r="HA37" s="107" t="s">
        <v>73</v>
      </c>
      <c r="HB37" s="108" t="s">
        <v>4</v>
      </c>
      <c r="HC37" s="107" t="s">
        <v>59</v>
      </c>
      <c r="HD37" s="107" t="s">
        <v>73</v>
      </c>
      <c r="HE37" s="108" t="s">
        <v>4</v>
      </c>
      <c r="HF37" s="107" t="s">
        <v>59</v>
      </c>
      <c r="HG37" s="107" t="s">
        <v>73</v>
      </c>
      <c r="HH37" s="108" t="s">
        <v>4</v>
      </c>
      <c r="HI37" s="107" t="s">
        <v>59</v>
      </c>
      <c r="HJ37" s="107" t="s">
        <v>73</v>
      </c>
      <c r="HK37" s="108" t="s">
        <v>4</v>
      </c>
      <c r="HL37" s="823"/>
      <c r="HM37" s="825"/>
      <c r="HN37" s="118"/>
      <c r="HO37" s="877"/>
      <c r="HP37" s="107" t="s">
        <v>59</v>
      </c>
      <c r="HQ37" s="107" t="s">
        <v>73</v>
      </c>
      <c r="HR37" s="108" t="s">
        <v>4</v>
      </c>
      <c r="HS37" s="107" t="s">
        <v>59</v>
      </c>
      <c r="HT37" s="107" t="s">
        <v>73</v>
      </c>
      <c r="HU37" s="108" t="s">
        <v>4</v>
      </c>
      <c r="HV37" s="107" t="s">
        <v>59</v>
      </c>
      <c r="HW37" s="107" t="s">
        <v>73</v>
      </c>
      <c r="HX37" s="108" t="s">
        <v>4</v>
      </c>
      <c r="HY37" s="107" t="s">
        <v>59</v>
      </c>
      <c r="HZ37" s="107" t="s">
        <v>73</v>
      </c>
      <c r="IA37" s="108" t="s">
        <v>4</v>
      </c>
      <c r="IB37" s="107" t="s">
        <v>59</v>
      </c>
      <c r="IC37" s="107" t="s">
        <v>73</v>
      </c>
      <c r="ID37" s="108" t="s">
        <v>4</v>
      </c>
      <c r="IE37" s="107" t="s">
        <v>59</v>
      </c>
      <c r="IF37" s="107" t="s">
        <v>73</v>
      </c>
      <c r="IG37" s="108" t="s">
        <v>4</v>
      </c>
      <c r="IH37" s="823"/>
      <c r="II37" s="825"/>
      <c r="IK37" s="871"/>
      <c r="IL37" s="231" t="s">
        <v>59</v>
      </c>
      <c r="IM37" s="231" t="s">
        <v>73</v>
      </c>
      <c r="IN37" s="102" t="s">
        <v>4</v>
      </c>
      <c r="IO37" s="231" t="s">
        <v>59</v>
      </c>
      <c r="IP37" s="231" t="s">
        <v>73</v>
      </c>
      <c r="IQ37" s="102" t="s">
        <v>4</v>
      </c>
      <c r="IR37" s="231" t="s">
        <v>59</v>
      </c>
      <c r="IS37" s="231" t="s">
        <v>73</v>
      </c>
      <c r="IT37" s="102" t="s">
        <v>4</v>
      </c>
      <c r="IU37" s="231" t="s">
        <v>59</v>
      </c>
      <c r="IV37" s="231" t="s">
        <v>73</v>
      </c>
      <c r="IW37" s="102" t="s">
        <v>4</v>
      </c>
      <c r="IX37" s="107" t="s">
        <v>59</v>
      </c>
      <c r="IY37" s="107" t="s">
        <v>73</v>
      </c>
      <c r="IZ37" s="108" t="s">
        <v>4</v>
      </c>
      <c r="JA37" s="107" t="s">
        <v>59</v>
      </c>
      <c r="JB37" s="107" t="s">
        <v>73</v>
      </c>
      <c r="JC37" s="108" t="s">
        <v>4</v>
      </c>
      <c r="JD37" s="948"/>
      <c r="JE37" s="823"/>
      <c r="JF37" s="825"/>
    </row>
    <row r="38" spans="8:294" ht="15">
      <c r="AA38" s="847"/>
      <c r="AB38" s="229">
        <v>4</v>
      </c>
      <c r="AC38" s="229">
        <v>8</v>
      </c>
      <c r="AD38" s="229">
        <f>((49.9*1)+(54.4*3))/4</f>
        <v>53.274999999999999</v>
      </c>
      <c r="AE38" s="229">
        <v>4</v>
      </c>
      <c r="AF38" s="229">
        <v>8</v>
      </c>
      <c r="AG38" s="229">
        <f>((27.2*3)+(29.5*1))/4</f>
        <v>27.774999999999999</v>
      </c>
      <c r="AH38" s="229">
        <v>4</v>
      </c>
      <c r="AI38" s="229">
        <v>8</v>
      </c>
      <c r="AJ38" s="229">
        <f>((9.1*1)+(11.3*3))/4</f>
        <v>10.750000000000002</v>
      </c>
      <c r="AK38" s="229">
        <v>2</v>
      </c>
      <c r="AL38" s="229">
        <v>4</v>
      </c>
      <c r="AM38" s="229">
        <f>((15*3)+(17.5*1))/4</f>
        <v>15.625</v>
      </c>
      <c r="AN38" s="229">
        <v>4</v>
      </c>
      <c r="AO38" s="229">
        <v>8</v>
      </c>
      <c r="AP38" s="229">
        <f>17.5</f>
        <v>17.5</v>
      </c>
      <c r="AQ38" s="229">
        <f>(AB38*AC38*AD38)+(AE38*AF38*AG38)+(AH38*AI38*AJ38)+(AK38*AL38*AM38)+(AN38*AO38*AP38)</f>
        <v>3622.6</v>
      </c>
      <c r="AR38" s="826"/>
      <c r="AT38" s="847"/>
      <c r="AU38" s="229">
        <v>1</v>
      </c>
      <c r="AV38" s="229">
        <v>30</v>
      </c>
      <c r="AW38" s="229">
        <f>BK36</f>
        <v>90.1</v>
      </c>
      <c r="AX38" s="233"/>
      <c r="AY38" s="233"/>
      <c r="AZ38" s="233"/>
      <c r="BA38" s="233"/>
      <c r="BB38" s="233"/>
      <c r="BC38" s="233"/>
      <c r="BD38" s="233"/>
      <c r="BE38" s="233"/>
      <c r="BF38" s="233"/>
      <c r="BG38" s="233"/>
      <c r="BH38" s="233"/>
      <c r="BI38" s="233"/>
      <c r="BJ38" s="229">
        <f>(AU38*AV38*AW38)+(AX38*AY38*AZ38)+(BA38*BB38*BC38)+(BD38*BE38*BF38)+(BG38*BH38*BI38)</f>
        <v>2703</v>
      </c>
      <c r="BK38" s="826"/>
      <c r="BL38" s="118"/>
      <c r="BM38" s="842"/>
      <c r="BN38" s="233"/>
      <c r="BO38" s="233"/>
      <c r="BP38" s="233"/>
      <c r="BQ38" s="233"/>
      <c r="BR38" s="233"/>
      <c r="BS38" s="233"/>
      <c r="BT38" s="233"/>
      <c r="BU38" s="233"/>
      <c r="BV38" s="233"/>
      <c r="BW38" s="233"/>
      <c r="BX38" s="233"/>
      <c r="BY38" s="233"/>
      <c r="BZ38" s="233"/>
      <c r="CA38" s="233"/>
      <c r="CB38" s="233"/>
      <c r="CC38" s="229">
        <f>(BN38*BO38*BP38)+(BQ38*BR38*BS38)+(BT38*BU38*BV38)+(BW38*BX38*BY38)+(BZ38*CA38*CB38)</f>
        <v>0</v>
      </c>
      <c r="CD38" s="826"/>
      <c r="CF38" s="872"/>
      <c r="CG38" s="229">
        <v>4</v>
      </c>
      <c r="CH38" s="229">
        <v>10</v>
      </c>
      <c r="CI38" s="229">
        <v>49.9</v>
      </c>
      <c r="CJ38" s="229">
        <v>4</v>
      </c>
      <c r="CK38" s="229">
        <f>((10*1)+(8*3))/4</f>
        <v>8.5</v>
      </c>
      <c r="CL38" s="229">
        <v>12.5</v>
      </c>
      <c r="CM38" s="229">
        <v>4</v>
      </c>
      <c r="CN38" s="126">
        <f>((8*1)+(10*3))/4</f>
        <v>9.5</v>
      </c>
      <c r="CO38" s="126">
        <f>((24.9*1)+(27.2*3))/4</f>
        <v>26.625</v>
      </c>
      <c r="CP38" s="229">
        <v>2</v>
      </c>
      <c r="CQ38" s="229">
        <f>((6*2)+(8*2))/4</f>
        <v>7</v>
      </c>
      <c r="CR38" s="229">
        <f>((15*2)+(12.5*2))/4</f>
        <v>13.75</v>
      </c>
      <c r="CS38" s="229">
        <v>4</v>
      </c>
      <c r="CT38" s="126">
        <v>10</v>
      </c>
      <c r="CU38" s="126">
        <v>20.399999999999999</v>
      </c>
      <c r="CV38" s="229">
        <f>(CG38*CH38*CI38)+(CJ38*CK38*CL38)+(CM38*CN38*CO38)+(CP38*CQ38*CR38)+(CS38*CT38*CU38)</f>
        <v>4441.25</v>
      </c>
      <c r="CW38" s="826"/>
      <c r="CX38" s="118"/>
      <c r="CY38" s="875"/>
      <c r="CZ38" s="229">
        <v>4</v>
      </c>
      <c r="DA38" s="229">
        <f>((8*1)+(10*3))/4</f>
        <v>9.5</v>
      </c>
      <c r="DB38" s="229">
        <v>9.1</v>
      </c>
      <c r="DC38" s="229">
        <v>4</v>
      </c>
      <c r="DD38" s="229">
        <v>10</v>
      </c>
      <c r="DE38" s="229">
        <v>15</v>
      </c>
      <c r="DF38" s="233"/>
      <c r="DG38" s="233"/>
      <c r="DH38" s="233"/>
      <c r="DI38" s="233"/>
      <c r="DJ38" s="233"/>
      <c r="DK38" s="233"/>
      <c r="DL38" s="233"/>
      <c r="DM38" s="233"/>
      <c r="DN38" s="233"/>
      <c r="DO38" s="229">
        <f>(CZ38*DA38*DB38)+(DC38*DD38*DE38)+(DF38*DG38*DH38)+(DI38*DJ38*DK38)+(DL38*DM38*DN38)</f>
        <v>945.8</v>
      </c>
      <c r="DP38" s="826"/>
      <c r="DR38" s="842"/>
      <c r="DS38" s="233"/>
      <c r="DT38" s="233"/>
      <c r="DU38" s="233"/>
      <c r="DV38" s="233"/>
      <c r="DW38" s="233"/>
      <c r="DX38" s="233"/>
      <c r="DY38" s="233"/>
      <c r="DZ38" s="233"/>
      <c r="EA38" s="233"/>
      <c r="EB38" s="233"/>
      <c r="EC38" s="233"/>
      <c r="ED38" s="233"/>
      <c r="EE38" s="233"/>
      <c r="EF38" s="233"/>
      <c r="EG38" s="233"/>
      <c r="EH38" s="229">
        <f>(DS38*DT38*DU38)+(DV38*DW38*DX38)+(DY38*DZ38*EA38)+(EB38*EC38*ED38)+(EE38*EF38*EG38)</f>
        <v>0</v>
      </c>
      <c r="EI38" s="826"/>
      <c r="EK38" s="858"/>
      <c r="EL38" s="229">
        <v>1</v>
      </c>
      <c r="EM38" s="126">
        <v>40</v>
      </c>
      <c r="EN38" s="229">
        <f>FB36</f>
        <v>80.599999999999994</v>
      </c>
      <c r="EO38" s="233"/>
      <c r="EP38" s="233"/>
      <c r="EQ38" s="233"/>
      <c r="ER38" s="233"/>
      <c r="ES38" s="233"/>
      <c r="ET38" s="233"/>
      <c r="EU38" s="233"/>
      <c r="EV38" s="233"/>
      <c r="EW38" s="233"/>
      <c r="EX38" s="233"/>
      <c r="EY38" s="233"/>
      <c r="EZ38" s="233"/>
      <c r="FA38" s="229">
        <f>(EL38*EM38*EN38)+(EO38*EP38*EQ38)+(ER38*ES38*ET38)+(EU38*EV38*EW38)+(EX38*EY38*EZ38)</f>
        <v>3224</v>
      </c>
      <c r="FB38" s="826"/>
      <c r="FD38" s="878"/>
      <c r="FE38" s="229">
        <v>4</v>
      </c>
      <c r="FF38" s="229">
        <f>((12*2)+(8*2))/4</f>
        <v>10</v>
      </c>
      <c r="FG38" s="229">
        <f>((32*1)+(59*1)+(63*2))/4</f>
        <v>54.25</v>
      </c>
      <c r="FH38" s="229">
        <v>3</v>
      </c>
      <c r="FI38" s="229">
        <v>12</v>
      </c>
      <c r="FJ38" s="229">
        <v>25</v>
      </c>
      <c r="FK38" s="229">
        <v>4</v>
      </c>
      <c r="FL38" s="126">
        <f>((10*1)+(12*1)+(14*1))/4</f>
        <v>9</v>
      </c>
      <c r="FM38" s="229">
        <v>7.5</v>
      </c>
      <c r="FN38" s="233"/>
      <c r="FO38" s="233"/>
      <c r="FP38" s="233"/>
      <c r="FQ38" s="233"/>
      <c r="FR38" s="233"/>
      <c r="FS38" s="233"/>
      <c r="FT38" s="229">
        <f>(FE38*FF38*FG38)+(FH38*FI38*FJ38)+(FK38*FL38*FM38)+(FN38*FO38*FP38)+(FQ38*FR38*FS38)</f>
        <v>3340</v>
      </c>
      <c r="FU38" s="826"/>
      <c r="FW38" s="866"/>
      <c r="FX38" s="233"/>
      <c r="FY38" s="233"/>
      <c r="FZ38" s="233"/>
      <c r="GA38" s="233"/>
      <c r="GB38" s="233"/>
      <c r="GC38" s="233"/>
      <c r="GD38" s="233"/>
      <c r="GE38" s="233"/>
      <c r="GF38" s="233"/>
      <c r="GG38" s="233"/>
      <c r="GH38" s="233"/>
      <c r="GI38" s="233"/>
      <c r="GJ38" s="233"/>
      <c r="GK38" s="233"/>
      <c r="GL38" s="233"/>
      <c r="GM38" s="233"/>
      <c r="GN38" s="233"/>
      <c r="GO38" s="233"/>
      <c r="GP38" s="229">
        <f>(FX38*FY38*FZ38)+(GA38*GB38*GC38)+(GD38*GE38*GF38)+(GG38*GH38*GI38)+(GJ38*GK38*GL38)+(GM38*GN38*GO38)</f>
        <v>0</v>
      </c>
      <c r="GQ38" s="826"/>
      <c r="GR38" s="118"/>
      <c r="GS38" s="847"/>
      <c r="GT38" s="233"/>
      <c r="GU38" s="233"/>
      <c r="GV38" s="233"/>
      <c r="GW38" s="233"/>
      <c r="GX38" s="233"/>
      <c r="GY38" s="233"/>
      <c r="GZ38" s="233"/>
      <c r="HA38" s="233"/>
      <c r="HB38" s="233"/>
      <c r="HC38" s="233"/>
      <c r="HD38" s="233"/>
      <c r="HE38" s="233"/>
      <c r="HF38" s="233"/>
      <c r="HG38" s="233"/>
      <c r="HH38" s="233"/>
      <c r="HI38" s="233"/>
      <c r="HJ38" s="233"/>
      <c r="HK38" s="233"/>
      <c r="HL38" s="229">
        <f>(GT38*GU38*GV38)+(GW38*GX38*GY38)+(GZ38*HA38*HB38)+(HC38*HD38*HE38)+(HF38*HG38*HH38)+(HI38*HJ38*HK38)</f>
        <v>0</v>
      </c>
      <c r="HM38" s="826"/>
      <c r="HN38" s="118"/>
      <c r="HO38" s="878"/>
      <c r="HP38" s="233"/>
      <c r="HQ38" s="233"/>
      <c r="HR38" s="233"/>
      <c r="HS38" s="233"/>
      <c r="HT38" s="233"/>
      <c r="HU38" s="233"/>
      <c r="HV38" s="233"/>
      <c r="HW38" s="233"/>
      <c r="HX38" s="233"/>
      <c r="HY38" s="233"/>
      <c r="HZ38" s="233"/>
      <c r="IA38" s="233"/>
      <c r="IB38" s="233"/>
      <c r="IC38" s="233"/>
      <c r="ID38" s="233"/>
      <c r="IE38" s="233"/>
      <c r="IF38" s="233"/>
      <c r="IG38" s="233"/>
      <c r="IH38" s="229">
        <f>(HP38*HQ38*HR38)+(HS38*HT38*HU38)+(HV38*HW38*HX38)+(HY38*HZ38*IA38)+(IB38*IC38*ID38)+(IE38*IF38*IG38)</f>
        <v>0</v>
      </c>
      <c r="II38" s="826"/>
      <c r="IK38" s="872"/>
      <c r="IL38" s="229">
        <v>4</v>
      </c>
      <c r="IM38" s="229">
        <f>((12*1)+(8*3))/4</f>
        <v>9</v>
      </c>
      <c r="IN38" s="229">
        <f>((12.5*1)+(17.5*3))/4</f>
        <v>16.25</v>
      </c>
      <c r="IO38" s="229">
        <v>4</v>
      </c>
      <c r="IP38" s="229">
        <f>((20*1)+(40*3))/4</f>
        <v>35</v>
      </c>
      <c r="IQ38" s="229">
        <f>JF36*(1.2/3)</f>
        <v>30.599999999999998</v>
      </c>
      <c r="IR38" s="229">
        <v>1</v>
      </c>
      <c r="IS38" s="229">
        <v>2</v>
      </c>
      <c r="IT38" s="229">
        <f>JF36</f>
        <v>76.5</v>
      </c>
      <c r="IU38" s="229">
        <v>3</v>
      </c>
      <c r="IV38" s="229">
        <f>((12*1)+(8*2))/3</f>
        <v>9.3333333333333339</v>
      </c>
      <c r="IW38" s="229">
        <f>((3.5*1)+(13.5*2))/3</f>
        <v>10.166666666666666</v>
      </c>
      <c r="IX38" s="233"/>
      <c r="IY38" s="233"/>
      <c r="IZ38" s="233"/>
      <c r="JA38" s="233"/>
      <c r="JB38" s="233"/>
      <c r="JC38" s="233"/>
      <c r="JD38" s="949"/>
      <c r="JE38" s="229">
        <f>(IL38*IM38*IN38)+(IO38*IP38*IQ38)+(IR38*IS38*IT38)+(IU38*IV38*IW38)+(IX38*IY38*IZ38)+(JA38*JB38*JC38)</f>
        <v>5306.666666666667</v>
      </c>
      <c r="JF38" s="826"/>
    </row>
    <row r="39" spans="8:294" ht="15">
      <c r="X39" s="232" t="s">
        <v>137</v>
      </c>
      <c r="Y39" s="232" t="s">
        <v>1</v>
      </c>
      <c r="AA39" s="873">
        <v>45701</v>
      </c>
      <c r="AB39" s="859"/>
      <c r="AC39" s="859"/>
      <c r="AD39" s="859"/>
      <c r="AE39" s="860"/>
      <c r="AF39" s="860"/>
      <c r="AG39" s="860"/>
      <c r="AH39" s="843"/>
      <c r="AI39" s="843"/>
      <c r="AJ39" s="843"/>
      <c r="AK39" s="834"/>
      <c r="AL39" s="835"/>
      <c r="AM39" s="836"/>
      <c r="AN39" s="844"/>
      <c r="AO39" s="844"/>
      <c r="AP39" s="844"/>
      <c r="AQ39" s="823">
        <f t="shared" ref="AQ39" si="122">COUNTA(AB39:AP39)</f>
        <v>0</v>
      </c>
      <c r="AR39" s="824">
        <f>AR36</f>
        <v>92.7</v>
      </c>
      <c r="AT39" s="873">
        <v>45729</v>
      </c>
      <c r="AU39" s="849" t="s">
        <v>72</v>
      </c>
      <c r="AV39" s="849"/>
      <c r="AW39" s="849"/>
      <c r="AX39" s="849" t="s">
        <v>119</v>
      </c>
      <c r="AY39" s="849"/>
      <c r="AZ39" s="849"/>
      <c r="BA39" s="849" t="s">
        <v>79</v>
      </c>
      <c r="BB39" s="849"/>
      <c r="BC39" s="849"/>
      <c r="BD39" s="834"/>
      <c r="BE39" s="835"/>
      <c r="BF39" s="836"/>
      <c r="BG39" s="844"/>
      <c r="BH39" s="844"/>
      <c r="BI39" s="844"/>
      <c r="BJ39" s="823">
        <f t="shared" ref="BJ39" si="123">COUNTA(AU39:BI39)</f>
        <v>3</v>
      </c>
      <c r="BK39" s="824">
        <v>90.7</v>
      </c>
      <c r="BL39" s="118"/>
      <c r="BM39" s="864">
        <v>45760</v>
      </c>
      <c r="BN39" s="849" t="s">
        <v>119</v>
      </c>
      <c r="BO39" s="849"/>
      <c r="BP39" s="849"/>
      <c r="BQ39" s="849" t="s">
        <v>79</v>
      </c>
      <c r="BR39" s="849"/>
      <c r="BS39" s="849"/>
      <c r="BT39" s="886" t="s">
        <v>82</v>
      </c>
      <c r="BU39" s="886"/>
      <c r="BV39" s="886"/>
      <c r="BW39" s="890" t="s">
        <v>93</v>
      </c>
      <c r="BX39" s="890"/>
      <c r="BY39" s="890"/>
      <c r="BZ39" s="843"/>
      <c r="CA39" s="843"/>
      <c r="CB39" s="843"/>
      <c r="CC39" s="823">
        <f t="shared" ref="CC39" si="124">COUNTA(BN39:CB39)</f>
        <v>4</v>
      </c>
      <c r="CD39" s="824">
        <v>86.9</v>
      </c>
      <c r="CF39" s="856">
        <v>45790</v>
      </c>
      <c r="CG39" s="849" t="s">
        <v>122</v>
      </c>
      <c r="CH39" s="849"/>
      <c r="CI39" s="849"/>
      <c r="CJ39" s="859"/>
      <c r="CK39" s="859"/>
      <c r="CL39" s="859"/>
      <c r="CM39" s="844"/>
      <c r="CN39" s="844"/>
      <c r="CO39" s="844"/>
      <c r="CP39" s="844"/>
      <c r="CQ39" s="844"/>
      <c r="CR39" s="844"/>
      <c r="CS39" s="844"/>
      <c r="CT39" s="844"/>
      <c r="CU39" s="844"/>
      <c r="CV39" s="823">
        <f t="shared" ref="CV39" si="125">COUNTA(CG39:CU39)</f>
        <v>1</v>
      </c>
      <c r="CW39" s="824">
        <f>CW36</f>
        <v>84.1</v>
      </c>
      <c r="CX39" s="118"/>
      <c r="CY39" s="876">
        <v>45821</v>
      </c>
      <c r="CZ39" s="848" t="s">
        <v>68</v>
      </c>
      <c r="DA39" s="848"/>
      <c r="DB39" s="848"/>
      <c r="DC39" s="890" t="s">
        <v>71</v>
      </c>
      <c r="DD39" s="890"/>
      <c r="DE39" s="890"/>
      <c r="DF39" s="882" t="s">
        <v>110</v>
      </c>
      <c r="DG39" s="883"/>
      <c r="DH39" s="884"/>
      <c r="DI39" s="849" t="s">
        <v>122</v>
      </c>
      <c r="DJ39" s="849"/>
      <c r="DK39" s="849"/>
      <c r="DL39" s="844"/>
      <c r="DM39" s="844"/>
      <c r="DN39" s="844"/>
      <c r="DO39" s="823">
        <f t="shared" ref="DO39" si="126">COUNTA(CZ39:DN39)</f>
        <v>4</v>
      </c>
      <c r="DP39" s="824">
        <v>83.7</v>
      </c>
      <c r="DR39" s="864">
        <v>45851</v>
      </c>
      <c r="DS39" s="849" t="s">
        <v>119</v>
      </c>
      <c r="DT39" s="849"/>
      <c r="DU39" s="849"/>
      <c r="DV39" s="849" t="s">
        <v>102</v>
      </c>
      <c r="DW39" s="849"/>
      <c r="DX39" s="849"/>
      <c r="DY39" s="890" t="s">
        <v>93</v>
      </c>
      <c r="DZ39" s="890"/>
      <c r="EA39" s="890"/>
      <c r="EB39" s="849" t="s">
        <v>113</v>
      </c>
      <c r="EC39" s="849"/>
      <c r="ED39" s="849"/>
      <c r="EE39" s="844"/>
      <c r="EF39" s="844"/>
      <c r="EG39" s="844"/>
      <c r="EH39" s="823">
        <f t="shared" ref="EH39" si="127">COUNTA(DS39:EG39)</f>
        <v>4</v>
      </c>
      <c r="EI39" s="824">
        <v>80.5</v>
      </c>
      <c r="EK39" s="845">
        <v>45882</v>
      </c>
      <c r="EL39" s="859"/>
      <c r="EM39" s="859"/>
      <c r="EN39" s="859"/>
      <c r="EO39" s="859"/>
      <c r="EP39" s="859"/>
      <c r="EQ39" s="859"/>
      <c r="ER39" s="844"/>
      <c r="ES39" s="844"/>
      <c r="ET39" s="844"/>
      <c r="EU39" s="844"/>
      <c r="EV39" s="844"/>
      <c r="EW39" s="844"/>
      <c r="EX39" s="844"/>
      <c r="EY39" s="844"/>
      <c r="EZ39" s="844"/>
      <c r="FA39" s="823">
        <f t="shared" ref="FA39" si="128">COUNTA(EL39:EZ39)</f>
        <v>0</v>
      </c>
      <c r="FB39" s="824">
        <f>FB36</f>
        <v>80.599999999999994</v>
      </c>
      <c r="FD39" s="840">
        <v>45913</v>
      </c>
      <c r="FE39" s="859"/>
      <c r="FF39" s="859"/>
      <c r="FG39" s="859"/>
      <c r="FH39" s="859"/>
      <c r="FI39" s="859"/>
      <c r="FJ39" s="859"/>
      <c r="FK39" s="844"/>
      <c r="FL39" s="844"/>
      <c r="FM39" s="844"/>
      <c r="FN39" s="844"/>
      <c r="FO39" s="844"/>
      <c r="FP39" s="844"/>
      <c r="FQ39" s="844"/>
      <c r="FR39" s="844"/>
      <c r="FS39" s="844"/>
      <c r="FT39" s="823">
        <f t="shared" ref="FT39" si="129">COUNTA(FE39:FS39)</f>
        <v>0</v>
      </c>
      <c r="FU39" s="824">
        <f>FU36</f>
        <v>78.7</v>
      </c>
      <c r="FW39" s="870">
        <v>45943</v>
      </c>
      <c r="FX39" s="849" t="s">
        <v>89</v>
      </c>
      <c r="FY39" s="849"/>
      <c r="FZ39" s="849"/>
      <c r="GA39" s="848" t="s">
        <v>103</v>
      </c>
      <c r="GB39" s="848"/>
      <c r="GC39" s="848"/>
      <c r="GD39" s="882" t="s">
        <v>85</v>
      </c>
      <c r="GE39" s="883"/>
      <c r="GF39" s="884"/>
      <c r="GG39" s="890" t="s">
        <v>106</v>
      </c>
      <c r="GH39" s="890"/>
      <c r="GI39" s="890"/>
      <c r="GJ39" s="879" t="s">
        <v>78</v>
      </c>
      <c r="GK39" s="880"/>
      <c r="GL39" s="881"/>
      <c r="GM39" s="844"/>
      <c r="GN39" s="844"/>
      <c r="GO39" s="844"/>
      <c r="GP39" s="823">
        <f>COUNTA(FX39:GO39)</f>
        <v>5</v>
      </c>
      <c r="GQ39" s="824">
        <v>77.900000000000006</v>
      </c>
      <c r="GR39" s="118"/>
      <c r="GS39" s="873">
        <v>45974</v>
      </c>
      <c r="GT39" s="848" t="s">
        <v>86</v>
      </c>
      <c r="GU39" s="848"/>
      <c r="GV39" s="848"/>
      <c r="GW39" s="859"/>
      <c r="GX39" s="859"/>
      <c r="GY39" s="859"/>
      <c r="GZ39" s="834"/>
      <c r="HA39" s="835"/>
      <c r="HB39" s="836"/>
      <c r="HC39" s="867"/>
      <c r="HD39" s="868"/>
      <c r="HE39" s="869"/>
      <c r="HF39" s="834"/>
      <c r="HG39" s="835"/>
      <c r="HH39" s="836"/>
      <c r="HI39" s="834"/>
      <c r="HJ39" s="835"/>
      <c r="HK39" s="836"/>
      <c r="HL39" s="823">
        <f>COUNTA(GT39:HK39)</f>
        <v>1</v>
      </c>
      <c r="HM39" s="824">
        <f>HM36</f>
        <v>78.8</v>
      </c>
      <c r="HN39" s="118"/>
      <c r="HO39" s="840">
        <v>46004</v>
      </c>
      <c r="HP39" s="844"/>
      <c r="HQ39" s="844"/>
      <c r="HR39" s="844"/>
      <c r="HS39" s="843"/>
      <c r="HT39" s="843"/>
      <c r="HU39" s="843"/>
      <c r="HV39" s="844"/>
      <c r="HW39" s="844"/>
      <c r="HX39" s="844"/>
      <c r="HY39" s="844"/>
      <c r="HZ39" s="844"/>
      <c r="IA39" s="844"/>
      <c r="IB39" s="844"/>
      <c r="IC39" s="844"/>
      <c r="ID39" s="844"/>
      <c r="IE39" s="834"/>
      <c r="IF39" s="835"/>
      <c r="IG39" s="836"/>
      <c r="IH39" s="823">
        <f>COUNTA(HP39:IG39)</f>
        <v>0</v>
      </c>
      <c r="II39" s="824">
        <f>II36</f>
        <v>78.2</v>
      </c>
      <c r="IK39" s="856">
        <v>46035</v>
      </c>
      <c r="IL39" s="844"/>
      <c r="IM39" s="844"/>
      <c r="IN39" s="844"/>
      <c r="IO39" s="844"/>
      <c r="IP39" s="844"/>
      <c r="IQ39" s="844"/>
      <c r="IR39" s="844"/>
      <c r="IS39" s="844"/>
      <c r="IT39" s="844"/>
      <c r="IU39" s="844"/>
      <c r="IV39" s="844"/>
      <c r="IW39" s="844"/>
      <c r="IX39" s="834"/>
      <c r="IY39" s="835"/>
      <c r="IZ39" s="836"/>
      <c r="JA39" s="834"/>
      <c r="JB39" s="835"/>
      <c r="JC39" s="836"/>
      <c r="JD39" s="232" t="s">
        <v>425</v>
      </c>
      <c r="JE39" s="823">
        <f>COUNTA(IL39:JC39)</f>
        <v>0</v>
      </c>
      <c r="JF39" s="824">
        <f>JF36</f>
        <v>76.5</v>
      </c>
    </row>
    <row r="40" spans="8:294" ht="15">
      <c r="X40" s="230" cm="1">
        <f t="array" ref="X40">INDEX(Y:Y, (ROW()-ROW(X$40)+1)*3)</f>
        <v>95.4</v>
      </c>
      <c r="Y40" s="113" cm="1">
        <f t="array" ref="Y40">INDEX(H:H, (ROW()-ROW(Y$40)+1)*3)</f>
        <v>45678</v>
      </c>
      <c r="AA40" s="874"/>
      <c r="AB40" s="107" t="s">
        <v>59</v>
      </c>
      <c r="AC40" s="107" t="s">
        <v>73</v>
      </c>
      <c r="AD40" s="108" t="s">
        <v>4</v>
      </c>
      <c r="AE40" s="107" t="s">
        <v>59</v>
      </c>
      <c r="AF40" s="107" t="s">
        <v>73</v>
      </c>
      <c r="AG40" s="108" t="s">
        <v>4</v>
      </c>
      <c r="AH40" s="107" t="s">
        <v>59</v>
      </c>
      <c r="AI40" s="107" t="s">
        <v>73</v>
      </c>
      <c r="AJ40" s="108" t="s">
        <v>4</v>
      </c>
      <c r="AK40" s="107" t="s">
        <v>59</v>
      </c>
      <c r="AL40" s="107" t="s">
        <v>73</v>
      </c>
      <c r="AM40" s="108" t="s">
        <v>4</v>
      </c>
      <c r="AN40" s="107" t="s">
        <v>59</v>
      </c>
      <c r="AO40" s="107" t="s">
        <v>73</v>
      </c>
      <c r="AP40" s="108" t="s">
        <v>4</v>
      </c>
      <c r="AQ40" s="823"/>
      <c r="AR40" s="825"/>
      <c r="AT40" s="874"/>
      <c r="AU40" s="231" t="s">
        <v>59</v>
      </c>
      <c r="AV40" s="231" t="s">
        <v>73</v>
      </c>
      <c r="AW40" s="102" t="s">
        <v>4</v>
      </c>
      <c r="AX40" s="231" t="s">
        <v>59</v>
      </c>
      <c r="AY40" s="231" t="s">
        <v>73</v>
      </c>
      <c r="AZ40" s="102" t="s">
        <v>4</v>
      </c>
      <c r="BA40" s="231" t="s">
        <v>59</v>
      </c>
      <c r="BB40" s="231" t="s">
        <v>73</v>
      </c>
      <c r="BC40" s="102" t="s">
        <v>4</v>
      </c>
      <c r="BD40" s="107" t="s">
        <v>59</v>
      </c>
      <c r="BE40" s="107" t="s">
        <v>73</v>
      </c>
      <c r="BF40" s="108" t="s">
        <v>4</v>
      </c>
      <c r="BG40" s="107" t="s">
        <v>59</v>
      </c>
      <c r="BH40" s="107" t="s">
        <v>73</v>
      </c>
      <c r="BI40" s="108" t="s">
        <v>4</v>
      </c>
      <c r="BJ40" s="823"/>
      <c r="BK40" s="825"/>
      <c r="BL40" s="118"/>
      <c r="BM40" s="865"/>
      <c r="BN40" s="231" t="s">
        <v>59</v>
      </c>
      <c r="BO40" s="231" t="s">
        <v>73</v>
      </c>
      <c r="BP40" s="102" t="s">
        <v>4</v>
      </c>
      <c r="BQ40" s="231" t="s">
        <v>59</v>
      </c>
      <c r="BR40" s="231" t="s">
        <v>73</v>
      </c>
      <c r="BS40" s="102" t="s">
        <v>4</v>
      </c>
      <c r="BT40" s="231" t="s">
        <v>59</v>
      </c>
      <c r="BU40" s="231" t="s">
        <v>73</v>
      </c>
      <c r="BV40" s="102" t="s">
        <v>4</v>
      </c>
      <c r="BW40" s="231" t="s">
        <v>59</v>
      </c>
      <c r="BX40" s="231" t="s">
        <v>73</v>
      </c>
      <c r="BY40" s="102" t="s">
        <v>4</v>
      </c>
      <c r="BZ40" s="107" t="s">
        <v>59</v>
      </c>
      <c r="CA40" s="107" t="s">
        <v>73</v>
      </c>
      <c r="CB40" s="108" t="s">
        <v>4</v>
      </c>
      <c r="CC40" s="823"/>
      <c r="CD40" s="825"/>
      <c r="CF40" s="857"/>
      <c r="CG40" s="231" t="s">
        <v>59</v>
      </c>
      <c r="CH40" s="231" t="s">
        <v>73</v>
      </c>
      <c r="CI40" s="102" t="s">
        <v>4</v>
      </c>
      <c r="CJ40" s="107" t="s">
        <v>59</v>
      </c>
      <c r="CK40" s="107" t="s">
        <v>73</v>
      </c>
      <c r="CL40" s="108" t="s">
        <v>4</v>
      </c>
      <c r="CM40" s="107" t="s">
        <v>59</v>
      </c>
      <c r="CN40" s="107" t="s">
        <v>73</v>
      </c>
      <c r="CO40" s="108" t="s">
        <v>4</v>
      </c>
      <c r="CP40" s="107" t="s">
        <v>59</v>
      </c>
      <c r="CQ40" s="107" t="s">
        <v>73</v>
      </c>
      <c r="CR40" s="108" t="s">
        <v>4</v>
      </c>
      <c r="CS40" s="107" t="s">
        <v>59</v>
      </c>
      <c r="CT40" s="107" t="s">
        <v>73</v>
      </c>
      <c r="CU40" s="108" t="s">
        <v>4</v>
      </c>
      <c r="CV40" s="823"/>
      <c r="CW40" s="825"/>
      <c r="CX40" s="118"/>
      <c r="CY40" s="877"/>
      <c r="CZ40" s="231" t="s">
        <v>59</v>
      </c>
      <c r="DA40" s="231" t="s">
        <v>73</v>
      </c>
      <c r="DB40" s="102" t="s">
        <v>4</v>
      </c>
      <c r="DC40" s="231" t="s">
        <v>59</v>
      </c>
      <c r="DD40" s="231" t="s">
        <v>73</v>
      </c>
      <c r="DE40" s="102" t="s">
        <v>4</v>
      </c>
      <c r="DF40" s="231" t="s">
        <v>59</v>
      </c>
      <c r="DG40" s="231" t="s">
        <v>73</v>
      </c>
      <c r="DH40" s="102" t="s">
        <v>4</v>
      </c>
      <c r="DI40" s="231" t="s">
        <v>59</v>
      </c>
      <c r="DJ40" s="231" t="s">
        <v>73</v>
      </c>
      <c r="DK40" s="102" t="s">
        <v>4</v>
      </c>
      <c r="DL40" s="107" t="s">
        <v>59</v>
      </c>
      <c r="DM40" s="107" t="s">
        <v>73</v>
      </c>
      <c r="DN40" s="108" t="s">
        <v>4</v>
      </c>
      <c r="DO40" s="823"/>
      <c r="DP40" s="825"/>
      <c r="DR40" s="865"/>
      <c r="DS40" s="231" t="s">
        <v>59</v>
      </c>
      <c r="DT40" s="231" t="s">
        <v>73</v>
      </c>
      <c r="DU40" s="102" t="s">
        <v>4</v>
      </c>
      <c r="DV40" s="231" t="s">
        <v>59</v>
      </c>
      <c r="DW40" s="231" t="s">
        <v>73</v>
      </c>
      <c r="DX40" s="102" t="s">
        <v>4</v>
      </c>
      <c r="DY40" s="231" t="s">
        <v>59</v>
      </c>
      <c r="DZ40" s="231" t="s">
        <v>73</v>
      </c>
      <c r="EA40" s="102" t="s">
        <v>4</v>
      </c>
      <c r="EB40" s="231" t="s">
        <v>59</v>
      </c>
      <c r="EC40" s="231" t="s">
        <v>73</v>
      </c>
      <c r="ED40" s="102" t="s">
        <v>4</v>
      </c>
      <c r="EE40" s="107" t="s">
        <v>59</v>
      </c>
      <c r="EF40" s="107" t="s">
        <v>73</v>
      </c>
      <c r="EG40" s="108" t="s">
        <v>4</v>
      </c>
      <c r="EH40" s="823"/>
      <c r="EI40" s="825"/>
      <c r="EK40" s="846"/>
      <c r="EL40" s="107" t="s">
        <v>59</v>
      </c>
      <c r="EM40" s="107" t="s">
        <v>73</v>
      </c>
      <c r="EN40" s="108" t="s">
        <v>4</v>
      </c>
      <c r="EO40" s="107" t="s">
        <v>59</v>
      </c>
      <c r="EP40" s="107" t="s">
        <v>73</v>
      </c>
      <c r="EQ40" s="108" t="s">
        <v>4</v>
      </c>
      <c r="ER40" s="107" t="s">
        <v>59</v>
      </c>
      <c r="ES40" s="107" t="s">
        <v>73</v>
      </c>
      <c r="ET40" s="108" t="s">
        <v>4</v>
      </c>
      <c r="EU40" s="107" t="s">
        <v>59</v>
      </c>
      <c r="EV40" s="107" t="s">
        <v>73</v>
      </c>
      <c r="EW40" s="108" t="s">
        <v>4</v>
      </c>
      <c r="EX40" s="107" t="s">
        <v>59</v>
      </c>
      <c r="EY40" s="107" t="s">
        <v>73</v>
      </c>
      <c r="EZ40" s="108" t="s">
        <v>4</v>
      </c>
      <c r="FA40" s="823"/>
      <c r="FB40" s="825"/>
      <c r="FD40" s="841"/>
      <c r="FE40" s="107" t="s">
        <v>59</v>
      </c>
      <c r="FF40" s="107" t="s">
        <v>73</v>
      </c>
      <c r="FG40" s="108" t="s">
        <v>4</v>
      </c>
      <c r="FH40" s="107" t="s">
        <v>59</v>
      </c>
      <c r="FI40" s="107" t="s">
        <v>73</v>
      </c>
      <c r="FJ40" s="108" t="s">
        <v>4</v>
      </c>
      <c r="FK40" s="107" t="s">
        <v>59</v>
      </c>
      <c r="FL40" s="107" t="s">
        <v>73</v>
      </c>
      <c r="FM40" s="108" t="s">
        <v>4</v>
      </c>
      <c r="FN40" s="107" t="s">
        <v>59</v>
      </c>
      <c r="FO40" s="107" t="s">
        <v>73</v>
      </c>
      <c r="FP40" s="108" t="s">
        <v>4</v>
      </c>
      <c r="FQ40" s="107" t="s">
        <v>59</v>
      </c>
      <c r="FR40" s="107" t="s">
        <v>73</v>
      </c>
      <c r="FS40" s="108" t="s">
        <v>4</v>
      </c>
      <c r="FT40" s="823"/>
      <c r="FU40" s="825"/>
      <c r="FW40" s="871"/>
      <c r="FX40" s="231" t="s">
        <v>59</v>
      </c>
      <c r="FY40" s="231" t="s">
        <v>73</v>
      </c>
      <c r="FZ40" s="102" t="s">
        <v>4</v>
      </c>
      <c r="GA40" s="231" t="s">
        <v>59</v>
      </c>
      <c r="GB40" s="231" t="s">
        <v>73</v>
      </c>
      <c r="GC40" s="102" t="s">
        <v>4</v>
      </c>
      <c r="GD40" s="231" t="s">
        <v>59</v>
      </c>
      <c r="GE40" s="231" t="s">
        <v>73</v>
      </c>
      <c r="GF40" s="102" t="s">
        <v>4</v>
      </c>
      <c r="GG40" s="231" t="s">
        <v>59</v>
      </c>
      <c r="GH40" s="231" t="s">
        <v>73</v>
      </c>
      <c r="GI40" s="102" t="s">
        <v>4</v>
      </c>
      <c r="GJ40" s="231" t="s">
        <v>59</v>
      </c>
      <c r="GK40" s="231" t="s">
        <v>73</v>
      </c>
      <c r="GL40" s="102" t="s">
        <v>4</v>
      </c>
      <c r="GM40" s="107" t="s">
        <v>59</v>
      </c>
      <c r="GN40" s="107" t="s">
        <v>73</v>
      </c>
      <c r="GO40" s="108" t="s">
        <v>4</v>
      </c>
      <c r="GP40" s="823"/>
      <c r="GQ40" s="825"/>
      <c r="GR40" s="118"/>
      <c r="GS40" s="874"/>
      <c r="GT40" s="231" t="s">
        <v>59</v>
      </c>
      <c r="GU40" s="231" t="s">
        <v>73</v>
      </c>
      <c r="GV40" s="102" t="s">
        <v>4</v>
      </c>
      <c r="GW40" s="107" t="s">
        <v>59</v>
      </c>
      <c r="GX40" s="107" t="s">
        <v>73</v>
      </c>
      <c r="GY40" s="108" t="s">
        <v>4</v>
      </c>
      <c r="GZ40" s="107" t="s">
        <v>59</v>
      </c>
      <c r="HA40" s="107" t="s">
        <v>73</v>
      </c>
      <c r="HB40" s="108" t="s">
        <v>4</v>
      </c>
      <c r="HC40" s="107" t="s">
        <v>59</v>
      </c>
      <c r="HD40" s="107" t="s">
        <v>73</v>
      </c>
      <c r="HE40" s="108" t="s">
        <v>4</v>
      </c>
      <c r="HF40" s="107" t="s">
        <v>59</v>
      </c>
      <c r="HG40" s="107" t="s">
        <v>73</v>
      </c>
      <c r="HH40" s="108" t="s">
        <v>4</v>
      </c>
      <c r="HI40" s="107" t="s">
        <v>59</v>
      </c>
      <c r="HJ40" s="107" t="s">
        <v>73</v>
      </c>
      <c r="HK40" s="108" t="s">
        <v>4</v>
      </c>
      <c r="HL40" s="823"/>
      <c r="HM40" s="825"/>
      <c r="HN40" s="118"/>
      <c r="HO40" s="841"/>
      <c r="HP40" s="107" t="s">
        <v>59</v>
      </c>
      <c r="HQ40" s="107" t="s">
        <v>73</v>
      </c>
      <c r="HR40" s="108" t="s">
        <v>4</v>
      </c>
      <c r="HS40" s="107" t="s">
        <v>59</v>
      </c>
      <c r="HT40" s="107" t="s">
        <v>73</v>
      </c>
      <c r="HU40" s="108" t="s">
        <v>4</v>
      </c>
      <c r="HV40" s="107" t="s">
        <v>59</v>
      </c>
      <c r="HW40" s="107" t="s">
        <v>73</v>
      </c>
      <c r="HX40" s="108" t="s">
        <v>4</v>
      </c>
      <c r="HY40" s="107" t="s">
        <v>59</v>
      </c>
      <c r="HZ40" s="107" t="s">
        <v>73</v>
      </c>
      <c r="IA40" s="108" t="s">
        <v>4</v>
      </c>
      <c r="IB40" s="107" t="s">
        <v>59</v>
      </c>
      <c r="IC40" s="107" t="s">
        <v>73</v>
      </c>
      <c r="ID40" s="108" t="s">
        <v>4</v>
      </c>
      <c r="IE40" s="107" t="s">
        <v>59</v>
      </c>
      <c r="IF40" s="107" t="s">
        <v>73</v>
      </c>
      <c r="IG40" s="108" t="s">
        <v>4</v>
      </c>
      <c r="IH40" s="823"/>
      <c r="II40" s="825"/>
      <c r="IK40" s="857"/>
      <c r="IL40" s="107" t="s">
        <v>59</v>
      </c>
      <c r="IM40" s="107" t="s">
        <v>73</v>
      </c>
      <c r="IN40" s="108" t="s">
        <v>4</v>
      </c>
      <c r="IO40" s="107" t="s">
        <v>59</v>
      </c>
      <c r="IP40" s="107" t="s">
        <v>73</v>
      </c>
      <c r="IQ40" s="108" t="s">
        <v>4</v>
      </c>
      <c r="IR40" s="107" t="s">
        <v>59</v>
      </c>
      <c r="IS40" s="107" t="s">
        <v>73</v>
      </c>
      <c r="IT40" s="108" t="s">
        <v>4</v>
      </c>
      <c r="IU40" s="107" t="s">
        <v>59</v>
      </c>
      <c r="IV40" s="107" t="s">
        <v>73</v>
      </c>
      <c r="IW40" s="108" t="s">
        <v>4</v>
      </c>
      <c r="IX40" s="107" t="s">
        <v>59</v>
      </c>
      <c r="IY40" s="107" t="s">
        <v>73</v>
      </c>
      <c r="IZ40" s="108" t="s">
        <v>4</v>
      </c>
      <c r="JA40" s="107" t="s">
        <v>59</v>
      </c>
      <c r="JB40" s="107" t="s">
        <v>73</v>
      </c>
      <c r="JC40" s="108" t="s">
        <v>4</v>
      </c>
      <c r="JD40" s="948"/>
      <c r="JE40" s="823"/>
      <c r="JF40" s="825"/>
    </row>
    <row r="41" spans="8:294" ht="15">
      <c r="X41" s="230" cm="1">
        <f t="array" ref="X41">INDEX(Y:Y, (ROW()-ROW(X$40)+1)*3)</f>
        <v>95.4</v>
      </c>
      <c r="Y41" s="113" cm="1">
        <f t="array" ref="Y41">INDEX(H:H, (ROW()-ROW(Y$40)+1)*3)</f>
        <v>45679</v>
      </c>
      <c r="AA41" s="875"/>
      <c r="AB41" s="233"/>
      <c r="AC41" s="233"/>
      <c r="AD41" s="233"/>
      <c r="AE41" s="233"/>
      <c r="AF41" s="233"/>
      <c r="AG41" s="233"/>
      <c r="AH41" s="233"/>
      <c r="AI41" s="233"/>
      <c r="AJ41" s="233"/>
      <c r="AK41" s="233"/>
      <c r="AL41" s="233"/>
      <c r="AM41" s="233"/>
      <c r="AN41" s="233"/>
      <c r="AO41" s="233"/>
      <c r="AP41" s="233"/>
      <c r="AQ41" s="229">
        <f t="shared" ref="AQ41" si="130">(AB41*AC41*AD41)+(AE41*AF41*AG41)+(AH41*AI41*AJ41)+(AK41*AL41*AM41)+(AN41*AO41*AP41)</f>
        <v>0</v>
      </c>
      <c r="AR41" s="826"/>
      <c r="AT41" s="875"/>
      <c r="AU41" s="229">
        <v>4</v>
      </c>
      <c r="AV41" s="229">
        <v>8</v>
      </c>
      <c r="AW41" s="229">
        <v>59</v>
      </c>
      <c r="AX41" s="229">
        <v>4</v>
      </c>
      <c r="AY41" s="229">
        <v>8</v>
      </c>
      <c r="AZ41" s="229">
        <v>22.5</v>
      </c>
      <c r="BA41" s="229">
        <v>4</v>
      </c>
      <c r="BB41" s="229">
        <v>8</v>
      </c>
      <c r="BC41" s="229">
        <v>12.5</v>
      </c>
      <c r="BD41" s="233"/>
      <c r="BE41" s="233"/>
      <c r="BF41" s="233"/>
      <c r="BG41" s="233"/>
      <c r="BH41" s="233"/>
      <c r="BI41" s="233"/>
      <c r="BJ41" s="229">
        <f t="shared" ref="BJ41" si="131">(AU41*AV41*AW41)+(AX41*AY41*AZ41)+(BA41*BB41*BC41)+(BD41*BE41*BF41)+(BG41*BH41*BI41)</f>
        <v>3008</v>
      </c>
      <c r="BK41" s="826"/>
      <c r="BL41" s="118"/>
      <c r="BM41" s="866"/>
      <c r="BN41" s="229">
        <v>4</v>
      </c>
      <c r="BO41" s="126">
        <f>((10*2)+(6*1)+(8*1))/4</f>
        <v>8.5</v>
      </c>
      <c r="BP41" s="229">
        <f>((22.5*2)+(25*2))/4</f>
        <v>23.75</v>
      </c>
      <c r="BQ41" s="229">
        <v>4</v>
      </c>
      <c r="BR41" s="229">
        <v>8</v>
      </c>
      <c r="BS41" s="126">
        <v>15</v>
      </c>
      <c r="BT41" s="229">
        <v>4</v>
      </c>
      <c r="BU41" s="229">
        <v>8</v>
      </c>
      <c r="BV41" s="229">
        <f>70*$FU$3</f>
        <v>5572</v>
      </c>
      <c r="BW41" s="229">
        <v>4</v>
      </c>
      <c r="BX41" s="229">
        <v>8</v>
      </c>
      <c r="BY41" s="229">
        <v>20</v>
      </c>
      <c r="BZ41" s="233"/>
      <c r="CA41" s="233"/>
      <c r="CB41" s="233"/>
      <c r="CC41" s="229">
        <f t="shared" ref="CC41" si="132">(BN41*BO41*BP41)+(BQ41*BR41*BS41)+(BT41*BU41*BV41)+(BW41*BX41*BY41)+(BZ41*CA41*CB41)</f>
        <v>180231.5</v>
      </c>
      <c r="CD41" s="826"/>
      <c r="CF41" s="858"/>
      <c r="CG41" s="229">
        <v>1</v>
      </c>
      <c r="CH41" s="229">
        <v>40</v>
      </c>
      <c r="CI41" s="229">
        <f>$CW39</f>
        <v>84.1</v>
      </c>
      <c r="CJ41" s="233"/>
      <c r="CK41" s="233"/>
      <c r="CL41" s="233"/>
      <c r="CM41" s="233"/>
      <c r="CN41" s="233"/>
      <c r="CO41" s="233"/>
      <c r="CP41" s="233"/>
      <c r="CQ41" s="233"/>
      <c r="CR41" s="233"/>
      <c r="CS41" s="233"/>
      <c r="CT41" s="233"/>
      <c r="CU41" s="233"/>
      <c r="CV41" s="229">
        <f t="shared" ref="CV41" si="133">(CG41*CH41*CI41)+(CJ41*CK41*CL41)+(CM41*CN41*CO41)+(CP41*CQ41*CR41)+(CS41*CT41*CU41)</f>
        <v>3364</v>
      </c>
      <c r="CW41" s="826"/>
      <c r="CX41" s="118"/>
      <c r="CY41" s="878"/>
      <c r="CZ41" s="229">
        <v>4</v>
      </c>
      <c r="DA41" s="229">
        <v>10</v>
      </c>
      <c r="DB41" s="229">
        <v>54.4</v>
      </c>
      <c r="DC41" s="229">
        <v>4</v>
      </c>
      <c r="DD41" s="229">
        <v>10</v>
      </c>
      <c r="DE41" s="229">
        <v>25</v>
      </c>
      <c r="DF41" s="229">
        <v>4</v>
      </c>
      <c r="DG41" s="229">
        <v>10</v>
      </c>
      <c r="DH41" s="229">
        <v>11.3</v>
      </c>
      <c r="DI41" s="229">
        <v>1</v>
      </c>
      <c r="DJ41" s="229">
        <v>100</v>
      </c>
      <c r="DK41" s="229">
        <f>$DP39</f>
        <v>83.7</v>
      </c>
      <c r="DL41" s="233"/>
      <c r="DM41" s="233"/>
      <c r="DN41" s="233"/>
      <c r="DO41" s="229">
        <f t="shared" ref="DO41" si="134">(CZ41*DA41*DB41)+(DC41*DD41*DE41)+(DF41*DG41*DH41)+(DI41*DJ41*DK41)+(DL41*DM41*DN41)</f>
        <v>11998</v>
      </c>
      <c r="DP41" s="826"/>
      <c r="DR41" s="866"/>
      <c r="DS41" s="229">
        <v>3</v>
      </c>
      <c r="DT41" s="229">
        <v>12</v>
      </c>
      <c r="DU41" s="229">
        <v>22.5</v>
      </c>
      <c r="DV41" s="229">
        <v>3</v>
      </c>
      <c r="DW41" s="126">
        <v>8</v>
      </c>
      <c r="DX41" s="126">
        <v>13.6</v>
      </c>
      <c r="DY41" s="229">
        <v>3</v>
      </c>
      <c r="DZ41" s="229">
        <v>10</v>
      </c>
      <c r="EA41" s="229">
        <v>20</v>
      </c>
      <c r="EB41" s="229">
        <v>3</v>
      </c>
      <c r="EC41" s="229">
        <f>((8*1)+(10*2))/3</f>
        <v>9.3333333333333339</v>
      </c>
      <c r="ED41" s="229">
        <f>((10*1)+(7.5*2))/3</f>
        <v>8.3333333333333339</v>
      </c>
      <c r="EE41" s="233"/>
      <c r="EF41" s="233"/>
      <c r="EG41" s="233"/>
      <c r="EH41" s="229">
        <f t="shared" ref="EH41" si="135">(DS41*DT41*DU41)+(DV41*DW41*DX41)+(DY41*DZ41*EA41)+(EB41*EC41*ED41)+(EE41*EF41*EG41)</f>
        <v>1969.7333333333333</v>
      </c>
      <c r="EI41" s="826"/>
      <c r="EK41" s="847"/>
      <c r="EL41" s="233"/>
      <c r="EM41" s="233"/>
      <c r="EN41" s="233"/>
      <c r="EO41" s="233"/>
      <c r="EP41" s="233"/>
      <c r="EQ41" s="233"/>
      <c r="ER41" s="233"/>
      <c r="ES41" s="233"/>
      <c r="ET41" s="233"/>
      <c r="EU41" s="233"/>
      <c r="EV41" s="233"/>
      <c r="EW41" s="233"/>
      <c r="EX41" s="233"/>
      <c r="EY41" s="233"/>
      <c r="EZ41" s="233"/>
      <c r="FA41" s="229">
        <f t="shared" ref="FA41" si="136">(EL41*EM41*EN41)+(EO41*EP41*EQ41)+(ER41*ES41*ET41)+(EU41*EV41*EW41)+(EX41*EY41*EZ41)</f>
        <v>0</v>
      </c>
      <c r="FB41" s="826"/>
      <c r="FD41" s="842"/>
      <c r="FE41" s="233"/>
      <c r="FF41" s="233"/>
      <c r="FG41" s="233"/>
      <c r="FH41" s="233"/>
      <c r="FI41" s="233"/>
      <c r="FJ41" s="233"/>
      <c r="FK41" s="233"/>
      <c r="FL41" s="233"/>
      <c r="FM41" s="233"/>
      <c r="FN41" s="233"/>
      <c r="FO41" s="233"/>
      <c r="FP41" s="233"/>
      <c r="FQ41" s="233"/>
      <c r="FR41" s="233"/>
      <c r="FS41" s="233"/>
      <c r="FT41" s="229">
        <f t="shared" ref="FT41" si="137">(FE41*FF41*FG41)+(FH41*FI41*FJ41)+(FK41*FL41*FM41)+(FN41*FO41*FP41)+(FQ41*FR41*FS41)</f>
        <v>0</v>
      </c>
      <c r="FU41" s="826"/>
      <c r="FW41" s="872"/>
      <c r="FX41" s="229">
        <v>4</v>
      </c>
      <c r="FY41" s="229">
        <f>((12*1)+(8*3))/4</f>
        <v>9</v>
      </c>
      <c r="FZ41" s="229">
        <f>((41*1)+(63*3))/4</f>
        <v>57.5</v>
      </c>
      <c r="GA41" s="229">
        <v>4</v>
      </c>
      <c r="GB41" s="229">
        <f>((10*1)+(12*2))/3</f>
        <v>11.333333333333334</v>
      </c>
      <c r="GC41" s="126">
        <v>17.5</v>
      </c>
      <c r="GD41" s="229">
        <v>3</v>
      </c>
      <c r="GE41" s="229">
        <v>30</v>
      </c>
      <c r="GF41" s="229">
        <f>GQ39*(1/3)</f>
        <v>25.966666666666669</v>
      </c>
      <c r="GG41" s="229">
        <v>4</v>
      </c>
      <c r="GH41" s="229">
        <v>12</v>
      </c>
      <c r="GI41" s="229">
        <v>12.5</v>
      </c>
      <c r="GJ41" s="229">
        <v>2</v>
      </c>
      <c r="GK41" s="229">
        <f>((10*2)+(12*1))/3</f>
        <v>10.666666666666666</v>
      </c>
      <c r="GL41" s="126">
        <f>((10*1)+(12.5*1)+(15*1))/3</f>
        <v>12.5</v>
      </c>
      <c r="GM41" s="233"/>
      <c r="GN41" s="233"/>
      <c r="GO41" s="233"/>
      <c r="GP41" s="229">
        <f>(FX41*FY41*FZ41)+(GA41*GB41*GC41)+(GD41*GE41*GF41)+(GG41*GH41*GI41)+(GJ41*GK41*GL41)+(GM41*GN41*GO41)</f>
        <v>6067.0000000000009</v>
      </c>
      <c r="GQ41" s="826"/>
      <c r="GR41" s="118"/>
      <c r="GS41" s="875"/>
      <c r="GT41" s="229">
        <v>4</v>
      </c>
      <c r="GU41" s="229">
        <f>((14*1)+(16*3))/4</f>
        <v>15.5</v>
      </c>
      <c r="GV41" s="229">
        <v>12</v>
      </c>
      <c r="GW41" s="233"/>
      <c r="GX41" s="233"/>
      <c r="GY41" s="233"/>
      <c r="GZ41" s="233"/>
      <c r="HA41" s="233"/>
      <c r="HB41" s="233"/>
      <c r="HC41" s="233"/>
      <c r="HD41" s="233"/>
      <c r="HE41" s="233"/>
      <c r="HF41" s="233"/>
      <c r="HG41" s="233"/>
      <c r="HH41" s="233"/>
      <c r="HI41" s="233"/>
      <c r="HJ41" s="233"/>
      <c r="HK41" s="233"/>
      <c r="HL41" s="229">
        <f>(GT41*GU41*GV41)+(GW41*GX41*GY41)+(GZ41*HA41*HB41)+(HC41*HD41*HE41)+(HF41*HG41*HH41)+(HI41*HJ41*HK41)</f>
        <v>744</v>
      </c>
      <c r="HM41" s="826"/>
      <c r="HN41" s="118"/>
      <c r="HO41" s="842"/>
      <c r="HP41" s="233"/>
      <c r="HQ41" s="233"/>
      <c r="HR41" s="233"/>
      <c r="HS41" s="233"/>
      <c r="HT41" s="233"/>
      <c r="HU41" s="233"/>
      <c r="HV41" s="233"/>
      <c r="HW41" s="233"/>
      <c r="HX41" s="233"/>
      <c r="HY41" s="233"/>
      <c r="HZ41" s="233"/>
      <c r="IA41" s="233"/>
      <c r="IB41" s="233"/>
      <c r="IC41" s="233"/>
      <c r="ID41" s="233"/>
      <c r="IE41" s="233"/>
      <c r="IF41" s="233"/>
      <c r="IG41" s="233"/>
      <c r="IH41" s="229">
        <f>(HP41*HQ41*HR41)+(HS41*HT41*HU41)+(HV41*HW41*HX41)+(HY41*HZ41*IA41)+(IB41*IC41*ID41)+(IE41*IF41*IG41)</f>
        <v>0</v>
      </c>
      <c r="II41" s="826"/>
      <c r="IK41" s="858"/>
      <c r="IL41" s="233"/>
      <c r="IM41" s="233"/>
      <c r="IN41" s="233"/>
      <c r="IO41" s="233"/>
      <c r="IP41" s="233"/>
      <c r="IQ41" s="233"/>
      <c r="IR41" s="233"/>
      <c r="IS41" s="233"/>
      <c r="IT41" s="233"/>
      <c r="IU41" s="233"/>
      <c r="IV41" s="233"/>
      <c r="IW41" s="233"/>
      <c r="IX41" s="233"/>
      <c r="IY41" s="233"/>
      <c r="IZ41" s="233"/>
      <c r="JA41" s="233"/>
      <c r="JB41" s="233"/>
      <c r="JC41" s="233"/>
      <c r="JD41" s="949"/>
      <c r="JE41" s="229">
        <f>(IL41*IM41*IN41)+(IO41*IP41*IQ41)+(IR41*IS41*IT41)+(IU41*IV41*IW41)+(IX41*IY41*IZ41)+(JA41*JB41*JC41)</f>
        <v>0</v>
      </c>
      <c r="JF41" s="826"/>
    </row>
    <row r="42" spans="8:294" ht="15">
      <c r="H42" s="121" t="s">
        <v>29</v>
      </c>
      <c r="I42" s="121" t="s">
        <v>30</v>
      </c>
      <c r="J42" s="121" t="s">
        <v>31</v>
      </c>
      <c r="K42" s="121" t="s">
        <v>32</v>
      </c>
      <c r="L42" s="121" t="s">
        <v>33</v>
      </c>
      <c r="M42" s="121" t="s">
        <v>34</v>
      </c>
      <c r="N42" s="121" t="s">
        <v>35</v>
      </c>
      <c r="X42" s="230" cm="1">
        <f t="array" ref="X42">INDEX(Y:Y, (ROW()-ROW(X$40)+1)*3)</f>
        <v>95.4</v>
      </c>
      <c r="Y42" s="113" cm="1">
        <f t="array" ref="Y42">INDEX(H:H, (ROW()-ROW(Y$40)+1)*3)</f>
        <v>45680</v>
      </c>
      <c r="AA42" s="876">
        <v>45702</v>
      </c>
      <c r="AB42" s="859"/>
      <c r="AC42" s="859"/>
      <c r="AD42" s="859"/>
      <c r="AE42" s="860"/>
      <c r="AF42" s="860"/>
      <c r="AG42" s="860"/>
      <c r="AH42" s="843"/>
      <c r="AI42" s="843"/>
      <c r="AJ42" s="843"/>
      <c r="AK42" s="834"/>
      <c r="AL42" s="835"/>
      <c r="AM42" s="836"/>
      <c r="AN42" s="844"/>
      <c r="AO42" s="844"/>
      <c r="AP42" s="844"/>
      <c r="AQ42" s="823">
        <f t="shared" ref="AQ42" si="138">COUNTA(AB42:AP42)</f>
        <v>0</v>
      </c>
      <c r="AR42" s="824">
        <f>AR39</f>
        <v>92.7</v>
      </c>
      <c r="AT42" s="876">
        <v>45730</v>
      </c>
      <c r="AU42" s="859"/>
      <c r="AV42" s="859"/>
      <c r="AW42" s="859"/>
      <c r="AX42" s="860"/>
      <c r="AY42" s="860"/>
      <c r="AZ42" s="860"/>
      <c r="BA42" s="843"/>
      <c r="BB42" s="843"/>
      <c r="BC42" s="843"/>
      <c r="BD42" s="834"/>
      <c r="BE42" s="835"/>
      <c r="BF42" s="836"/>
      <c r="BG42" s="844"/>
      <c r="BH42" s="844"/>
      <c r="BI42" s="844"/>
      <c r="BJ42" s="823">
        <f t="shared" ref="BJ42" si="139">COUNTA(AU42:BI42)</f>
        <v>0</v>
      </c>
      <c r="BK42" s="824">
        <f>BK39</f>
        <v>90.7</v>
      </c>
      <c r="BL42" s="118"/>
      <c r="BM42" s="870">
        <v>45761</v>
      </c>
      <c r="BN42" s="849" t="s">
        <v>72</v>
      </c>
      <c r="BO42" s="849"/>
      <c r="BP42" s="849"/>
      <c r="BQ42" s="848" t="s">
        <v>128</v>
      </c>
      <c r="BR42" s="848"/>
      <c r="BS42" s="848"/>
      <c r="BT42" s="882" t="s">
        <v>101</v>
      </c>
      <c r="BU42" s="883"/>
      <c r="BV42" s="884"/>
      <c r="BW42" s="882" t="s">
        <v>14</v>
      </c>
      <c r="BX42" s="883"/>
      <c r="BY42" s="884"/>
      <c r="BZ42" s="848" t="s">
        <v>129</v>
      </c>
      <c r="CA42" s="848"/>
      <c r="CB42" s="848"/>
      <c r="CC42" s="823">
        <f t="shared" ref="CC42" si="140">COUNTA(BN42:CB42)</f>
        <v>5</v>
      </c>
      <c r="CD42" s="824">
        <v>86.3</v>
      </c>
      <c r="CF42" s="845">
        <v>45791</v>
      </c>
      <c r="CG42" s="859"/>
      <c r="CH42" s="859"/>
      <c r="CI42" s="859"/>
      <c r="CJ42" s="859"/>
      <c r="CK42" s="859"/>
      <c r="CL42" s="859"/>
      <c r="CM42" s="844"/>
      <c r="CN42" s="844"/>
      <c r="CO42" s="844"/>
      <c r="CP42" s="844"/>
      <c r="CQ42" s="844"/>
      <c r="CR42" s="844"/>
      <c r="CS42" s="844"/>
      <c r="CT42" s="844"/>
      <c r="CU42" s="844"/>
      <c r="CV42" s="823">
        <f t="shared" ref="CV42" si="141">COUNTA(CG42:CU42)</f>
        <v>0</v>
      </c>
      <c r="CW42" s="824">
        <f>CW39</f>
        <v>84.1</v>
      </c>
      <c r="CX42" s="118"/>
      <c r="CY42" s="840">
        <v>45822</v>
      </c>
      <c r="CZ42" s="859"/>
      <c r="DA42" s="859"/>
      <c r="DB42" s="859"/>
      <c r="DC42" s="859"/>
      <c r="DD42" s="859"/>
      <c r="DE42" s="859"/>
      <c r="DF42" s="844"/>
      <c r="DG42" s="844"/>
      <c r="DH42" s="844"/>
      <c r="DI42" s="844"/>
      <c r="DJ42" s="844"/>
      <c r="DK42" s="844"/>
      <c r="DL42" s="844"/>
      <c r="DM42" s="844"/>
      <c r="DN42" s="844"/>
      <c r="DO42" s="823">
        <f t="shared" ref="DO42" si="142">COUNTA(CZ42:DN42)</f>
        <v>0</v>
      </c>
      <c r="DP42" s="824">
        <f>DP39</f>
        <v>83.7</v>
      </c>
      <c r="DR42" s="870">
        <v>45852</v>
      </c>
      <c r="DS42" s="859"/>
      <c r="DT42" s="859"/>
      <c r="DU42" s="859"/>
      <c r="DV42" s="859"/>
      <c r="DW42" s="859"/>
      <c r="DX42" s="859"/>
      <c r="DY42" s="844"/>
      <c r="DZ42" s="844"/>
      <c r="EA42" s="844"/>
      <c r="EB42" s="844"/>
      <c r="EC42" s="844"/>
      <c r="ED42" s="844"/>
      <c r="EE42" s="844"/>
      <c r="EF42" s="844"/>
      <c r="EG42" s="844"/>
      <c r="EH42" s="823">
        <f t="shared" ref="EH42" si="143">COUNTA(DS42:EG42)</f>
        <v>0</v>
      </c>
      <c r="EI42" s="824">
        <f>EI39</f>
        <v>80.5</v>
      </c>
      <c r="EK42" s="873">
        <v>45883</v>
      </c>
      <c r="EL42" s="849" t="s">
        <v>102</v>
      </c>
      <c r="EM42" s="849"/>
      <c r="EN42" s="849"/>
      <c r="EO42" s="886" t="s">
        <v>139</v>
      </c>
      <c r="EP42" s="886"/>
      <c r="EQ42" s="886"/>
      <c r="ER42" s="849" t="s">
        <v>113</v>
      </c>
      <c r="ES42" s="849"/>
      <c r="ET42" s="849"/>
      <c r="EU42" s="834"/>
      <c r="EV42" s="835"/>
      <c r="EW42" s="836"/>
      <c r="EX42" s="844"/>
      <c r="EY42" s="844"/>
      <c r="EZ42" s="844"/>
      <c r="FA42" s="823">
        <f t="shared" ref="FA42" si="144">COUNTA(EL42:EZ42)</f>
        <v>3</v>
      </c>
      <c r="FB42" s="824">
        <v>81.099999999999994</v>
      </c>
      <c r="FD42" s="864">
        <v>45914</v>
      </c>
      <c r="FE42" s="849" t="s">
        <v>89</v>
      </c>
      <c r="FF42" s="849"/>
      <c r="FG42" s="849"/>
      <c r="FH42" s="848" t="s">
        <v>103</v>
      </c>
      <c r="FI42" s="848"/>
      <c r="FJ42" s="848"/>
      <c r="FK42" s="849" t="s">
        <v>134</v>
      </c>
      <c r="FL42" s="849"/>
      <c r="FM42" s="849"/>
      <c r="FN42" s="890" t="s">
        <v>116</v>
      </c>
      <c r="FO42" s="890"/>
      <c r="FP42" s="890"/>
      <c r="FQ42" s="882" t="s">
        <v>85</v>
      </c>
      <c r="FR42" s="883"/>
      <c r="FS42" s="884"/>
      <c r="FT42" s="823">
        <f t="shared" ref="FT42" si="145">COUNTA(FE42:FS42)</f>
        <v>5</v>
      </c>
      <c r="FU42" s="824">
        <v>79.7</v>
      </c>
      <c r="FW42" s="856">
        <v>45944</v>
      </c>
      <c r="FX42" s="848" t="s">
        <v>70</v>
      </c>
      <c r="FY42" s="848"/>
      <c r="FZ42" s="848"/>
      <c r="GA42" s="859"/>
      <c r="GB42" s="859"/>
      <c r="GC42" s="859"/>
      <c r="GD42" s="834"/>
      <c r="GE42" s="835"/>
      <c r="GF42" s="836"/>
      <c r="GG42" s="867"/>
      <c r="GH42" s="868"/>
      <c r="GI42" s="869"/>
      <c r="GJ42" s="834"/>
      <c r="GK42" s="835"/>
      <c r="GL42" s="836"/>
      <c r="GM42" s="834"/>
      <c r="GN42" s="835"/>
      <c r="GO42" s="836"/>
      <c r="GP42" s="823">
        <f>COUNTA(FX42:GO42)</f>
        <v>1</v>
      </c>
      <c r="GQ42" s="824">
        <v>78.2</v>
      </c>
      <c r="GR42" s="118"/>
      <c r="GS42" s="876">
        <v>45975</v>
      </c>
      <c r="GT42" s="849" t="s">
        <v>89</v>
      </c>
      <c r="GU42" s="849"/>
      <c r="GV42" s="849"/>
      <c r="GW42" s="882" t="s">
        <v>85</v>
      </c>
      <c r="GX42" s="883"/>
      <c r="GY42" s="884"/>
      <c r="GZ42" s="843"/>
      <c r="HA42" s="843"/>
      <c r="HB42" s="843"/>
      <c r="HC42" s="834"/>
      <c r="HD42" s="835"/>
      <c r="HE42" s="836"/>
      <c r="HF42" s="867"/>
      <c r="HG42" s="868"/>
      <c r="HH42" s="869"/>
      <c r="HI42" s="834"/>
      <c r="HJ42" s="835"/>
      <c r="HK42" s="836"/>
      <c r="HL42" s="823">
        <f>COUNTA(GT42:HK42)</f>
        <v>2</v>
      </c>
      <c r="HM42" s="824">
        <v>78.3</v>
      </c>
      <c r="HN42" s="118"/>
      <c r="HO42" s="864">
        <v>46005</v>
      </c>
      <c r="HP42" s="834"/>
      <c r="HQ42" s="835"/>
      <c r="HR42" s="836"/>
      <c r="HS42" s="843"/>
      <c r="HT42" s="843"/>
      <c r="HU42" s="843"/>
      <c r="HV42" s="834"/>
      <c r="HW42" s="835"/>
      <c r="HX42" s="836"/>
      <c r="HY42" s="844"/>
      <c r="HZ42" s="844"/>
      <c r="IA42" s="844"/>
      <c r="IB42" s="844"/>
      <c r="IC42" s="844"/>
      <c r="ID42" s="844"/>
      <c r="IE42" s="834"/>
      <c r="IF42" s="835"/>
      <c r="IG42" s="836"/>
      <c r="IH42" s="823">
        <f>COUNTA(HP42:IG42)</f>
        <v>0</v>
      </c>
      <c r="II42" s="824">
        <f>II39</f>
        <v>78.2</v>
      </c>
      <c r="IK42" s="845">
        <v>46036</v>
      </c>
      <c r="IL42" s="849" t="s">
        <v>156</v>
      </c>
      <c r="IM42" s="849"/>
      <c r="IN42" s="849"/>
      <c r="IO42" s="848" t="s">
        <v>103</v>
      </c>
      <c r="IP42" s="848"/>
      <c r="IQ42" s="848"/>
      <c r="IR42" s="848" t="s">
        <v>68</v>
      </c>
      <c r="IS42" s="848"/>
      <c r="IT42" s="848"/>
      <c r="IU42" s="848" t="s">
        <v>417</v>
      </c>
      <c r="IV42" s="848"/>
      <c r="IW42" s="848"/>
      <c r="IX42" s="834"/>
      <c r="IY42" s="835"/>
      <c r="IZ42" s="836"/>
      <c r="JA42" s="834"/>
      <c r="JB42" s="835"/>
      <c r="JC42" s="836"/>
      <c r="JD42" s="232" t="s">
        <v>425</v>
      </c>
      <c r="JE42" s="823">
        <f>COUNTA(IL42:JC42)</f>
        <v>4</v>
      </c>
      <c r="JF42" s="824">
        <v>77</v>
      </c>
    </row>
    <row r="43" spans="8:294" ht="15">
      <c r="H43" s="121" t="s">
        <v>138</v>
      </c>
      <c r="I43" s="121" t="s">
        <v>140</v>
      </c>
      <c r="J43" s="121" t="s">
        <v>141</v>
      </c>
      <c r="K43" s="121" t="s">
        <v>140</v>
      </c>
      <c r="L43" s="121" t="s">
        <v>142</v>
      </c>
      <c r="M43" s="121" t="s">
        <v>140</v>
      </c>
      <c r="N43" s="121" t="s">
        <v>143</v>
      </c>
      <c r="X43" s="230" cm="1">
        <f t="array" ref="X43">INDEX(Y:Y, (ROW()-ROW(X$40)+1)*3)</f>
        <v>94.4</v>
      </c>
      <c r="Y43" s="113" cm="1">
        <f t="array" ref="Y43">INDEX(H:H, (ROW()-ROW(Y$40)+1)*3)</f>
        <v>45681</v>
      </c>
      <c r="AA43" s="877"/>
      <c r="AB43" s="107" t="s">
        <v>59</v>
      </c>
      <c r="AC43" s="107" t="s">
        <v>73</v>
      </c>
      <c r="AD43" s="108" t="s">
        <v>4</v>
      </c>
      <c r="AE43" s="107" t="s">
        <v>59</v>
      </c>
      <c r="AF43" s="107" t="s">
        <v>73</v>
      </c>
      <c r="AG43" s="108" t="s">
        <v>4</v>
      </c>
      <c r="AH43" s="107" t="s">
        <v>59</v>
      </c>
      <c r="AI43" s="107" t="s">
        <v>73</v>
      </c>
      <c r="AJ43" s="108" t="s">
        <v>4</v>
      </c>
      <c r="AK43" s="107" t="s">
        <v>59</v>
      </c>
      <c r="AL43" s="107" t="s">
        <v>73</v>
      </c>
      <c r="AM43" s="108" t="s">
        <v>4</v>
      </c>
      <c r="AN43" s="107" t="s">
        <v>59</v>
      </c>
      <c r="AO43" s="107" t="s">
        <v>73</v>
      </c>
      <c r="AP43" s="108" t="s">
        <v>4</v>
      </c>
      <c r="AQ43" s="823"/>
      <c r="AR43" s="825"/>
      <c r="AT43" s="877"/>
      <c r="AU43" s="107" t="s">
        <v>59</v>
      </c>
      <c r="AV43" s="107" t="s">
        <v>73</v>
      </c>
      <c r="AW43" s="108" t="s">
        <v>4</v>
      </c>
      <c r="AX43" s="107" t="s">
        <v>59</v>
      </c>
      <c r="AY43" s="107" t="s">
        <v>73</v>
      </c>
      <c r="AZ43" s="108" t="s">
        <v>4</v>
      </c>
      <c r="BA43" s="107" t="s">
        <v>59</v>
      </c>
      <c r="BB43" s="107" t="s">
        <v>73</v>
      </c>
      <c r="BC43" s="108" t="s">
        <v>4</v>
      </c>
      <c r="BD43" s="107" t="s">
        <v>59</v>
      </c>
      <c r="BE43" s="107" t="s">
        <v>73</v>
      </c>
      <c r="BF43" s="108" t="s">
        <v>4</v>
      </c>
      <c r="BG43" s="107" t="s">
        <v>59</v>
      </c>
      <c r="BH43" s="107" t="s">
        <v>73</v>
      </c>
      <c r="BI43" s="108" t="s">
        <v>4</v>
      </c>
      <c r="BJ43" s="823"/>
      <c r="BK43" s="825"/>
      <c r="BL43" s="118"/>
      <c r="BM43" s="871"/>
      <c r="BN43" s="231" t="s">
        <v>59</v>
      </c>
      <c r="BO43" s="231" t="s">
        <v>73</v>
      </c>
      <c r="BP43" s="102" t="s">
        <v>4</v>
      </c>
      <c r="BQ43" s="231" t="s">
        <v>59</v>
      </c>
      <c r="BR43" s="231" t="s">
        <v>73</v>
      </c>
      <c r="BS43" s="102" t="s">
        <v>4</v>
      </c>
      <c r="BT43" s="231" t="s">
        <v>59</v>
      </c>
      <c r="BU43" s="231" t="s">
        <v>73</v>
      </c>
      <c r="BV43" s="102" t="s">
        <v>4</v>
      </c>
      <c r="BW43" s="231" t="s">
        <v>59</v>
      </c>
      <c r="BX43" s="231" t="s">
        <v>73</v>
      </c>
      <c r="BY43" s="102" t="s">
        <v>4</v>
      </c>
      <c r="BZ43" s="231" t="s">
        <v>59</v>
      </c>
      <c r="CA43" s="231" t="s">
        <v>73</v>
      </c>
      <c r="CB43" s="102" t="s">
        <v>4</v>
      </c>
      <c r="CC43" s="823"/>
      <c r="CD43" s="825"/>
      <c r="CF43" s="846"/>
      <c r="CG43" s="107" t="s">
        <v>59</v>
      </c>
      <c r="CH43" s="107" t="s">
        <v>73</v>
      </c>
      <c r="CI43" s="108" t="s">
        <v>4</v>
      </c>
      <c r="CJ43" s="107" t="s">
        <v>59</v>
      </c>
      <c r="CK43" s="107" t="s">
        <v>73</v>
      </c>
      <c r="CL43" s="108" t="s">
        <v>4</v>
      </c>
      <c r="CM43" s="107" t="s">
        <v>59</v>
      </c>
      <c r="CN43" s="107" t="s">
        <v>73</v>
      </c>
      <c r="CO43" s="108" t="s">
        <v>4</v>
      </c>
      <c r="CP43" s="107" t="s">
        <v>59</v>
      </c>
      <c r="CQ43" s="107" t="s">
        <v>73</v>
      </c>
      <c r="CR43" s="108" t="s">
        <v>4</v>
      </c>
      <c r="CS43" s="107" t="s">
        <v>59</v>
      </c>
      <c r="CT43" s="107" t="s">
        <v>73</v>
      </c>
      <c r="CU43" s="108" t="s">
        <v>4</v>
      </c>
      <c r="CV43" s="823"/>
      <c r="CW43" s="825"/>
      <c r="CX43" s="118"/>
      <c r="CY43" s="841"/>
      <c r="CZ43" s="107" t="s">
        <v>59</v>
      </c>
      <c r="DA43" s="107" t="s">
        <v>73</v>
      </c>
      <c r="DB43" s="108" t="s">
        <v>4</v>
      </c>
      <c r="DC43" s="107" t="s">
        <v>59</v>
      </c>
      <c r="DD43" s="107" t="s">
        <v>73</v>
      </c>
      <c r="DE43" s="108" t="s">
        <v>4</v>
      </c>
      <c r="DF43" s="107" t="s">
        <v>59</v>
      </c>
      <c r="DG43" s="107" t="s">
        <v>73</v>
      </c>
      <c r="DH43" s="108" t="s">
        <v>4</v>
      </c>
      <c r="DI43" s="107" t="s">
        <v>59</v>
      </c>
      <c r="DJ43" s="107" t="s">
        <v>73</v>
      </c>
      <c r="DK43" s="108" t="s">
        <v>4</v>
      </c>
      <c r="DL43" s="107" t="s">
        <v>59</v>
      </c>
      <c r="DM43" s="107" t="s">
        <v>73</v>
      </c>
      <c r="DN43" s="108" t="s">
        <v>4</v>
      </c>
      <c r="DO43" s="823"/>
      <c r="DP43" s="825"/>
      <c r="DR43" s="871"/>
      <c r="DS43" s="107" t="s">
        <v>59</v>
      </c>
      <c r="DT43" s="107" t="s">
        <v>73</v>
      </c>
      <c r="DU43" s="108" t="s">
        <v>4</v>
      </c>
      <c r="DV43" s="107" t="s">
        <v>59</v>
      </c>
      <c r="DW43" s="107" t="s">
        <v>73</v>
      </c>
      <c r="DX43" s="108" t="s">
        <v>4</v>
      </c>
      <c r="DY43" s="107" t="s">
        <v>59</v>
      </c>
      <c r="DZ43" s="107" t="s">
        <v>73</v>
      </c>
      <c r="EA43" s="108" t="s">
        <v>4</v>
      </c>
      <c r="EB43" s="107" t="s">
        <v>59</v>
      </c>
      <c r="EC43" s="107" t="s">
        <v>73</v>
      </c>
      <c r="ED43" s="108" t="s">
        <v>4</v>
      </c>
      <c r="EE43" s="107" t="s">
        <v>59</v>
      </c>
      <c r="EF43" s="107" t="s">
        <v>73</v>
      </c>
      <c r="EG43" s="108" t="s">
        <v>4</v>
      </c>
      <c r="EH43" s="823"/>
      <c r="EI43" s="825"/>
      <c r="EK43" s="874"/>
      <c r="EL43" s="231" t="s">
        <v>59</v>
      </c>
      <c r="EM43" s="231" t="s">
        <v>73</v>
      </c>
      <c r="EN43" s="102" t="s">
        <v>4</v>
      </c>
      <c r="EO43" s="231" t="s">
        <v>59</v>
      </c>
      <c r="EP43" s="231" t="s">
        <v>73</v>
      </c>
      <c r="EQ43" s="102" t="s">
        <v>4</v>
      </c>
      <c r="ER43" s="231" t="s">
        <v>59</v>
      </c>
      <c r="ES43" s="231" t="s">
        <v>73</v>
      </c>
      <c r="ET43" s="102" t="s">
        <v>4</v>
      </c>
      <c r="EU43" s="107" t="s">
        <v>59</v>
      </c>
      <c r="EV43" s="107" t="s">
        <v>73</v>
      </c>
      <c r="EW43" s="108" t="s">
        <v>4</v>
      </c>
      <c r="EX43" s="107" t="s">
        <v>59</v>
      </c>
      <c r="EY43" s="107" t="s">
        <v>73</v>
      </c>
      <c r="EZ43" s="108" t="s">
        <v>4</v>
      </c>
      <c r="FA43" s="823"/>
      <c r="FB43" s="825"/>
      <c r="FD43" s="865"/>
      <c r="FE43" s="231" t="s">
        <v>59</v>
      </c>
      <c r="FF43" s="231" t="s">
        <v>73</v>
      </c>
      <c r="FG43" s="102" t="s">
        <v>4</v>
      </c>
      <c r="FH43" s="231" t="s">
        <v>59</v>
      </c>
      <c r="FI43" s="231" t="s">
        <v>73</v>
      </c>
      <c r="FJ43" s="102" t="s">
        <v>4</v>
      </c>
      <c r="FK43" s="231" t="s">
        <v>59</v>
      </c>
      <c r="FL43" s="231" t="s">
        <v>73</v>
      </c>
      <c r="FM43" s="102" t="s">
        <v>4</v>
      </c>
      <c r="FN43" s="231" t="s">
        <v>59</v>
      </c>
      <c r="FO43" s="231" t="s">
        <v>73</v>
      </c>
      <c r="FP43" s="102" t="s">
        <v>4</v>
      </c>
      <c r="FQ43" s="231" t="s">
        <v>59</v>
      </c>
      <c r="FR43" s="231" t="s">
        <v>73</v>
      </c>
      <c r="FS43" s="102" t="s">
        <v>4</v>
      </c>
      <c r="FT43" s="823"/>
      <c r="FU43" s="825"/>
      <c r="FW43" s="857"/>
      <c r="FX43" s="231" t="s">
        <v>59</v>
      </c>
      <c r="FY43" s="231" t="s">
        <v>73</v>
      </c>
      <c r="FZ43" s="102" t="s">
        <v>4</v>
      </c>
      <c r="GA43" s="107" t="s">
        <v>59</v>
      </c>
      <c r="GB43" s="107" t="s">
        <v>73</v>
      </c>
      <c r="GC43" s="108" t="s">
        <v>4</v>
      </c>
      <c r="GD43" s="107" t="s">
        <v>59</v>
      </c>
      <c r="GE43" s="107" t="s">
        <v>73</v>
      </c>
      <c r="GF43" s="108" t="s">
        <v>4</v>
      </c>
      <c r="GG43" s="107" t="s">
        <v>59</v>
      </c>
      <c r="GH43" s="107" t="s">
        <v>73</v>
      </c>
      <c r="GI43" s="108" t="s">
        <v>4</v>
      </c>
      <c r="GJ43" s="107" t="s">
        <v>59</v>
      </c>
      <c r="GK43" s="107" t="s">
        <v>73</v>
      </c>
      <c r="GL43" s="108" t="s">
        <v>4</v>
      </c>
      <c r="GM43" s="107" t="s">
        <v>59</v>
      </c>
      <c r="GN43" s="107" t="s">
        <v>73</v>
      </c>
      <c r="GO43" s="108" t="s">
        <v>4</v>
      </c>
      <c r="GP43" s="823"/>
      <c r="GQ43" s="825"/>
      <c r="GR43" s="118"/>
      <c r="GS43" s="877"/>
      <c r="GT43" s="231" t="s">
        <v>59</v>
      </c>
      <c r="GU43" s="231" t="s">
        <v>73</v>
      </c>
      <c r="GV43" s="102" t="s">
        <v>4</v>
      </c>
      <c r="GW43" s="231" t="s">
        <v>59</v>
      </c>
      <c r="GX43" s="231" t="s">
        <v>73</v>
      </c>
      <c r="GY43" s="102" t="s">
        <v>4</v>
      </c>
      <c r="GZ43" s="107" t="s">
        <v>59</v>
      </c>
      <c r="HA43" s="107" t="s">
        <v>73</v>
      </c>
      <c r="HB43" s="108" t="s">
        <v>4</v>
      </c>
      <c r="HC43" s="107" t="s">
        <v>59</v>
      </c>
      <c r="HD43" s="107" t="s">
        <v>73</v>
      </c>
      <c r="HE43" s="108" t="s">
        <v>4</v>
      </c>
      <c r="HF43" s="107" t="s">
        <v>59</v>
      </c>
      <c r="HG43" s="107" t="s">
        <v>73</v>
      </c>
      <c r="HH43" s="108" t="s">
        <v>4</v>
      </c>
      <c r="HI43" s="107" t="s">
        <v>59</v>
      </c>
      <c r="HJ43" s="107" t="s">
        <v>73</v>
      </c>
      <c r="HK43" s="108" t="s">
        <v>4</v>
      </c>
      <c r="HL43" s="823"/>
      <c r="HM43" s="825"/>
      <c r="HN43" s="118"/>
      <c r="HO43" s="865"/>
      <c r="HP43" s="107" t="s">
        <v>59</v>
      </c>
      <c r="HQ43" s="107" t="s">
        <v>73</v>
      </c>
      <c r="HR43" s="108" t="s">
        <v>4</v>
      </c>
      <c r="HS43" s="107" t="s">
        <v>59</v>
      </c>
      <c r="HT43" s="107" t="s">
        <v>73</v>
      </c>
      <c r="HU43" s="108" t="s">
        <v>4</v>
      </c>
      <c r="HV43" s="107" t="s">
        <v>59</v>
      </c>
      <c r="HW43" s="107" t="s">
        <v>73</v>
      </c>
      <c r="HX43" s="108" t="s">
        <v>4</v>
      </c>
      <c r="HY43" s="107" t="s">
        <v>59</v>
      </c>
      <c r="HZ43" s="107" t="s">
        <v>73</v>
      </c>
      <c r="IA43" s="108" t="s">
        <v>4</v>
      </c>
      <c r="IB43" s="107" t="s">
        <v>59</v>
      </c>
      <c r="IC43" s="107" t="s">
        <v>73</v>
      </c>
      <c r="ID43" s="108" t="s">
        <v>4</v>
      </c>
      <c r="IE43" s="107" t="s">
        <v>59</v>
      </c>
      <c r="IF43" s="107" t="s">
        <v>73</v>
      </c>
      <c r="IG43" s="108" t="s">
        <v>4</v>
      </c>
      <c r="IH43" s="823"/>
      <c r="II43" s="825"/>
      <c r="IK43" s="846"/>
      <c r="IL43" s="231" t="s">
        <v>59</v>
      </c>
      <c r="IM43" s="231" t="s">
        <v>73</v>
      </c>
      <c r="IN43" s="102" t="s">
        <v>4</v>
      </c>
      <c r="IO43" s="231" t="s">
        <v>59</v>
      </c>
      <c r="IP43" s="231" t="s">
        <v>73</v>
      </c>
      <c r="IQ43" s="102" t="s">
        <v>4</v>
      </c>
      <c r="IR43" s="231" t="s">
        <v>59</v>
      </c>
      <c r="IS43" s="231" t="s">
        <v>73</v>
      </c>
      <c r="IT43" s="102" t="s">
        <v>4</v>
      </c>
      <c r="IU43" s="231" t="s">
        <v>59</v>
      </c>
      <c r="IV43" s="231" t="s">
        <v>73</v>
      </c>
      <c r="IW43" s="102" t="s">
        <v>4</v>
      </c>
      <c r="IX43" s="107" t="s">
        <v>59</v>
      </c>
      <c r="IY43" s="107" t="s">
        <v>73</v>
      </c>
      <c r="IZ43" s="108" t="s">
        <v>4</v>
      </c>
      <c r="JA43" s="107" t="s">
        <v>59</v>
      </c>
      <c r="JB43" s="107" t="s">
        <v>73</v>
      </c>
      <c r="JC43" s="108" t="s">
        <v>4</v>
      </c>
      <c r="JD43" s="948">
        <v>58</v>
      </c>
      <c r="JE43" s="823"/>
      <c r="JF43" s="825"/>
    </row>
    <row r="44" spans="8:294" ht="15">
      <c r="X44" s="230" cm="1">
        <f t="array" ref="X44">INDEX(Y:Y, (ROW()-ROW(X$40)+1)*3)</f>
        <v>94.4</v>
      </c>
      <c r="Y44" s="113" cm="1">
        <f t="array" ref="Y44">INDEX(H:H, (ROW()-ROW(Y$40)+1)*3)</f>
        <v>45682</v>
      </c>
      <c r="AA44" s="878"/>
      <c r="AB44" s="233"/>
      <c r="AC44" s="233"/>
      <c r="AD44" s="233"/>
      <c r="AE44" s="233"/>
      <c r="AF44" s="233"/>
      <c r="AG44" s="233"/>
      <c r="AH44" s="233"/>
      <c r="AI44" s="233"/>
      <c r="AJ44" s="233"/>
      <c r="AK44" s="233"/>
      <c r="AL44" s="233"/>
      <c r="AM44" s="233"/>
      <c r="AN44" s="233"/>
      <c r="AO44" s="233"/>
      <c r="AP44" s="233"/>
      <c r="AQ44" s="229">
        <f t="shared" ref="AQ44" si="146">(AB44*AC44*AD44)+(AE44*AF44*AG44)+(AH44*AI44*AJ44)+(AK44*AL44*AM44)+(AN44*AO44*AP44)</f>
        <v>0</v>
      </c>
      <c r="AR44" s="826"/>
      <c r="AT44" s="878"/>
      <c r="AU44" s="233"/>
      <c r="AV44" s="233"/>
      <c r="AW44" s="233"/>
      <c r="AX44" s="233"/>
      <c r="AY44" s="233"/>
      <c r="AZ44" s="233"/>
      <c r="BA44" s="233"/>
      <c r="BB44" s="233"/>
      <c r="BC44" s="233"/>
      <c r="BD44" s="233"/>
      <c r="BE44" s="233"/>
      <c r="BF44" s="233"/>
      <c r="BG44" s="233"/>
      <c r="BH44" s="233"/>
      <c r="BI44" s="233"/>
      <c r="BJ44" s="229">
        <f t="shared" ref="BJ44" si="147">(AU44*AV44*AW44)+(AX44*AY44*AZ44)+(BA44*BB44*BC44)+(BD44*BE44*BF44)+(BG44*BH44*BI44)</f>
        <v>0</v>
      </c>
      <c r="BK44" s="826"/>
      <c r="BL44" s="118"/>
      <c r="BM44" s="872"/>
      <c r="BN44" s="229">
        <v>4</v>
      </c>
      <c r="BO44" s="126">
        <v>10</v>
      </c>
      <c r="BP44" s="229">
        <f>110*$FU$3</f>
        <v>8756</v>
      </c>
      <c r="BQ44" s="229">
        <v>4</v>
      </c>
      <c r="BR44" s="126">
        <v>10</v>
      </c>
      <c r="BS44" s="229">
        <v>12.5</v>
      </c>
      <c r="BT44" s="229">
        <v>4</v>
      </c>
      <c r="BU44" s="126">
        <f>((8*1)+(10*3))/4</f>
        <v>9.5</v>
      </c>
      <c r="BV44" s="126">
        <f>((50*$FU$3*1)+(55*$FU$3*3))/4</f>
        <v>4278.5</v>
      </c>
      <c r="BW44" s="229">
        <v>4</v>
      </c>
      <c r="BX44" s="229">
        <f>((8*3)+(7*1))/4</f>
        <v>7.75</v>
      </c>
      <c r="BY44" s="229">
        <v>15</v>
      </c>
      <c r="BZ44" s="229">
        <v>4</v>
      </c>
      <c r="CA44" s="126">
        <v>10</v>
      </c>
      <c r="CB44" s="229">
        <f>((35*$FU$3*1)+(40*$FU$3*3))/4</f>
        <v>3084.5</v>
      </c>
      <c r="CC44" s="229">
        <f t="shared" ref="CC44" si="148">(BN44*BO44*BP44)+(BQ44*BR44*BS44)+(BT44*BU44*BV44)+(BW44*BX44*BY44)+(BZ44*CA44*CB44)</f>
        <v>637168</v>
      </c>
      <c r="CD44" s="826"/>
      <c r="CF44" s="847"/>
      <c r="CG44" s="233"/>
      <c r="CH44" s="233"/>
      <c r="CI44" s="233"/>
      <c r="CJ44" s="233"/>
      <c r="CK44" s="233"/>
      <c r="CL44" s="233"/>
      <c r="CM44" s="233"/>
      <c r="CN44" s="233"/>
      <c r="CO44" s="233"/>
      <c r="CP44" s="233"/>
      <c r="CQ44" s="233"/>
      <c r="CR44" s="233"/>
      <c r="CS44" s="233"/>
      <c r="CT44" s="233"/>
      <c r="CU44" s="233"/>
      <c r="CV44" s="229">
        <f t="shared" ref="CV44" si="149">(CG44*CH44*CI44)+(CJ44*CK44*CL44)+(CM44*CN44*CO44)+(CP44*CQ44*CR44)+(CS44*CT44*CU44)</f>
        <v>0</v>
      </c>
      <c r="CW44" s="826"/>
      <c r="CX44" s="118"/>
      <c r="CY44" s="842"/>
      <c r="CZ44" s="233"/>
      <c r="DA44" s="233"/>
      <c r="DB44" s="233"/>
      <c r="DC44" s="233"/>
      <c r="DD44" s="233"/>
      <c r="DE44" s="233"/>
      <c r="DF44" s="233"/>
      <c r="DG44" s="233"/>
      <c r="DH44" s="233"/>
      <c r="DI44" s="233"/>
      <c r="DJ44" s="233"/>
      <c r="DK44" s="233"/>
      <c r="DL44" s="233"/>
      <c r="DM44" s="233"/>
      <c r="DN44" s="233"/>
      <c r="DO44" s="229">
        <f t="shared" ref="DO44" si="150">(CZ44*DA44*DB44)+(DC44*DD44*DE44)+(DF44*DG44*DH44)+(DI44*DJ44*DK44)+(DL44*DM44*DN44)</f>
        <v>0</v>
      </c>
      <c r="DP44" s="826"/>
      <c r="DR44" s="872"/>
      <c r="DS44" s="233"/>
      <c r="DT44" s="233"/>
      <c r="DU44" s="233"/>
      <c r="DV44" s="233"/>
      <c r="DW44" s="233"/>
      <c r="DX44" s="233"/>
      <c r="DY44" s="233"/>
      <c r="DZ44" s="233"/>
      <c r="EA44" s="233"/>
      <c r="EB44" s="233"/>
      <c r="EC44" s="233"/>
      <c r="ED44" s="233"/>
      <c r="EE44" s="233"/>
      <c r="EF44" s="233"/>
      <c r="EG44" s="233"/>
      <c r="EH44" s="229">
        <f t="shared" ref="EH44" si="151">(DS44*DT44*DU44)+(DV44*DW44*DX44)+(DY44*DZ44*EA44)+(EB44*EC44*ED44)+(EE44*EF44*EG44)</f>
        <v>0</v>
      </c>
      <c r="EI44" s="826"/>
      <c r="EK44" s="875"/>
      <c r="EL44" s="229">
        <v>3</v>
      </c>
      <c r="EM44" s="229">
        <v>12</v>
      </c>
      <c r="EN44" s="229">
        <v>13.6</v>
      </c>
      <c r="EO44" s="229">
        <v>3</v>
      </c>
      <c r="EP44" s="229">
        <v>8</v>
      </c>
      <c r="EQ44" s="229">
        <v>20</v>
      </c>
      <c r="ER44" s="229">
        <v>1</v>
      </c>
      <c r="ES44" s="229">
        <v>8</v>
      </c>
      <c r="ET44" s="229">
        <v>10</v>
      </c>
      <c r="EU44" s="233"/>
      <c r="EV44" s="233"/>
      <c r="EW44" s="233"/>
      <c r="EX44" s="233"/>
      <c r="EY44" s="233"/>
      <c r="EZ44" s="233"/>
      <c r="FA44" s="229">
        <f t="shared" ref="FA44" si="152">(EL44*EM44*EN44)+(EO44*EP44*EQ44)+(ER44*ES44*ET44)+(EU44*EV44*EW44)+(EX44*EY44*EZ44)</f>
        <v>1049.5999999999999</v>
      </c>
      <c r="FB44" s="826"/>
      <c r="FD44" s="866"/>
      <c r="FE44" s="229">
        <v>4</v>
      </c>
      <c r="FF44" s="229">
        <f>((12*3)+(8*1))/4</f>
        <v>11</v>
      </c>
      <c r="FG44" s="229">
        <f>((27*1)+(59*2)+(63*1))/4</f>
        <v>52</v>
      </c>
      <c r="FH44" s="229">
        <v>4</v>
      </c>
      <c r="FI44" s="126">
        <f>((10*2)+(12*1))/3</f>
        <v>10.666666666666666</v>
      </c>
      <c r="FJ44" s="126">
        <v>10</v>
      </c>
      <c r="FK44" s="229">
        <v>3</v>
      </c>
      <c r="FL44" s="126">
        <f>((12*2)+(8*1))/3</f>
        <v>10.666666666666666</v>
      </c>
      <c r="FM44" s="126">
        <f>((20.4*2)+(22.7*1))/3</f>
        <v>21.166666666666668</v>
      </c>
      <c r="FN44" s="229">
        <v>3</v>
      </c>
      <c r="FO44" s="229">
        <v>8</v>
      </c>
      <c r="FP44" s="126">
        <v>18.75</v>
      </c>
      <c r="FQ44" s="229">
        <v>3</v>
      </c>
      <c r="FR44" s="229">
        <v>24</v>
      </c>
      <c r="FS44" s="229">
        <f>(1/3)*FU42</f>
        <v>26.566666666666666</v>
      </c>
      <c r="FT44" s="229">
        <f t="shared" ref="FT44" si="153">(FE44*FF44*FG44)+(FH44*FI44*FJ44)+(FK44*FL44*FM44)+(FN44*FO44*FP44)+(FQ44*FR44*FS44)</f>
        <v>5754.8</v>
      </c>
      <c r="FU44" s="826"/>
      <c r="FW44" s="858"/>
      <c r="FX44" s="229">
        <v>1</v>
      </c>
      <c r="FY44" s="229">
        <v>35</v>
      </c>
      <c r="FZ44" s="229">
        <f>GQ42</f>
        <v>78.2</v>
      </c>
      <c r="GA44" s="233"/>
      <c r="GB44" s="233"/>
      <c r="GC44" s="233"/>
      <c r="GD44" s="233"/>
      <c r="GE44" s="233"/>
      <c r="GF44" s="233"/>
      <c r="GG44" s="233"/>
      <c r="GH44" s="233"/>
      <c r="GI44" s="233"/>
      <c r="GJ44" s="233"/>
      <c r="GK44" s="233"/>
      <c r="GL44" s="233"/>
      <c r="GM44" s="233"/>
      <c r="GN44" s="233"/>
      <c r="GO44" s="233"/>
      <c r="GP44" s="229">
        <f>(FX44*FY44*FZ44)+(GA44*GB44*GC44)+(GD44*GE44*GF44)+(GG44*GH44*GI44)+(GJ44*GK44*GL44)+(GM44*GN44*GO44)</f>
        <v>2737</v>
      </c>
      <c r="GQ44" s="826"/>
      <c r="GR44" s="118"/>
      <c r="GS44" s="878"/>
      <c r="GT44" s="229">
        <v>3</v>
      </c>
      <c r="GU44" s="229">
        <v>12</v>
      </c>
      <c r="GV44" s="229">
        <v>63</v>
      </c>
      <c r="GW44" s="229">
        <v>3</v>
      </c>
      <c r="GX44" s="229">
        <v>36</v>
      </c>
      <c r="GY44" s="229">
        <f>$HM42*(1/3)</f>
        <v>26.099999999999998</v>
      </c>
      <c r="GZ44" s="233"/>
      <c r="HA44" s="233"/>
      <c r="HB44" s="233"/>
      <c r="HC44" s="233"/>
      <c r="HD44" s="233"/>
      <c r="HE44" s="233"/>
      <c r="HF44" s="233"/>
      <c r="HG44" s="233"/>
      <c r="HH44" s="233"/>
      <c r="HI44" s="233"/>
      <c r="HJ44" s="233"/>
      <c r="HK44" s="233"/>
      <c r="HL44" s="229">
        <f>(GT44*GU44*GV44)+(GW44*GX44*GY44)+(GZ44*HA44*HB44)+(HC44*HD44*HE44)+(HF44*HG44*HH44)+(HI44*HJ44*HK44)</f>
        <v>5086.7999999999993</v>
      </c>
      <c r="HM44" s="826"/>
      <c r="HN44" s="118"/>
      <c r="HO44" s="866"/>
      <c r="HP44" s="233"/>
      <c r="HQ44" s="233"/>
      <c r="HR44" s="233"/>
      <c r="HS44" s="233"/>
      <c r="HT44" s="233"/>
      <c r="HU44" s="233"/>
      <c r="HV44" s="233"/>
      <c r="HW44" s="233"/>
      <c r="HX44" s="233"/>
      <c r="HY44" s="233"/>
      <c r="HZ44" s="233"/>
      <c r="IA44" s="233"/>
      <c r="IB44" s="233"/>
      <c r="IC44" s="233"/>
      <c r="ID44" s="233"/>
      <c r="IE44" s="233"/>
      <c r="IF44" s="233"/>
      <c r="IG44" s="233"/>
      <c r="IH44" s="229">
        <f>(HP44*HQ44*HR44)+(HS44*HT44*HU44)+(HV44*HW44*HX44)+(HY44*HZ44*IA44)+(IB44*IC44*ID44)+(IE44*IF44*IG44)</f>
        <v>0</v>
      </c>
      <c r="II44" s="826"/>
      <c r="IK44" s="847"/>
      <c r="IL44" s="229">
        <v>4</v>
      </c>
      <c r="IM44" s="229">
        <f>((12*1)+(8*3))/4</f>
        <v>9</v>
      </c>
      <c r="IN44" s="229">
        <f>((6*1)+(12*3))/4</f>
        <v>10.5</v>
      </c>
      <c r="IO44" s="229">
        <v>4</v>
      </c>
      <c r="IP44" s="229">
        <f>((12*1)+(8*3))/4</f>
        <v>9</v>
      </c>
      <c r="IQ44" s="229">
        <f>((15*1)+(30*3))/4</f>
        <v>26.25</v>
      </c>
      <c r="IR44" s="229">
        <v>4</v>
      </c>
      <c r="IS44" s="229">
        <f>((12*1)+(8*3))/4</f>
        <v>9</v>
      </c>
      <c r="IT44" s="229">
        <f>((23*1)+(41*1)+(45*1)+(50*1))/4</f>
        <v>39.75</v>
      </c>
      <c r="IU44" s="229">
        <v>4</v>
      </c>
      <c r="IV44" s="229">
        <f>((20*1)+(40*3))/4</f>
        <v>35</v>
      </c>
      <c r="IW44" s="229">
        <f>(1/3)*JF42</f>
        <v>25.666666666666664</v>
      </c>
      <c r="IX44" s="233"/>
      <c r="IY44" s="233"/>
      <c r="IZ44" s="233"/>
      <c r="JA44" s="233"/>
      <c r="JB44" s="233"/>
      <c r="JC44" s="233"/>
      <c r="JD44" s="949"/>
      <c r="JE44" s="229">
        <f>(IL44*IM44*IN44)+(IO44*IP44*IQ44)+(IR44*IS44*IT44)+(IU44*IV44*IW44)+(IX44*IY44*IZ44)+(JA44*JB44*JC44)</f>
        <v>6347.333333333333</v>
      </c>
      <c r="JF44" s="826"/>
    </row>
    <row r="45" spans="8:294" ht="15">
      <c r="X45" s="230" cm="1">
        <f t="array" ref="X45">INDEX(Y:Y, (ROW()-ROW(X$40)+1)*3)</f>
        <v>93.3</v>
      </c>
      <c r="Y45" s="113" cm="1">
        <f t="array" ref="Y45">INDEX(H:H, (ROW()-ROW(Y$40)+1)*3)</f>
        <v>45683</v>
      </c>
      <c r="AA45" s="840">
        <v>45703</v>
      </c>
      <c r="AB45" s="849" t="s">
        <v>144</v>
      </c>
      <c r="AC45" s="849"/>
      <c r="AD45" s="849"/>
      <c r="AE45" s="860"/>
      <c r="AF45" s="860"/>
      <c r="AG45" s="860"/>
      <c r="AH45" s="843"/>
      <c r="AI45" s="843"/>
      <c r="AJ45" s="843"/>
      <c r="AK45" s="834"/>
      <c r="AL45" s="835"/>
      <c r="AM45" s="836"/>
      <c r="AN45" s="844"/>
      <c r="AO45" s="844"/>
      <c r="AP45" s="844"/>
      <c r="AQ45" s="823">
        <f t="shared" ref="AQ45" si="154">COUNTA(AB45:AP45)</f>
        <v>1</v>
      </c>
      <c r="AR45" s="824">
        <f>AR42</f>
        <v>92.7</v>
      </c>
      <c r="AT45" s="840">
        <v>45731</v>
      </c>
      <c r="AU45" s="849" t="s">
        <v>70</v>
      </c>
      <c r="AV45" s="849"/>
      <c r="AW45" s="849"/>
      <c r="AX45" s="860"/>
      <c r="AY45" s="860"/>
      <c r="AZ45" s="860"/>
      <c r="BA45" s="843"/>
      <c r="BB45" s="843"/>
      <c r="BC45" s="843"/>
      <c r="BD45" s="834"/>
      <c r="BE45" s="835"/>
      <c r="BF45" s="836"/>
      <c r="BG45" s="844"/>
      <c r="BH45" s="844"/>
      <c r="BI45" s="844"/>
      <c r="BJ45" s="823">
        <f t="shared" ref="BJ45" si="155">COUNTA(AU45:BI45)</f>
        <v>1</v>
      </c>
      <c r="BK45" s="824">
        <v>90</v>
      </c>
      <c r="BL45" s="118"/>
      <c r="BM45" s="856">
        <v>45762</v>
      </c>
      <c r="BN45" s="849" t="s">
        <v>70</v>
      </c>
      <c r="BO45" s="849"/>
      <c r="BP45" s="849"/>
      <c r="BQ45" s="859"/>
      <c r="BR45" s="859"/>
      <c r="BS45" s="859"/>
      <c r="BT45" s="844"/>
      <c r="BU45" s="844"/>
      <c r="BV45" s="844"/>
      <c r="BW45" s="844"/>
      <c r="BX45" s="844"/>
      <c r="BY45" s="844"/>
      <c r="BZ45" s="844"/>
      <c r="CA45" s="844"/>
      <c r="CB45" s="844"/>
      <c r="CC45" s="823">
        <f t="shared" ref="CC45" si="156">COUNTA(BN45:CB45)</f>
        <v>1</v>
      </c>
      <c r="CD45" s="824">
        <v>86.3</v>
      </c>
      <c r="CF45" s="873">
        <v>45792</v>
      </c>
      <c r="CG45" s="859"/>
      <c r="CH45" s="859"/>
      <c r="CI45" s="859"/>
      <c r="CJ45" s="859"/>
      <c r="CK45" s="859"/>
      <c r="CL45" s="859"/>
      <c r="CM45" s="844"/>
      <c r="CN45" s="844"/>
      <c r="CO45" s="844"/>
      <c r="CP45" s="844"/>
      <c r="CQ45" s="844"/>
      <c r="CR45" s="844"/>
      <c r="CS45" s="844"/>
      <c r="CT45" s="844"/>
      <c r="CU45" s="844"/>
      <c r="CV45" s="823">
        <f t="shared" ref="CV45" si="157">COUNTA(CG45:CU45)</f>
        <v>0</v>
      </c>
      <c r="CW45" s="824">
        <v>85.2</v>
      </c>
      <c r="CX45" s="118"/>
      <c r="CY45" s="864">
        <v>45823</v>
      </c>
      <c r="CZ45" s="849" t="s">
        <v>119</v>
      </c>
      <c r="DA45" s="849"/>
      <c r="DB45" s="849"/>
      <c r="DC45" s="849" t="s">
        <v>102</v>
      </c>
      <c r="DD45" s="849"/>
      <c r="DE45" s="849"/>
      <c r="DF45" s="890" t="s">
        <v>93</v>
      </c>
      <c r="DG45" s="890"/>
      <c r="DH45" s="890"/>
      <c r="DI45" s="849" t="s">
        <v>113</v>
      </c>
      <c r="DJ45" s="849"/>
      <c r="DK45" s="849"/>
      <c r="DL45" s="844"/>
      <c r="DM45" s="844"/>
      <c r="DN45" s="844"/>
      <c r="DO45" s="823">
        <f t="shared" ref="DO45" si="158">COUNTA(CZ45:DN45)</f>
        <v>4</v>
      </c>
      <c r="DP45" s="824">
        <v>82.6</v>
      </c>
      <c r="DR45" s="856">
        <v>45853</v>
      </c>
      <c r="DS45" s="859"/>
      <c r="DT45" s="859"/>
      <c r="DU45" s="859"/>
      <c r="DV45" s="859"/>
      <c r="DW45" s="859"/>
      <c r="DX45" s="859"/>
      <c r="DY45" s="844"/>
      <c r="DZ45" s="844"/>
      <c r="EA45" s="844"/>
      <c r="EB45" s="844"/>
      <c r="EC45" s="844"/>
      <c r="ED45" s="844"/>
      <c r="EE45" s="844"/>
      <c r="EF45" s="844"/>
      <c r="EG45" s="844"/>
      <c r="EH45" s="823">
        <f t="shared" ref="EH45" si="159">COUNTA(DS45:EG45)</f>
        <v>0</v>
      </c>
      <c r="EI45" s="824">
        <f>EI42</f>
        <v>80.5</v>
      </c>
      <c r="EK45" s="876">
        <v>45884</v>
      </c>
      <c r="EL45" s="859"/>
      <c r="EM45" s="859"/>
      <c r="EN45" s="859"/>
      <c r="EO45" s="859"/>
      <c r="EP45" s="859"/>
      <c r="EQ45" s="859"/>
      <c r="ER45" s="844"/>
      <c r="ES45" s="844"/>
      <c r="ET45" s="844"/>
      <c r="EU45" s="844"/>
      <c r="EV45" s="844"/>
      <c r="EW45" s="844"/>
      <c r="EX45" s="844"/>
      <c r="EY45" s="844"/>
      <c r="EZ45" s="844"/>
      <c r="FA45" s="823">
        <f t="shared" ref="FA45" si="160">COUNTA(EL45:EZ45)</f>
        <v>0</v>
      </c>
      <c r="FB45" s="824">
        <f>FB42</f>
        <v>81.099999999999994</v>
      </c>
      <c r="FD45" s="870">
        <v>45915</v>
      </c>
      <c r="FE45" s="890" t="s">
        <v>84</v>
      </c>
      <c r="FF45" s="890"/>
      <c r="FG45" s="890"/>
      <c r="FH45" s="882" t="s">
        <v>85</v>
      </c>
      <c r="FI45" s="883"/>
      <c r="FJ45" s="884"/>
      <c r="FK45" s="890" t="s">
        <v>145</v>
      </c>
      <c r="FL45" s="890"/>
      <c r="FM45" s="890"/>
      <c r="FN45" s="844"/>
      <c r="FO45" s="844"/>
      <c r="FP45" s="844"/>
      <c r="FQ45" s="844"/>
      <c r="FR45" s="844"/>
      <c r="FS45" s="844"/>
      <c r="FT45" s="823">
        <f t="shared" ref="FT45" si="161">COUNTA(FE45:FS45)</f>
        <v>3</v>
      </c>
      <c r="FU45" s="824">
        <v>79.3</v>
      </c>
      <c r="FW45" s="845">
        <v>45945</v>
      </c>
      <c r="FX45" s="859"/>
      <c r="FY45" s="859"/>
      <c r="FZ45" s="859"/>
      <c r="GA45" s="859"/>
      <c r="GB45" s="859"/>
      <c r="GC45" s="859"/>
      <c r="GD45" s="859"/>
      <c r="GE45" s="859"/>
      <c r="GF45" s="859"/>
      <c r="GG45" s="867"/>
      <c r="GH45" s="868"/>
      <c r="GI45" s="869"/>
      <c r="GJ45" s="844"/>
      <c r="GK45" s="844"/>
      <c r="GL45" s="844"/>
      <c r="GM45" s="844"/>
      <c r="GN45" s="844"/>
      <c r="GO45" s="844"/>
      <c r="GP45" s="823">
        <f>COUNTA(FX45:GO45)</f>
        <v>0</v>
      </c>
      <c r="GQ45" s="824">
        <f>GQ42</f>
        <v>78.2</v>
      </c>
      <c r="GR45" s="118"/>
      <c r="GS45" s="840">
        <v>45976</v>
      </c>
      <c r="GT45" s="844"/>
      <c r="GU45" s="844"/>
      <c r="GV45" s="844"/>
      <c r="GW45" s="859"/>
      <c r="GX45" s="859"/>
      <c r="GY45" s="859"/>
      <c r="GZ45" s="834"/>
      <c r="HA45" s="835"/>
      <c r="HB45" s="836"/>
      <c r="HC45" s="867"/>
      <c r="HD45" s="868"/>
      <c r="HE45" s="869"/>
      <c r="HF45" s="834"/>
      <c r="HG45" s="835"/>
      <c r="HH45" s="836"/>
      <c r="HI45" s="834"/>
      <c r="HJ45" s="835"/>
      <c r="HK45" s="836"/>
      <c r="HL45" s="823">
        <f>COUNTA(GT45:HK45)</f>
        <v>0</v>
      </c>
      <c r="HM45" s="824">
        <f>HM42</f>
        <v>78.3</v>
      </c>
      <c r="HN45" s="118"/>
      <c r="HO45" s="870">
        <v>46006</v>
      </c>
      <c r="HP45" s="849" t="s">
        <v>89</v>
      </c>
      <c r="HQ45" s="849"/>
      <c r="HR45" s="849"/>
      <c r="HS45" s="886" t="s">
        <v>112</v>
      </c>
      <c r="HT45" s="886"/>
      <c r="HU45" s="886"/>
      <c r="HV45" s="887" t="s">
        <v>146</v>
      </c>
      <c r="HW45" s="888"/>
      <c r="HX45" s="889"/>
      <c r="HY45" s="867"/>
      <c r="HZ45" s="868"/>
      <c r="IA45" s="869"/>
      <c r="IB45" s="834"/>
      <c r="IC45" s="835"/>
      <c r="ID45" s="836"/>
      <c r="IE45" s="834"/>
      <c r="IF45" s="835"/>
      <c r="IG45" s="836"/>
      <c r="IH45" s="823">
        <f>COUNTA(HP45:IG45)</f>
        <v>3</v>
      </c>
      <c r="II45" s="824">
        <v>76.7</v>
      </c>
      <c r="IK45" s="873">
        <v>46037</v>
      </c>
      <c r="IL45" s="849" t="s">
        <v>72</v>
      </c>
      <c r="IM45" s="849"/>
      <c r="IN45" s="849"/>
      <c r="IO45" s="848" t="s">
        <v>102</v>
      </c>
      <c r="IP45" s="848"/>
      <c r="IQ45" s="848"/>
      <c r="IR45" s="848" t="s">
        <v>424</v>
      </c>
      <c r="IS45" s="848"/>
      <c r="IT45" s="848"/>
      <c r="IU45" s="848" t="s">
        <v>380</v>
      </c>
      <c r="IV45" s="848"/>
      <c r="IW45" s="848"/>
      <c r="IX45" s="879" t="s">
        <v>78</v>
      </c>
      <c r="IY45" s="880"/>
      <c r="IZ45" s="881"/>
      <c r="JA45" s="834"/>
      <c r="JB45" s="835"/>
      <c r="JC45" s="836"/>
      <c r="JD45" s="232" t="s">
        <v>425</v>
      </c>
      <c r="JE45" s="823">
        <f>COUNTA(IL45:JC45)</f>
        <v>5</v>
      </c>
      <c r="JF45" s="824">
        <v>77.3</v>
      </c>
    </row>
    <row r="46" spans="8:294" ht="15">
      <c r="X46" s="230" cm="1">
        <f t="array" ref="X46">INDEX(Y:Y, (ROW()-ROW(X$40)+1)*3)</f>
        <v>94.4</v>
      </c>
      <c r="Y46" s="113" cm="1">
        <f t="array" ref="Y46">INDEX(H:H, (ROW()-ROW(Y$40)+1)*3)</f>
        <v>45684</v>
      </c>
      <c r="AA46" s="841"/>
      <c r="AB46" s="231" t="s">
        <v>59</v>
      </c>
      <c r="AC46" s="231" t="s">
        <v>73</v>
      </c>
      <c r="AD46" s="102" t="s">
        <v>4</v>
      </c>
      <c r="AE46" s="107" t="s">
        <v>59</v>
      </c>
      <c r="AF46" s="107" t="s">
        <v>73</v>
      </c>
      <c r="AG46" s="108" t="s">
        <v>4</v>
      </c>
      <c r="AH46" s="107" t="s">
        <v>59</v>
      </c>
      <c r="AI46" s="107" t="s">
        <v>73</v>
      </c>
      <c r="AJ46" s="108" t="s">
        <v>4</v>
      </c>
      <c r="AK46" s="107" t="s">
        <v>59</v>
      </c>
      <c r="AL46" s="107" t="s">
        <v>73</v>
      </c>
      <c r="AM46" s="108" t="s">
        <v>4</v>
      </c>
      <c r="AN46" s="107" t="s">
        <v>59</v>
      </c>
      <c r="AO46" s="107" t="s">
        <v>73</v>
      </c>
      <c r="AP46" s="108" t="s">
        <v>4</v>
      </c>
      <c r="AQ46" s="823"/>
      <c r="AR46" s="825"/>
      <c r="AT46" s="841"/>
      <c r="AU46" s="231" t="s">
        <v>59</v>
      </c>
      <c r="AV46" s="231" t="s">
        <v>73</v>
      </c>
      <c r="AW46" s="102" t="s">
        <v>4</v>
      </c>
      <c r="AX46" s="107" t="s">
        <v>59</v>
      </c>
      <c r="AY46" s="107" t="s">
        <v>73</v>
      </c>
      <c r="AZ46" s="108" t="s">
        <v>4</v>
      </c>
      <c r="BA46" s="107" t="s">
        <v>59</v>
      </c>
      <c r="BB46" s="107" t="s">
        <v>73</v>
      </c>
      <c r="BC46" s="108" t="s">
        <v>4</v>
      </c>
      <c r="BD46" s="107" t="s">
        <v>59</v>
      </c>
      <c r="BE46" s="107" t="s">
        <v>73</v>
      </c>
      <c r="BF46" s="108" t="s">
        <v>4</v>
      </c>
      <c r="BG46" s="107" t="s">
        <v>59</v>
      </c>
      <c r="BH46" s="107" t="s">
        <v>73</v>
      </c>
      <c r="BI46" s="108" t="s">
        <v>4</v>
      </c>
      <c r="BJ46" s="823"/>
      <c r="BK46" s="825"/>
      <c r="BL46" s="118"/>
      <c r="BM46" s="857"/>
      <c r="BN46" s="231" t="s">
        <v>59</v>
      </c>
      <c r="BO46" s="231" t="s">
        <v>73</v>
      </c>
      <c r="BP46" s="102" t="s">
        <v>4</v>
      </c>
      <c r="BQ46" s="107" t="s">
        <v>59</v>
      </c>
      <c r="BR46" s="107" t="s">
        <v>73</v>
      </c>
      <c r="BS46" s="108" t="s">
        <v>4</v>
      </c>
      <c r="BT46" s="107" t="s">
        <v>59</v>
      </c>
      <c r="BU46" s="107" t="s">
        <v>73</v>
      </c>
      <c r="BV46" s="108" t="s">
        <v>4</v>
      </c>
      <c r="BW46" s="107" t="s">
        <v>59</v>
      </c>
      <c r="BX46" s="107" t="s">
        <v>73</v>
      </c>
      <c r="BY46" s="108" t="s">
        <v>4</v>
      </c>
      <c r="BZ46" s="107" t="s">
        <v>59</v>
      </c>
      <c r="CA46" s="107" t="s">
        <v>73</v>
      </c>
      <c r="CB46" s="108" t="s">
        <v>4</v>
      </c>
      <c r="CC46" s="823"/>
      <c r="CD46" s="825"/>
      <c r="CF46" s="874"/>
      <c r="CG46" s="107" t="s">
        <v>59</v>
      </c>
      <c r="CH46" s="107" t="s">
        <v>73</v>
      </c>
      <c r="CI46" s="108" t="s">
        <v>4</v>
      </c>
      <c r="CJ46" s="107" t="s">
        <v>59</v>
      </c>
      <c r="CK46" s="107" t="s">
        <v>73</v>
      </c>
      <c r="CL46" s="108" t="s">
        <v>4</v>
      </c>
      <c r="CM46" s="107" t="s">
        <v>59</v>
      </c>
      <c r="CN46" s="107" t="s">
        <v>73</v>
      </c>
      <c r="CO46" s="108" t="s">
        <v>4</v>
      </c>
      <c r="CP46" s="107" t="s">
        <v>59</v>
      </c>
      <c r="CQ46" s="107" t="s">
        <v>73</v>
      </c>
      <c r="CR46" s="108" t="s">
        <v>4</v>
      </c>
      <c r="CS46" s="107" t="s">
        <v>59</v>
      </c>
      <c r="CT46" s="107" t="s">
        <v>73</v>
      </c>
      <c r="CU46" s="108" t="s">
        <v>4</v>
      </c>
      <c r="CV46" s="823"/>
      <c r="CW46" s="825"/>
      <c r="CX46" s="118"/>
      <c r="CY46" s="865"/>
      <c r="CZ46" s="231" t="s">
        <v>59</v>
      </c>
      <c r="DA46" s="231" t="s">
        <v>73</v>
      </c>
      <c r="DB46" s="102" t="s">
        <v>4</v>
      </c>
      <c r="DC46" s="231" t="s">
        <v>59</v>
      </c>
      <c r="DD46" s="231" t="s">
        <v>73</v>
      </c>
      <c r="DE46" s="102" t="s">
        <v>4</v>
      </c>
      <c r="DF46" s="231" t="s">
        <v>59</v>
      </c>
      <c r="DG46" s="231" t="s">
        <v>73</v>
      </c>
      <c r="DH46" s="102" t="s">
        <v>4</v>
      </c>
      <c r="DI46" s="231" t="s">
        <v>59</v>
      </c>
      <c r="DJ46" s="231" t="s">
        <v>73</v>
      </c>
      <c r="DK46" s="102" t="s">
        <v>4</v>
      </c>
      <c r="DL46" s="107" t="s">
        <v>59</v>
      </c>
      <c r="DM46" s="107" t="s">
        <v>73</v>
      </c>
      <c r="DN46" s="108" t="s">
        <v>4</v>
      </c>
      <c r="DO46" s="823"/>
      <c r="DP46" s="825"/>
      <c r="DR46" s="857"/>
      <c r="DS46" s="107" t="s">
        <v>59</v>
      </c>
      <c r="DT46" s="107" t="s">
        <v>73</v>
      </c>
      <c r="DU46" s="108" t="s">
        <v>4</v>
      </c>
      <c r="DV46" s="107" t="s">
        <v>59</v>
      </c>
      <c r="DW46" s="107" t="s">
        <v>73</v>
      </c>
      <c r="DX46" s="108" t="s">
        <v>4</v>
      </c>
      <c r="DY46" s="107" t="s">
        <v>59</v>
      </c>
      <c r="DZ46" s="107" t="s">
        <v>73</v>
      </c>
      <c r="EA46" s="108" t="s">
        <v>4</v>
      </c>
      <c r="EB46" s="107" t="s">
        <v>59</v>
      </c>
      <c r="EC46" s="107" t="s">
        <v>73</v>
      </c>
      <c r="ED46" s="108" t="s">
        <v>4</v>
      </c>
      <c r="EE46" s="107" t="s">
        <v>59</v>
      </c>
      <c r="EF46" s="107" t="s">
        <v>73</v>
      </c>
      <c r="EG46" s="108" t="s">
        <v>4</v>
      </c>
      <c r="EH46" s="823"/>
      <c r="EI46" s="825"/>
      <c r="EK46" s="877"/>
      <c r="EL46" s="107" t="s">
        <v>59</v>
      </c>
      <c r="EM46" s="107" t="s">
        <v>73</v>
      </c>
      <c r="EN46" s="108" t="s">
        <v>4</v>
      </c>
      <c r="EO46" s="107" t="s">
        <v>59</v>
      </c>
      <c r="EP46" s="107" t="s">
        <v>73</v>
      </c>
      <c r="EQ46" s="108" t="s">
        <v>4</v>
      </c>
      <c r="ER46" s="107" t="s">
        <v>59</v>
      </c>
      <c r="ES46" s="107" t="s">
        <v>73</v>
      </c>
      <c r="ET46" s="108" t="s">
        <v>4</v>
      </c>
      <c r="EU46" s="107" t="s">
        <v>59</v>
      </c>
      <c r="EV46" s="107" t="s">
        <v>73</v>
      </c>
      <c r="EW46" s="108" t="s">
        <v>4</v>
      </c>
      <c r="EX46" s="107" t="s">
        <v>59</v>
      </c>
      <c r="EY46" s="107" t="s">
        <v>73</v>
      </c>
      <c r="EZ46" s="108" t="s">
        <v>4</v>
      </c>
      <c r="FA46" s="823"/>
      <c r="FB46" s="825"/>
      <c r="FD46" s="871"/>
      <c r="FE46" s="231" t="s">
        <v>59</v>
      </c>
      <c r="FF46" s="231" t="s">
        <v>73</v>
      </c>
      <c r="FG46" s="102" t="s">
        <v>4</v>
      </c>
      <c r="FH46" s="231" t="s">
        <v>59</v>
      </c>
      <c r="FI46" s="231" t="s">
        <v>73</v>
      </c>
      <c r="FJ46" s="102" t="s">
        <v>4</v>
      </c>
      <c r="FK46" s="231" t="s">
        <v>59</v>
      </c>
      <c r="FL46" s="231" t="s">
        <v>73</v>
      </c>
      <c r="FM46" s="102" t="s">
        <v>4</v>
      </c>
      <c r="FN46" s="107" t="s">
        <v>59</v>
      </c>
      <c r="FO46" s="107" t="s">
        <v>73</v>
      </c>
      <c r="FP46" s="108" t="s">
        <v>4</v>
      </c>
      <c r="FQ46" s="107" t="s">
        <v>59</v>
      </c>
      <c r="FR46" s="107" t="s">
        <v>73</v>
      </c>
      <c r="FS46" s="108" t="s">
        <v>4</v>
      </c>
      <c r="FT46" s="823"/>
      <c r="FU46" s="825"/>
      <c r="FW46" s="846"/>
      <c r="FX46" s="107" t="s">
        <v>59</v>
      </c>
      <c r="FY46" s="107" t="s">
        <v>73</v>
      </c>
      <c r="FZ46" s="108" t="s">
        <v>4</v>
      </c>
      <c r="GA46" s="107" t="s">
        <v>59</v>
      </c>
      <c r="GB46" s="107" t="s">
        <v>73</v>
      </c>
      <c r="GC46" s="108" t="s">
        <v>4</v>
      </c>
      <c r="GD46" s="107" t="s">
        <v>59</v>
      </c>
      <c r="GE46" s="107" t="s">
        <v>73</v>
      </c>
      <c r="GF46" s="108" t="s">
        <v>4</v>
      </c>
      <c r="GG46" s="107" t="s">
        <v>59</v>
      </c>
      <c r="GH46" s="107" t="s">
        <v>73</v>
      </c>
      <c r="GI46" s="108" t="s">
        <v>4</v>
      </c>
      <c r="GJ46" s="107" t="s">
        <v>59</v>
      </c>
      <c r="GK46" s="107" t="s">
        <v>73</v>
      </c>
      <c r="GL46" s="108" t="s">
        <v>4</v>
      </c>
      <c r="GM46" s="107" t="s">
        <v>59</v>
      </c>
      <c r="GN46" s="107" t="s">
        <v>73</v>
      </c>
      <c r="GO46" s="108" t="s">
        <v>4</v>
      </c>
      <c r="GP46" s="823"/>
      <c r="GQ46" s="825"/>
      <c r="GR46" s="118"/>
      <c r="GS46" s="841"/>
      <c r="GT46" s="107" t="s">
        <v>59</v>
      </c>
      <c r="GU46" s="107" t="s">
        <v>73</v>
      </c>
      <c r="GV46" s="108" t="s">
        <v>4</v>
      </c>
      <c r="GW46" s="107" t="s">
        <v>59</v>
      </c>
      <c r="GX46" s="107" t="s">
        <v>73</v>
      </c>
      <c r="GY46" s="108" t="s">
        <v>4</v>
      </c>
      <c r="GZ46" s="107" t="s">
        <v>59</v>
      </c>
      <c r="HA46" s="107" t="s">
        <v>73</v>
      </c>
      <c r="HB46" s="108" t="s">
        <v>4</v>
      </c>
      <c r="HC46" s="107" t="s">
        <v>59</v>
      </c>
      <c r="HD46" s="107" t="s">
        <v>73</v>
      </c>
      <c r="HE46" s="108" t="s">
        <v>4</v>
      </c>
      <c r="HF46" s="107" t="s">
        <v>59</v>
      </c>
      <c r="HG46" s="107" t="s">
        <v>73</v>
      </c>
      <c r="HH46" s="108" t="s">
        <v>4</v>
      </c>
      <c r="HI46" s="107" t="s">
        <v>59</v>
      </c>
      <c r="HJ46" s="107" t="s">
        <v>73</v>
      </c>
      <c r="HK46" s="108" t="s">
        <v>4</v>
      </c>
      <c r="HL46" s="823"/>
      <c r="HM46" s="825"/>
      <c r="HN46" s="118"/>
      <c r="HO46" s="871"/>
      <c r="HP46" s="231" t="s">
        <v>59</v>
      </c>
      <c r="HQ46" s="231" t="s">
        <v>73</v>
      </c>
      <c r="HR46" s="102" t="s">
        <v>4</v>
      </c>
      <c r="HS46" s="231" t="s">
        <v>59</v>
      </c>
      <c r="HT46" s="231" t="s">
        <v>73</v>
      </c>
      <c r="HU46" s="102" t="s">
        <v>4</v>
      </c>
      <c r="HV46" s="231" t="s">
        <v>59</v>
      </c>
      <c r="HW46" s="231" t="s">
        <v>73</v>
      </c>
      <c r="HX46" s="102" t="s">
        <v>4</v>
      </c>
      <c r="HY46" s="107" t="s">
        <v>59</v>
      </c>
      <c r="HZ46" s="107" t="s">
        <v>73</v>
      </c>
      <c r="IA46" s="108" t="s">
        <v>4</v>
      </c>
      <c r="IB46" s="107" t="s">
        <v>59</v>
      </c>
      <c r="IC46" s="107" t="s">
        <v>73</v>
      </c>
      <c r="ID46" s="108" t="s">
        <v>4</v>
      </c>
      <c r="IE46" s="107" t="s">
        <v>59</v>
      </c>
      <c r="IF46" s="107" t="s">
        <v>73</v>
      </c>
      <c r="IG46" s="108" t="s">
        <v>4</v>
      </c>
      <c r="IH46" s="823"/>
      <c r="II46" s="825"/>
      <c r="IK46" s="874"/>
      <c r="IL46" s="231" t="s">
        <v>59</v>
      </c>
      <c r="IM46" s="231" t="s">
        <v>73</v>
      </c>
      <c r="IN46" s="102" t="s">
        <v>4</v>
      </c>
      <c r="IO46" s="231" t="s">
        <v>59</v>
      </c>
      <c r="IP46" s="231" t="s">
        <v>73</v>
      </c>
      <c r="IQ46" s="102" t="s">
        <v>4</v>
      </c>
      <c r="IR46" s="231" t="s">
        <v>59</v>
      </c>
      <c r="IS46" s="231" t="s">
        <v>73</v>
      </c>
      <c r="IT46" s="102" t="s">
        <v>4</v>
      </c>
      <c r="IU46" s="231" t="s">
        <v>59</v>
      </c>
      <c r="IV46" s="231" t="s">
        <v>73</v>
      </c>
      <c r="IW46" s="102" t="s">
        <v>4</v>
      </c>
      <c r="IX46" s="231" t="s">
        <v>59</v>
      </c>
      <c r="IY46" s="231" t="s">
        <v>73</v>
      </c>
      <c r="IZ46" s="102" t="s">
        <v>4</v>
      </c>
      <c r="JA46" s="107" t="s">
        <v>59</v>
      </c>
      <c r="JB46" s="107" t="s">
        <v>73</v>
      </c>
      <c r="JC46" s="108" t="s">
        <v>4</v>
      </c>
      <c r="JD46" s="948">
        <v>57</v>
      </c>
      <c r="JE46" s="823"/>
      <c r="JF46" s="825"/>
    </row>
    <row r="47" spans="8:294" ht="15">
      <c r="X47" s="230" cm="1">
        <f t="array" ref="X47">INDEX(Y:Y, (ROW()-ROW(X$40)+1)*3)</f>
        <v>94.3</v>
      </c>
      <c r="Y47" s="113" cm="1">
        <f t="array" ref="Y47">INDEX(H:H, (ROW()-ROW(Y$40)+1)*3)</f>
        <v>45685</v>
      </c>
      <c r="AA47" s="842"/>
      <c r="AB47" s="229">
        <v>1</v>
      </c>
      <c r="AC47" s="229">
        <v>60</v>
      </c>
      <c r="AD47" s="229">
        <f>AR45</f>
        <v>92.7</v>
      </c>
      <c r="AE47" s="233"/>
      <c r="AF47" s="233"/>
      <c r="AG47" s="233"/>
      <c r="AH47" s="233"/>
      <c r="AI47" s="233"/>
      <c r="AJ47" s="233"/>
      <c r="AK47" s="233"/>
      <c r="AL47" s="233"/>
      <c r="AM47" s="233"/>
      <c r="AN47" s="233"/>
      <c r="AO47" s="233"/>
      <c r="AP47" s="233"/>
      <c r="AQ47" s="229">
        <f t="shared" ref="AQ47" si="162">(AB47*AC47*AD47)+(AE47*AF47*AG47)+(AH47*AI47*AJ47)+(AK47*AL47*AM47)+(AN47*AO47*AP47)</f>
        <v>5562</v>
      </c>
      <c r="AR47" s="826"/>
      <c r="AT47" s="842"/>
      <c r="AU47" s="229">
        <v>1</v>
      </c>
      <c r="AV47" s="229">
        <v>30</v>
      </c>
      <c r="AW47" s="229">
        <f>BK45</f>
        <v>90</v>
      </c>
      <c r="AX47" s="233"/>
      <c r="AY47" s="233"/>
      <c r="AZ47" s="233"/>
      <c r="BA47" s="233"/>
      <c r="BB47" s="233"/>
      <c r="BC47" s="233"/>
      <c r="BD47" s="233"/>
      <c r="BE47" s="233"/>
      <c r="BF47" s="233"/>
      <c r="BG47" s="233"/>
      <c r="BH47" s="233"/>
      <c r="BI47" s="233"/>
      <c r="BJ47" s="229">
        <f t="shared" ref="BJ47" si="163">(AU47*AV47*AW47)+(AX47*AY47*AZ47)+(BA47*BB47*BC47)+(BD47*BE47*BF47)+(BG47*BH47*BI47)</f>
        <v>2700</v>
      </c>
      <c r="BK47" s="826"/>
      <c r="BL47" s="118"/>
      <c r="BM47" s="858"/>
      <c r="BN47" s="229">
        <v>1</v>
      </c>
      <c r="BO47" s="229">
        <v>30</v>
      </c>
      <c r="BP47" s="229">
        <f>CD45</f>
        <v>86.3</v>
      </c>
      <c r="BQ47" s="233"/>
      <c r="BR47" s="233"/>
      <c r="BS47" s="233"/>
      <c r="BT47" s="233"/>
      <c r="BU47" s="233"/>
      <c r="BV47" s="233"/>
      <c r="BW47" s="233"/>
      <c r="BX47" s="233"/>
      <c r="BY47" s="233"/>
      <c r="BZ47" s="233"/>
      <c r="CA47" s="233"/>
      <c r="CB47" s="233"/>
      <c r="CC47" s="229">
        <f t="shared" ref="CC47" si="164">(BN47*BO47*BP47)+(BQ47*BR47*BS47)+(BT47*BU47*BV47)+(BW47*BX47*BY47)+(BZ47*CA47*CB47)</f>
        <v>2589</v>
      </c>
      <c r="CD47" s="826"/>
      <c r="CF47" s="875"/>
      <c r="CG47" s="233"/>
      <c r="CH47" s="233"/>
      <c r="CI47" s="233"/>
      <c r="CJ47" s="233"/>
      <c r="CK47" s="233"/>
      <c r="CL47" s="233"/>
      <c r="CM47" s="233"/>
      <c r="CN47" s="233"/>
      <c r="CO47" s="233"/>
      <c r="CP47" s="233"/>
      <c r="CQ47" s="233"/>
      <c r="CR47" s="233"/>
      <c r="CS47" s="233"/>
      <c r="CT47" s="233"/>
      <c r="CU47" s="233"/>
      <c r="CV47" s="229">
        <f t="shared" ref="CV47" si="165">(CG47*CH47*CI47)+(CJ47*CK47*CL47)+(CM47*CN47*CO47)+(CP47*CQ47*CR47)+(CS47*CT47*CU47)</f>
        <v>0</v>
      </c>
      <c r="CW47" s="826"/>
      <c r="CX47" s="118"/>
      <c r="CY47" s="866"/>
      <c r="CZ47" s="229">
        <v>4</v>
      </c>
      <c r="DA47" s="229">
        <v>8</v>
      </c>
      <c r="DB47" s="229">
        <v>22.5</v>
      </c>
      <c r="DC47" s="229">
        <v>4</v>
      </c>
      <c r="DD47" s="229">
        <v>5</v>
      </c>
      <c r="DE47" s="126">
        <v>11.3</v>
      </c>
      <c r="DF47" s="229">
        <v>4</v>
      </c>
      <c r="DG47" s="229">
        <v>8</v>
      </c>
      <c r="DH47" s="229">
        <v>17.5</v>
      </c>
      <c r="DI47" s="229">
        <v>4</v>
      </c>
      <c r="DJ47" s="229">
        <f>((8*3)+(10*1))/4</f>
        <v>8.5</v>
      </c>
      <c r="DK47" s="229">
        <f>((5*1)+(10*1)+(7.5*2))/4</f>
        <v>7.5</v>
      </c>
      <c r="DL47" s="233"/>
      <c r="DM47" s="233"/>
      <c r="DN47" s="233"/>
      <c r="DO47" s="229">
        <f t="shared" ref="DO47" si="166">(CZ47*DA47*DB47)+(DC47*DD47*DE47)+(DF47*DG47*DH47)+(DI47*DJ47*DK47)+(DL47*DM47*DN47)</f>
        <v>1761</v>
      </c>
      <c r="DP47" s="826"/>
      <c r="DR47" s="858"/>
      <c r="DS47" s="233"/>
      <c r="DT47" s="233"/>
      <c r="DU47" s="233"/>
      <c r="DV47" s="233"/>
      <c r="DW47" s="233"/>
      <c r="DX47" s="233"/>
      <c r="DY47" s="233"/>
      <c r="DZ47" s="233"/>
      <c r="EA47" s="233"/>
      <c r="EB47" s="233"/>
      <c r="EC47" s="233"/>
      <c r="ED47" s="233"/>
      <c r="EE47" s="233"/>
      <c r="EF47" s="233"/>
      <c r="EG47" s="233"/>
      <c r="EH47" s="229">
        <f t="shared" ref="EH47" si="167">(DS47*DT47*DU47)+(DV47*DW47*DX47)+(DY47*DZ47*EA47)+(EB47*EC47*ED47)+(EE47*EF47*EG47)</f>
        <v>0</v>
      </c>
      <c r="EI47" s="826"/>
      <c r="EK47" s="878"/>
      <c r="EL47" s="233"/>
      <c r="EM47" s="233"/>
      <c r="EN47" s="233"/>
      <c r="EO47" s="233"/>
      <c r="EP47" s="233"/>
      <c r="EQ47" s="233"/>
      <c r="ER47" s="233"/>
      <c r="ES47" s="233"/>
      <c r="ET47" s="233"/>
      <c r="EU47" s="233"/>
      <c r="EV47" s="233"/>
      <c r="EW47" s="233"/>
      <c r="EX47" s="233"/>
      <c r="EY47" s="233"/>
      <c r="EZ47" s="233"/>
      <c r="FA47" s="229">
        <f t="shared" ref="FA47" si="168">(EL47*EM47*EN47)+(EO47*EP47*EQ47)+(ER47*ES47*ET47)+(EU47*EV47*EW47)+(EX47*EY47*EZ47)</f>
        <v>0</v>
      </c>
      <c r="FB47" s="826"/>
      <c r="FD47" s="872"/>
      <c r="FE47" s="229">
        <v>3</v>
      </c>
      <c r="FF47" s="229">
        <v>8</v>
      </c>
      <c r="FG47" s="229">
        <v>15</v>
      </c>
      <c r="FH47" s="229">
        <v>3</v>
      </c>
      <c r="FI47" s="229">
        <v>24</v>
      </c>
      <c r="FJ47" s="229">
        <f>(1/3)*FU45</f>
        <v>26.43333333333333</v>
      </c>
      <c r="FK47" s="229">
        <v>3</v>
      </c>
      <c r="FL47" s="229">
        <v>8</v>
      </c>
      <c r="FM47" s="229">
        <v>15</v>
      </c>
      <c r="FN47" s="233"/>
      <c r="FO47" s="233"/>
      <c r="FP47" s="233"/>
      <c r="FQ47" s="233"/>
      <c r="FR47" s="233"/>
      <c r="FS47" s="233"/>
      <c r="FT47" s="229">
        <f t="shared" ref="FT47" si="169">(FE47*FF47*FG47)+(FH47*FI47*FJ47)+(FK47*FL47*FM47)+(FN47*FO47*FP47)+(FQ47*FR47*FS47)</f>
        <v>2623.2</v>
      </c>
      <c r="FU47" s="826"/>
      <c r="FW47" s="847"/>
      <c r="FX47" s="233"/>
      <c r="FY47" s="233"/>
      <c r="FZ47" s="233"/>
      <c r="GA47" s="233"/>
      <c r="GB47" s="233"/>
      <c r="GC47" s="233"/>
      <c r="GD47" s="233"/>
      <c r="GE47" s="233"/>
      <c r="GF47" s="233"/>
      <c r="GG47" s="233"/>
      <c r="GH47" s="233"/>
      <c r="GI47" s="233"/>
      <c r="GJ47" s="233"/>
      <c r="GK47" s="233"/>
      <c r="GL47" s="233"/>
      <c r="GM47" s="233"/>
      <c r="GN47" s="233"/>
      <c r="GO47" s="233"/>
      <c r="GP47" s="229">
        <f t="shared" ref="GP47" si="170">(FX47*FY47*FZ47)+(GA47*GB47*GC47)+(GD47*GE47*GF47)+(GG47*GH47*GI47)+(GJ47*GK47*GL47)</f>
        <v>0</v>
      </c>
      <c r="GQ47" s="826"/>
      <c r="GR47" s="118"/>
      <c r="GS47" s="842"/>
      <c r="GT47" s="233"/>
      <c r="GU47" s="233"/>
      <c r="GV47" s="233"/>
      <c r="GW47" s="233"/>
      <c r="GX47" s="233"/>
      <c r="GY47" s="233"/>
      <c r="GZ47" s="233"/>
      <c r="HA47" s="233"/>
      <c r="HB47" s="233"/>
      <c r="HC47" s="233"/>
      <c r="HD47" s="233"/>
      <c r="HE47" s="233"/>
      <c r="HF47" s="233"/>
      <c r="HG47" s="233"/>
      <c r="HH47" s="233"/>
      <c r="HI47" s="233"/>
      <c r="HJ47" s="233"/>
      <c r="HK47" s="233"/>
      <c r="HL47" s="229">
        <f t="shared" ref="HL47" si="171">(GT47*GU47*GV47)+(GW47*GX47*GY47)+(GZ47*HA47*HB47)+(HC47*HD47*HE47)+(HF47*HG47*HH47)</f>
        <v>0</v>
      </c>
      <c r="HM47" s="826"/>
      <c r="HN47" s="118"/>
      <c r="HO47" s="872"/>
      <c r="HP47" s="229">
        <v>3</v>
      </c>
      <c r="HQ47" s="229">
        <f>((8*1)+(10*1)+(12*1))/3</f>
        <v>10</v>
      </c>
      <c r="HR47" s="229">
        <v>63</v>
      </c>
      <c r="HS47" s="229">
        <v>3</v>
      </c>
      <c r="HT47" s="229">
        <f>((8*1)+(10*1)+(12*1))/3</f>
        <v>10</v>
      </c>
      <c r="HU47" s="229">
        <v>20</v>
      </c>
      <c r="HV47" s="229">
        <v>3</v>
      </c>
      <c r="HW47" s="229">
        <f>((8*1)+(12*2))/3</f>
        <v>10.666666666666666</v>
      </c>
      <c r="HX47" s="229">
        <f>((11.3*2)+(13.6*1))/3</f>
        <v>12.066666666666668</v>
      </c>
      <c r="HY47" s="233"/>
      <c r="HZ47" s="233"/>
      <c r="IA47" s="233"/>
      <c r="IB47" s="233"/>
      <c r="IC47" s="233"/>
      <c r="ID47" s="233"/>
      <c r="IE47" s="233"/>
      <c r="IF47" s="233"/>
      <c r="IG47" s="233"/>
      <c r="IH47" s="229">
        <f t="shared" ref="IH47" si="172">(HP47*HQ47*HR47)+(HS47*HT47*HU47)+(HV47*HW47*HX47)+(HY47*HZ47*IA47)+(IB47*IC47*ID47)</f>
        <v>2876.1333333333332</v>
      </c>
      <c r="II47" s="826"/>
      <c r="IK47" s="875"/>
      <c r="IL47" s="229">
        <v>4</v>
      </c>
      <c r="IM47" s="229">
        <f>((12*3)+(8*1))/4</f>
        <v>11</v>
      </c>
      <c r="IN47" s="229">
        <f>((14*1)+(32.4*1)+(45*2))/4</f>
        <v>34.1</v>
      </c>
      <c r="IO47" s="229">
        <v>4</v>
      </c>
      <c r="IP47" s="229">
        <v>12</v>
      </c>
      <c r="IQ47" s="229">
        <f>((9.1*1)+(15.9*3))/4</f>
        <v>14.200000000000001</v>
      </c>
      <c r="IR47" s="229">
        <v>4</v>
      </c>
      <c r="IS47" s="229">
        <f>((12*2)+(8*2))/4</f>
        <v>10</v>
      </c>
      <c r="IT47" s="229">
        <f>((10*1)+(20*2)+(22.5*1))/4</f>
        <v>18.125</v>
      </c>
      <c r="IU47" s="229">
        <v>4</v>
      </c>
      <c r="IV47" s="229">
        <f>((12*2)+(8*2))/4</f>
        <v>10</v>
      </c>
      <c r="IW47" s="229">
        <f>((15.9*1)+(27.2*1)+(29.5*2))/4</f>
        <v>25.524999999999999</v>
      </c>
      <c r="IX47" s="229">
        <v>4</v>
      </c>
      <c r="IY47" s="229">
        <f>((12*1)+(6*1)+(4*1)+(8*1))/4</f>
        <v>7.5</v>
      </c>
      <c r="IZ47" s="229">
        <f>((7.5*1)+(15*1)+(17.5*2))/4</f>
        <v>14.375</v>
      </c>
      <c r="JA47" s="233"/>
      <c r="JB47" s="233"/>
      <c r="JC47" s="233"/>
      <c r="JD47" s="949"/>
      <c r="JE47" s="229">
        <f t="shared" ref="JE47" si="173">(IL47*IM47*IN47)+(IO47*IP47*IQ47)+(IR47*IS47*IT47)+(IU47*IV47*IW47)+(IX47*IY47*IZ47)</f>
        <v>4359.25</v>
      </c>
      <c r="JF47" s="826"/>
    </row>
    <row r="48" spans="8:294" ht="15">
      <c r="X48" s="230" cm="1">
        <f t="array" ref="X48">INDEX(Y:Y, (ROW()-ROW(X$40)+1)*3)</f>
        <v>94.3</v>
      </c>
      <c r="Y48" s="113" cm="1">
        <f t="array" ref="Y48">INDEX(H:H, (ROW()-ROW(Y$40)+1)*3)</f>
        <v>45686</v>
      </c>
      <c r="AA48" s="864">
        <v>45704</v>
      </c>
      <c r="AB48" s="849" t="s">
        <v>72</v>
      </c>
      <c r="AC48" s="849"/>
      <c r="AD48" s="849"/>
      <c r="AE48" s="886" t="s">
        <v>82</v>
      </c>
      <c r="AF48" s="886"/>
      <c r="AG48" s="886"/>
      <c r="AH48" s="848" t="s">
        <v>77</v>
      </c>
      <c r="AI48" s="848"/>
      <c r="AJ48" s="848"/>
      <c r="AK48" s="849" t="s">
        <v>119</v>
      </c>
      <c r="AL48" s="849"/>
      <c r="AM48" s="849"/>
      <c r="AN48" s="882" t="s">
        <v>14</v>
      </c>
      <c r="AO48" s="883"/>
      <c r="AP48" s="884"/>
      <c r="AQ48" s="823">
        <f t="shared" ref="AQ48" si="174">COUNTA(AB48:AP48)</f>
        <v>5</v>
      </c>
      <c r="AR48" s="824">
        <v>91.9</v>
      </c>
      <c r="AT48" s="864">
        <v>45732</v>
      </c>
      <c r="AU48" s="848" t="s">
        <v>77</v>
      </c>
      <c r="AV48" s="848"/>
      <c r="AW48" s="848"/>
      <c r="AX48" s="849" t="s">
        <v>119</v>
      </c>
      <c r="AY48" s="849"/>
      <c r="AZ48" s="849"/>
      <c r="BA48" s="886" t="s">
        <v>82</v>
      </c>
      <c r="BB48" s="886"/>
      <c r="BC48" s="886"/>
      <c r="BD48" s="879" t="s">
        <v>78</v>
      </c>
      <c r="BE48" s="880"/>
      <c r="BF48" s="881"/>
      <c r="BG48" s="890" t="s">
        <v>93</v>
      </c>
      <c r="BH48" s="890"/>
      <c r="BI48" s="890"/>
      <c r="BJ48" s="823">
        <f t="shared" ref="BJ48" si="175">COUNTA(AU48:BI48)</f>
        <v>5</v>
      </c>
      <c r="BK48" s="824">
        <v>90.3</v>
      </c>
      <c r="BL48" s="118"/>
      <c r="BM48" s="845">
        <v>45763</v>
      </c>
      <c r="BN48" s="849" t="s">
        <v>79</v>
      </c>
      <c r="BO48" s="849"/>
      <c r="BP48" s="849"/>
      <c r="BQ48" s="886" t="s">
        <v>80</v>
      </c>
      <c r="BR48" s="886"/>
      <c r="BS48" s="886"/>
      <c r="BT48" s="886" t="s">
        <v>81</v>
      </c>
      <c r="BU48" s="886"/>
      <c r="BV48" s="886"/>
      <c r="BW48" s="882" t="s">
        <v>101</v>
      </c>
      <c r="BX48" s="883"/>
      <c r="BY48" s="884"/>
      <c r="BZ48" s="844"/>
      <c r="CA48" s="844"/>
      <c r="CB48" s="844"/>
      <c r="CC48" s="823">
        <f t="shared" ref="CC48" si="176">COUNTA(BN48:CB48)</f>
        <v>4</v>
      </c>
      <c r="CD48" s="824">
        <v>86.5</v>
      </c>
      <c r="CF48" s="876">
        <v>45793</v>
      </c>
      <c r="CG48" s="849" t="s">
        <v>79</v>
      </c>
      <c r="CH48" s="849"/>
      <c r="CI48" s="849"/>
      <c r="CJ48" s="886" t="s">
        <v>80</v>
      </c>
      <c r="CK48" s="886"/>
      <c r="CL48" s="886"/>
      <c r="CM48" s="886" t="s">
        <v>81</v>
      </c>
      <c r="CN48" s="886"/>
      <c r="CO48" s="886"/>
      <c r="CP48" s="886" t="s">
        <v>82</v>
      </c>
      <c r="CQ48" s="886"/>
      <c r="CR48" s="886"/>
      <c r="CS48" s="849" t="s">
        <v>122</v>
      </c>
      <c r="CT48" s="849"/>
      <c r="CU48" s="849"/>
      <c r="CV48" s="823">
        <f t="shared" ref="CV48" si="177">COUNTA(CG48:CU48)</f>
        <v>5</v>
      </c>
      <c r="CW48" s="824">
        <f>CW45</f>
        <v>85.2</v>
      </c>
      <c r="CX48" s="118"/>
      <c r="CY48" s="870">
        <v>45824</v>
      </c>
      <c r="CZ48" s="859"/>
      <c r="DA48" s="859"/>
      <c r="DB48" s="859"/>
      <c r="DC48" s="859"/>
      <c r="DD48" s="859"/>
      <c r="DE48" s="859"/>
      <c r="DF48" s="844"/>
      <c r="DG48" s="844"/>
      <c r="DH48" s="844"/>
      <c r="DI48" s="844"/>
      <c r="DJ48" s="844"/>
      <c r="DK48" s="844"/>
      <c r="DL48" s="844"/>
      <c r="DM48" s="844"/>
      <c r="DN48" s="844"/>
      <c r="DO48" s="823">
        <f t="shared" ref="DO48" si="178">COUNTA(CZ48:DN48)</f>
        <v>0</v>
      </c>
      <c r="DP48" s="824">
        <f>DP45</f>
        <v>82.6</v>
      </c>
      <c r="DR48" s="845">
        <v>45854</v>
      </c>
      <c r="DS48" s="849" t="s">
        <v>72</v>
      </c>
      <c r="DT48" s="849"/>
      <c r="DU48" s="849"/>
      <c r="DV48" s="848" t="s">
        <v>104</v>
      </c>
      <c r="DW48" s="848"/>
      <c r="DX48" s="848"/>
      <c r="DY48" s="844"/>
      <c r="DZ48" s="844"/>
      <c r="EA48" s="844"/>
      <c r="EB48" s="844"/>
      <c r="EC48" s="844"/>
      <c r="ED48" s="844"/>
      <c r="EE48" s="844"/>
      <c r="EF48" s="844"/>
      <c r="EG48" s="844"/>
      <c r="EH48" s="823">
        <f t="shared" ref="EH48" si="179">COUNTA(DS48:EG48)</f>
        <v>2</v>
      </c>
      <c r="EI48" s="824">
        <v>81.2</v>
      </c>
      <c r="EK48" s="840">
        <v>45885</v>
      </c>
      <c r="EL48" s="849" t="s">
        <v>70</v>
      </c>
      <c r="EM48" s="849"/>
      <c r="EN48" s="849"/>
      <c r="EO48" s="859"/>
      <c r="EP48" s="859"/>
      <c r="EQ48" s="859"/>
      <c r="ER48" s="844"/>
      <c r="ES48" s="844"/>
      <c r="ET48" s="844"/>
      <c r="EU48" s="844"/>
      <c r="EV48" s="844"/>
      <c r="EW48" s="844"/>
      <c r="EX48" s="844"/>
      <c r="EY48" s="844"/>
      <c r="EZ48" s="844"/>
      <c r="FA48" s="823">
        <f t="shared" ref="FA48" si="180">COUNTA(EL48:EZ48)</f>
        <v>1</v>
      </c>
      <c r="FB48" s="824">
        <v>79.8</v>
      </c>
      <c r="FD48" s="856">
        <v>45916</v>
      </c>
      <c r="FE48" s="848" t="s">
        <v>70</v>
      </c>
      <c r="FF48" s="848"/>
      <c r="FG48" s="848"/>
      <c r="FH48" s="859"/>
      <c r="FI48" s="859"/>
      <c r="FJ48" s="859"/>
      <c r="FK48" s="834"/>
      <c r="FL48" s="835"/>
      <c r="FM48" s="836"/>
      <c r="FN48" s="867"/>
      <c r="FO48" s="868"/>
      <c r="FP48" s="869"/>
      <c r="FQ48" s="834"/>
      <c r="FR48" s="835"/>
      <c r="FS48" s="836"/>
      <c r="FT48" s="823">
        <f t="shared" ref="FT48" si="181">COUNTA(FE48:FS48)</f>
        <v>1</v>
      </c>
      <c r="FU48" s="824">
        <v>79.2</v>
      </c>
      <c r="FW48" s="873">
        <v>45946</v>
      </c>
      <c r="FX48" s="849" t="s">
        <v>89</v>
      </c>
      <c r="FY48" s="849"/>
      <c r="FZ48" s="849"/>
      <c r="GA48" s="849" t="s">
        <v>115</v>
      </c>
      <c r="GB48" s="849"/>
      <c r="GC48" s="849"/>
      <c r="GD48" s="849" t="s">
        <v>114</v>
      </c>
      <c r="GE48" s="849"/>
      <c r="GF48" s="849"/>
      <c r="GG48" s="879" t="s">
        <v>78</v>
      </c>
      <c r="GH48" s="880"/>
      <c r="GI48" s="881"/>
      <c r="GJ48" s="844"/>
      <c r="GK48" s="844"/>
      <c r="GL48" s="844"/>
      <c r="GM48" s="844"/>
      <c r="GN48" s="844"/>
      <c r="GO48" s="844"/>
      <c r="GP48" s="823">
        <f>COUNTA(FX48:GO48)</f>
        <v>4</v>
      </c>
      <c r="GQ48" s="824">
        <v>78.8</v>
      </c>
      <c r="GR48" s="118"/>
      <c r="GS48" s="864">
        <v>45977</v>
      </c>
      <c r="GT48" s="879" t="s">
        <v>78</v>
      </c>
      <c r="GU48" s="880"/>
      <c r="GV48" s="881"/>
      <c r="GW48" s="882" t="s">
        <v>85</v>
      </c>
      <c r="GX48" s="883"/>
      <c r="GY48" s="884"/>
      <c r="GZ48" s="849" t="s">
        <v>72</v>
      </c>
      <c r="HA48" s="849"/>
      <c r="HB48" s="849"/>
      <c r="HC48" s="882" t="s">
        <v>123</v>
      </c>
      <c r="HD48" s="883"/>
      <c r="HE48" s="884"/>
      <c r="HF48" s="882" t="s">
        <v>147</v>
      </c>
      <c r="HG48" s="883"/>
      <c r="HH48" s="884"/>
      <c r="HI48" s="834"/>
      <c r="HJ48" s="835"/>
      <c r="HK48" s="836"/>
      <c r="HL48" s="823">
        <f>COUNTA(GT48:HK48)</f>
        <v>5</v>
      </c>
      <c r="HM48" s="824">
        <v>77.5</v>
      </c>
      <c r="HN48" s="118"/>
      <c r="HO48" s="856">
        <v>46007</v>
      </c>
      <c r="HP48" s="879" t="s">
        <v>78</v>
      </c>
      <c r="HQ48" s="880"/>
      <c r="HR48" s="881"/>
      <c r="HS48" s="882" t="s">
        <v>85</v>
      </c>
      <c r="HT48" s="883"/>
      <c r="HU48" s="884"/>
      <c r="HV48" s="882" t="s">
        <v>123</v>
      </c>
      <c r="HW48" s="883"/>
      <c r="HX48" s="884"/>
      <c r="HY48" s="844"/>
      <c r="HZ48" s="844"/>
      <c r="IA48" s="844"/>
      <c r="IB48" s="844"/>
      <c r="IC48" s="844"/>
      <c r="ID48" s="844"/>
      <c r="IE48" s="834"/>
      <c r="IF48" s="835"/>
      <c r="IG48" s="836"/>
      <c r="IH48" s="823">
        <f>COUNTA(HP48:IG48)</f>
        <v>3</v>
      </c>
      <c r="II48" s="824">
        <v>76.599999999999994</v>
      </c>
      <c r="IK48" s="876">
        <v>46038</v>
      </c>
      <c r="IL48" s="848"/>
      <c r="IM48" s="848"/>
      <c r="IN48" s="848"/>
      <c r="IO48" s="848"/>
      <c r="IP48" s="848"/>
      <c r="IQ48" s="848"/>
      <c r="IR48" s="848"/>
      <c r="IS48" s="848"/>
      <c r="IT48" s="848"/>
      <c r="IU48" s="848"/>
      <c r="IV48" s="848"/>
      <c r="IW48" s="848"/>
      <c r="IX48" s="882"/>
      <c r="IY48" s="883"/>
      <c r="IZ48" s="884"/>
      <c r="JA48" s="882"/>
      <c r="JB48" s="883"/>
      <c r="JC48" s="884"/>
      <c r="JD48" s="232" t="s">
        <v>425</v>
      </c>
      <c r="JE48" s="823">
        <f>COUNTA(IL48:JC48)</f>
        <v>0</v>
      </c>
      <c r="JF48" s="824"/>
    </row>
    <row r="49" spans="24:266" ht="15">
      <c r="X49" s="230" cm="1">
        <f t="array" ref="X49">INDEX(Y:Y, (ROW()-ROW(X$40)+1)*3)</f>
        <v>94.5</v>
      </c>
      <c r="Y49" s="113" cm="1">
        <f t="array" ref="Y49">INDEX(H:H, (ROW()-ROW(Y$40)+1)*3)</f>
        <v>45687</v>
      </c>
      <c r="AA49" s="865"/>
      <c r="AB49" s="231" t="s">
        <v>59</v>
      </c>
      <c r="AC49" s="231" t="s">
        <v>73</v>
      </c>
      <c r="AD49" s="102" t="s">
        <v>4</v>
      </c>
      <c r="AE49" s="231" t="s">
        <v>59</v>
      </c>
      <c r="AF49" s="231" t="s">
        <v>73</v>
      </c>
      <c r="AG49" s="102" t="s">
        <v>4</v>
      </c>
      <c r="AH49" s="231" t="s">
        <v>59</v>
      </c>
      <c r="AI49" s="231" t="s">
        <v>73</v>
      </c>
      <c r="AJ49" s="102" t="s">
        <v>4</v>
      </c>
      <c r="AK49" s="231" t="s">
        <v>59</v>
      </c>
      <c r="AL49" s="231" t="s">
        <v>73</v>
      </c>
      <c r="AM49" s="102" t="s">
        <v>4</v>
      </c>
      <c r="AN49" s="231" t="s">
        <v>59</v>
      </c>
      <c r="AO49" s="231" t="s">
        <v>73</v>
      </c>
      <c r="AP49" s="102" t="s">
        <v>4</v>
      </c>
      <c r="AQ49" s="823"/>
      <c r="AR49" s="825"/>
      <c r="AT49" s="865"/>
      <c r="AU49" s="231" t="s">
        <v>59</v>
      </c>
      <c r="AV49" s="231" t="s">
        <v>73</v>
      </c>
      <c r="AW49" s="102" t="s">
        <v>4</v>
      </c>
      <c r="AX49" s="231" t="s">
        <v>59</v>
      </c>
      <c r="AY49" s="231" t="s">
        <v>73</v>
      </c>
      <c r="AZ49" s="102" t="s">
        <v>4</v>
      </c>
      <c r="BA49" s="231" t="s">
        <v>59</v>
      </c>
      <c r="BB49" s="231" t="s">
        <v>73</v>
      </c>
      <c r="BC49" s="102" t="s">
        <v>4</v>
      </c>
      <c r="BD49" s="231" t="s">
        <v>59</v>
      </c>
      <c r="BE49" s="231" t="s">
        <v>73</v>
      </c>
      <c r="BF49" s="102" t="s">
        <v>4</v>
      </c>
      <c r="BG49" s="231" t="s">
        <v>59</v>
      </c>
      <c r="BH49" s="231" t="s">
        <v>73</v>
      </c>
      <c r="BI49" s="102" t="s">
        <v>4</v>
      </c>
      <c r="BJ49" s="823"/>
      <c r="BK49" s="825"/>
      <c r="BL49" s="118"/>
      <c r="BM49" s="846"/>
      <c r="BN49" s="231" t="s">
        <v>59</v>
      </c>
      <c r="BO49" s="231" t="s">
        <v>73</v>
      </c>
      <c r="BP49" s="102" t="s">
        <v>4</v>
      </c>
      <c r="BQ49" s="231" t="s">
        <v>59</v>
      </c>
      <c r="BR49" s="231" t="s">
        <v>73</v>
      </c>
      <c r="BS49" s="102" t="s">
        <v>4</v>
      </c>
      <c r="BT49" s="231" t="s">
        <v>59</v>
      </c>
      <c r="BU49" s="231" t="s">
        <v>73</v>
      </c>
      <c r="BV49" s="102" t="s">
        <v>4</v>
      </c>
      <c r="BW49" s="231" t="s">
        <v>59</v>
      </c>
      <c r="BX49" s="231" t="s">
        <v>73</v>
      </c>
      <c r="BY49" s="102" t="s">
        <v>4</v>
      </c>
      <c r="BZ49" s="107" t="s">
        <v>59</v>
      </c>
      <c r="CA49" s="107" t="s">
        <v>73</v>
      </c>
      <c r="CB49" s="108" t="s">
        <v>4</v>
      </c>
      <c r="CC49" s="823"/>
      <c r="CD49" s="825"/>
      <c r="CF49" s="877"/>
      <c r="CG49" s="231" t="s">
        <v>59</v>
      </c>
      <c r="CH49" s="231" t="s">
        <v>73</v>
      </c>
      <c r="CI49" s="102" t="s">
        <v>4</v>
      </c>
      <c r="CJ49" s="231" t="s">
        <v>59</v>
      </c>
      <c r="CK49" s="231" t="s">
        <v>73</v>
      </c>
      <c r="CL49" s="102" t="s">
        <v>4</v>
      </c>
      <c r="CM49" s="231" t="s">
        <v>59</v>
      </c>
      <c r="CN49" s="231" t="s">
        <v>73</v>
      </c>
      <c r="CO49" s="102" t="s">
        <v>4</v>
      </c>
      <c r="CP49" s="231" t="s">
        <v>59</v>
      </c>
      <c r="CQ49" s="231" t="s">
        <v>73</v>
      </c>
      <c r="CR49" s="102" t="s">
        <v>4</v>
      </c>
      <c r="CS49" s="231" t="s">
        <v>59</v>
      </c>
      <c r="CT49" s="231" t="s">
        <v>73</v>
      </c>
      <c r="CU49" s="102" t="s">
        <v>4</v>
      </c>
      <c r="CV49" s="823"/>
      <c r="CW49" s="825"/>
      <c r="CX49" s="118"/>
      <c r="CY49" s="871"/>
      <c r="CZ49" s="107" t="s">
        <v>59</v>
      </c>
      <c r="DA49" s="107" t="s">
        <v>73</v>
      </c>
      <c r="DB49" s="108" t="s">
        <v>4</v>
      </c>
      <c r="DC49" s="107" t="s">
        <v>59</v>
      </c>
      <c r="DD49" s="107" t="s">
        <v>73</v>
      </c>
      <c r="DE49" s="108" t="s">
        <v>4</v>
      </c>
      <c r="DF49" s="107" t="s">
        <v>59</v>
      </c>
      <c r="DG49" s="107" t="s">
        <v>73</v>
      </c>
      <c r="DH49" s="108" t="s">
        <v>4</v>
      </c>
      <c r="DI49" s="107" t="s">
        <v>59</v>
      </c>
      <c r="DJ49" s="107" t="s">
        <v>73</v>
      </c>
      <c r="DK49" s="108" t="s">
        <v>4</v>
      </c>
      <c r="DL49" s="107" t="s">
        <v>59</v>
      </c>
      <c r="DM49" s="107" t="s">
        <v>73</v>
      </c>
      <c r="DN49" s="108" t="s">
        <v>4</v>
      </c>
      <c r="DO49" s="823"/>
      <c r="DP49" s="825"/>
      <c r="DR49" s="846"/>
      <c r="DS49" s="231" t="s">
        <v>59</v>
      </c>
      <c r="DT49" s="231" t="s">
        <v>73</v>
      </c>
      <c r="DU49" s="102" t="s">
        <v>4</v>
      </c>
      <c r="DV49" s="231" t="s">
        <v>59</v>
      </c>
      <c r="DW49" s="231" t="s">
        <v>73</v>
      </c>
      <c r="DX49" s="102" t="s">
        <v>4</v>
      </c>
      <c r="DY49" s="107" t="s">
        <v>59</v>
      </c>
      <c r="DZ49" s="107" t="s">
        <v>73</v>
      </c>
      <c r="EA49" s="108" t="s">
        <v>4</v>
      </c>
      <c r="EB49" s="107" t="s">
        <v>59</v>
      </c>
      <c r="EC49" s="107" t="s">
        <v>73</v>
      </c>
      <c r="ED49" s="108" t="s">
        <v>4</v>
      </c>
      <c r="EE49" s="107" t="s">
        <v>59</v>
      </c>
      <c r="EF49" s="107" t="s">
        <v>73</v>
      </c>
      <c r="EG49" s="108" t="s">
        <v>4</v>
      </c>
      <c r="EH49" s="823"/>
      <c r="EI49" s="825"/>
      <c r="EK49" s="841"/>
      <c r="EL49" s="231" t="s">
        <v>59</v>
      </c>
      <c r="EM49" s="231" t="s">
        <v>73</v>
      </c>
      <c r="EN49" s="102" t="s">
        <v>4</v>
      </c>
      <c r="EO49" s="107" t="s">
        <v>59</v>
      </c>
      <c r="EP49" s="107" t="s">
        <v>73</v>
      </c>
      <c r="EQ49" s="108" t="s">
        <v>4</v>
      </c>
      <c r="ER49" s="107" t="s">
        <v>59</v>
      </c>
      <c r="ES49" s="107" t="s">
        <v>73</v>
      </c>
      <c r="ET49" s="108" t="s">
        <v>4</v>
      </c>
      <c r="EU49" s="107" t="s">
        <v>59</v>
      </c>
      <c r="EV49" s="107" t="s">
        <v>73</v>
      </c>
      <c r="EW49" s="108" t="s">
        <v>4</v>
      </c>
      <c r="EX49" s="107" t="s">
        <v>59</v>
      </c>
      <c r="EY49" s="107" t="s">
        <v>73</v>
      </c>
      <c r="EZ49" s="108" t="s">
        <v>4</v>
      </c>
      <c r="FA49" s="823"/>
      <c r="FB49" s="825"/>
      <c r="FD49" s="857"/>
      <c r="FE49" s="231" t="s">
        <v>59</v>
      </c>
      <c r="FF49" s="231" t="s">
        <v>73</v>
      </c>
      <c r="FG49" s="102" t="s">
        <v>4</v>
      </c>
      <c r="FH49" s="107" t="s">
        <v>59</v>
      </c>
      <c r="FI49" s="107" t="s">
        <v>73</v>
      </c>
      <c r="FJ49" s="108" t="s">
        <v>4</v>
      </c>
      <c r="FK49" s="107" t="s">
        <v>59</v>
      </c>
      <c r="FL49" s="107" t="s">
        <v>73</v>
      </c>
      <c r="FM49" s="108" t="s">
        <v>4</v>
      </c>
      <c r="FN49" s="107" t="s">
        <v>59</v>
      </c>
      <c r="FO49" s="107" t="s">
        <v>73</v>
      </c>
      <c r="FP49" s="108" t="s">
        <v>4</v>
      </c>
      <c r="FQ49" s="107" t="s">
        <v>59</v>
      </c>
      <c r="FR49" s="107" t="s">
        <v>73</v>
      </c>
      <c r="FS49" s="108" t="s">
        <v>4</v>
      </c>
      <c r="FT49" s="823"/>
      <c r="FU49" s="825"/>
      <c r="FW49" s="874"/>
      <c r="FX49" s="231" t="s">
        <v>59</v>
      </c>
      <c r="FY49" s="231" t="s">
        <v>73</v>
      </c>
      <c r="FZ49" s="102" t="s">
        <v>4</v>
      </c>
      <c r="GA49" s="231" t="s">
        <v>59</v>
      </c>
      <c r="GB49" s="231" t="s">
        <v>73</v>
      </c>
      <c r="GC49" s="102" t="s">
        <v>4</v>
      </c>
      <c r="GD49" s="231" t="s">
        <v>59</v>
      </c>
      <c r="GE49" s="231" t="s">
        <v>73</v>
      </c>
      <c r="GF49" s="102" t="s">
        <v>4</v>
      </c>
      <c r="GG49" s="231" t="s">
        <v>59</v>
      </c>
      <c r="GH49" s="231" t="s">
        <v>73</v>
      </c>
      <c r="GI49" s="102" t="s">
        <v>4</v>
      </c>
      <c r="GJ49" s="107" t="s">
        <v>59</v>
      </c>
      <c r="GK49" s="107" t="s">
        <v>73</v>
      </c>
      <c r="GL49" s="108" t="s">
        <v>4</v>
      </c>
      <c r="GM49" s="107" t="s">
        <v>59</v>
      </c>
      <c r="GN49" s="107" t="s">
        <v>73</v>
      </c>
      <c r="GO49" s="108" t="s">
        <v>4</v>
      </c>
      <c r="GP49" s="823"/>
      <c r="GQ49" s="825"/>
      <c r="GR49" s="118"/>
      <c r="GS49" s="865"/>
      <c r="GT49" s="231" t="s">
        <v>59</v>
      </c>
      <c r="GU49" s="231" t="s">
        <v>73</v>
      </c>
      <c r="GV49" s="102" t="s">
        <v>4</v>
      </c>
      <c r="GW49" s="231" t="s">
        <v>59</v>
      </c>
      <c r="GX49" s="231" t="s">
        <v>73</v>
      </c>
      <c r="GY49" s="102" t="s">
        <v>4</v>
      </c>
      <c r="GZ49" s="231" t="s">
        <v>59</v>
      </c>
      <c r="HA49" s="231" t="s">
        <v>73</v>
      </c>
      <c r="HB49" s="102" t="s">
        <v>4</v>
      </c>
      <c r="HC49" s="231" t="s">
        <v>59</v>
      </c>
      <c r="HD49" s="231" t="s">
        <v>73</v>
      </c>
      <c r="HE49" s="102" t="s">
        <v>4</v>
      </c>
      <c r="HF49" s="231" t="s">
        <v>59</v>
      </c>
      <c r="HG49" s="231" t="s">
        <v>73</v>
      </c>
      <c r="HH49" s="102" t="s">
        <v>4</v>
      </c>
      <c r="HI49" s="107" t="s">
        <v>59</v>
      </c>
      <c r="HJ49" s="107" t="s">
        <v>73</v>
      </c>
      <c r="HK49" s="108" t="s">
        <v>4</v>
      </c>
      <c r="HL49" s="823"/>
      <c r="HM49" s="825"/>
      <c r="HN49" s="118"/>
      <c r="HO49" s="857"/>
      <c r="HP49" s="231" t="s">
        <v>59</v>
      </c>
      <c r="HQ49" s="231" t="s">
        <v>73</v>
      </c>
      <c r="HR49" s="102" t="s">
        <v>4</v>
      </c>
      <c r="HS49" s="231" t="s">
        <v>59</v>
      </c>
      <c r="HT49" s="231" t="s">
        <v>73</v>
      </c>
      <c r="HU49" s="102" t="s">
        <v>4</v>
      </c>
      <c r="HV49" s="231" t="s">
        <v>59</v>
      </c>
      <c r="HW49" s="231" t="s">
        <v>73</v>
      </c>
      <c r="HX49" s="102" t="s">
        <v>4</v>
      </c>
      <c r="HY49" s="107" t="s">
        <v>59</v>
      </c>
      <c r="HZ49" s="107" t="s">
        <v>73</v>
      </c>
      <c r="IA49" s="108" t="s">
        <v>4</v>
      </c>
      <c r="IB49" s="107" t="s">
        <v>59</v>
      </c>
      <c r="IC49" s="107" t="s">
        <v>73</v>
      </c>
      <c r="ID49" s="108" t="s">
        <v>4</v>
      </c>
      <c r="IE49" s="107" t="s">
        <v>59</v>
      </c>
      <c r="IF49" s="107" t="s">
        <v>73</v>
      </c>
      <c r="IG49" s="108" t="s">
        <v>4</v>
      </c>
      <c r="IH49" s="823"/>
      <c r="II49" s="825"/>
      <c r="IK49" s="877"/>
      <c r="IL49" s="231" t="s">
        <v>59</v>
      </c>
      <c r="IM49" s="231" t="s">
        <v>73</v>
      </c>
      <c r="IN49" s="102" t="s">
        <v>4</v>
      </c>
      <c r="IO49" s="231" t="s">
        <v>59</v>
      </c>
      <c r="IP49" s="231" t="s">
        <v>73</v>
      </c>
      <c r="IQ49" s="102" t="s">
        <v>4</v>
      </c>
      <c r="IR49" s="231" t="s">
        <v>59</v>
      </c>
      <c r="IS49" s="231" t="s">
        <v>73</v>
      </c>
      <c r="IT49" s="102" t="s">
        <v>4</v>
      </c>
      <c r="IU49" s="231" t="s">
        <v>59</v>
      </c>
      <c r="IV49" s="231" t="s">
        <v>73</v>
      </c>
      <c r="IW49" s="102" t="s">
        <v>4</v>
      </c>
      <c r="IX49" s="231" t="s">
        <v>59</v>
      </c>
      <c r="IY49" s="231" t="s">
        <v>73</v>
      </c>
      <c r="IZ49" s="102" t="s">
        <v>4</v>
      </c>
      <c r="JA49" s="231" t="s">
        <v>59</v>
      </c>
      <c r="JB49" s="231" t="s">
        <v>73</v>
      </c>
      <c r="JC49" s="102" t="s">
        <v>4</v>
      </c>
      <c r="JD49" s="948"/>
      <c r="JE49" s="823"/>
      <c r="JF49" s="825"/>
    </row>
    <row r="50" spans="24:266" ht="15">
      <c r="X50" s="230" cm="1">
        <f t="array" ref="X50">INDEX(Y:Y, (ROW()-ROW(X$40)+1)*3)</f>
        <v>94.6</v>
      </c>
      <c r="Y50" s="113" cm="1">
        <f t="array" ref="Y50">INDEX(H:H, (ROW()-ROW(Y$40)+1)*3)</f>
        <v>45688</v>
      </c>
      <c r="AA50" s="866"/>
      <c r="AB50" s="229">
        <v>4</v>
      </c>
      <c r="AC50" s="229">
        <v>8</v>
      </c>
      <c r="AD50" s="229">
        <v>59</v>
      </c>
      <c r="AE50" s="229">
        <v>4</v>
      </c>
      <c r="AF50" s="229">
        <v>8</v>
      </c>
      <c r="AG50" s="229">
        <v>29.5</v>
      </c>
      <c r="AH50" s="229">
        <v>4</v>
      </c>
      <c r="AI50" s="229">
        <v>8</v>
      </c>
      <c r="AJ50" s="229">
        <v>22.5</v>
      </c>
      <c r="AK50" s="229">
        <v>4</v>
      </c>
      <c r="AL50" s="229">
        <v>8</v>
      </c>
      <c r="AM50" s="229">
        <v>22.5</v>
      </c>
      <c r="AN50" s="229">
        <v>2</v>
      </c>
      <c r="AO50" s="229">
        <v>4</v>
      </c>
      <c r="AP50" s="229">
        <f>((15*1)+(17.5*3))/4</f>
        <v>16.875</v>
      </c>
      <c r="AQ50" s="229">
        <f t="shared" ref="AQ50" si="182">(AB50*AC50*AD50)+(AE50*AF50*AG50)+(AH50*AI50*AJ50)+(AK50*AL50*AM50)+(AN50*AO50*AP50)</f>
        <v>4407</v>
      </c>
      <c r="AR50" s="826"/>
      <c r="AT50" s="866"/>
      <c r="AU50" s="229">
        <v>4</v>
      </c>
      <c r="AV50" s="229">
        <v>8</v>
      </c>
      <c r="AW50" s="229">
        <v>25</v>
      </c>
      <c r="AX50" s="229">
        <v>4</v>
      </c>
      <c r="AY50" s="229">
        <f>((8*3)+(10*1))/4</f>
        <v>8.5</v>
      </c>
      <c r="AZ50" s="229">
        <v>22.5</v>
      </c>
      <c r="BA50" s="229">
        <v>4</v>
      </c>
      <c r="BB50" s="229">
        <v>8</v>
      </c>
      <c r="BC50" s="229">
        <v>31.8</v>
      </c>
      <c r="BD50" s="229">
        <v>4</v>
      </c>
      <c r="BE50" s="229">
        <v>5</v>
      </c>
      <c r="BF50" s="229">
        <v>17.5</v>
      </c>
      <c r="BG50" s="229">
        <v>4</v>
      </c>
      <c r="BH50" s="229">
        <v>8</v>
      </c>
      <c r="BI50" s="229">
        <v>20</v>
      </c>
      <c r="BJ50" s="229">
        <f t="shared" ref="BJ50" si="183">(AU50*AV50*AW50)+(AX50*AY50*AZ50)+(BA50*BB50*BC50)+(BD50*BE50*BF50)+(BG50*BH50*BI50)</f>
        <v>3572.6</v>
      </c>
      <c r="BK50" s="826"/>
      <c r="BL50" s="118"/>
      <c r="BM50" s="847"/>
      <c r="BN50" s="229">
        <v>4</v>
      </c>
      <c r="BO50" s="229">
        <v>8</v>
      </c>
      <c r="BP50" s="229">
        <v>15</v>
      </c>
      <c r="BQ50" s="229">
        <v>4</v>
      </c>
      <c r="BR50" s="126">
        <f>((8*3)+(10*1))/4</f>
        <v>8.5</v>
      </c>
      <c r="BS50" s="229">
        <v>17.5</v>
      </c>
      <c r="BT50" s="229">
        <v>4</v>
      </c>
      <c r="BU50" s="229">
        <v>10</v>
      </c>
      <c r="BV50" s="229">
        <v>5</v>
      </c>
      <c r="BW50" s="229">
        <v>4</v>
      </c>
      <c r="BX50" s="126">
        <v>10</v>
      </c>
      <c r="BY50" s="229">
        <f>55*$FU$3</f>
        <v>4378</v>
      </c>
      <c r="BZ50" s="233"/>
      <c r="CA50" s="233"/>
      <c r="CB50" s="233"/>
      <c r="CC50" s="229">
        <f t="shared" ref="CC50" si="184">(BN50*BO50*BP50)+(BQ50*BR50*BS50)+(BT50*BU50*BV50)+(BW50*BX50*BY50)+(BZ50*CA50*CB50)</f>
        <v>176395</v>
      </c>
      <c r="CD50" s="826"/>
      <c r="CF50" s="878"/>
      <c r="CG50" s="229">
        <v>4</v>
      </c>
      <c r="CH50" s="229">
        <v>10</v>
      </c>
      <c r="CI50" s="229">
        <v>12.5</v>
      </c>
      <c r="CJ50" s="229">
        <v>4</v>
      </c>
      <c r="CK50" s="229">
        <v>10</v>
      </c>
      <c r="CL50" s="229">
        <v>17.5</v>
      </c>
      <c r="CM50" s="229">
        <v>4</v>
      </c>
      <c r="CN50" s="126">
        <v>12</v>
      </c>
      <c r="CO50" s="229">
        <v>5</v>
      </c>
      <c r="CP50" s="229">
        <v>4</v>
      </c>
      <c r="CQ50" s="229">
        <v>10</v>
      </c>
      <c r="CR50" s="229">
        <v>27.2</v>
      </c>
      <c r="CS50" s="229">
        <v>1</v>
      </c>
      <c r="CT50" s="229">
        <v>40</v>
      </c>
      <c r="CU50" s="229">
        <f>CW48+5</f>
        <v>90.2</v>
      </c>
      <c r="CV50" s="229">
        <f t="shared" ref="CV50" si="185">(CG50*CH50*CI50)+(CJ50*CK50*CL50)+(CM50*CN50*CO50)+(CP50*CQ50*CR50)+(CS50*CT50*CU50)</f>
        <v>6136</v>
      </c>
      <c r="CW50" s="826"/>
      <c r="CX50" s="118"/>
      <c r="CY50" s="872"/>
      <c r="CZ50" s="233"/>
      <c r="DA50" s="233"/>
      <c r="DB50" s="233"/>
      <c r="DC50" s="233"/>
      <c r="DD50" s="233"/>
      <c r="DE50" s="233"/>
      <c r="DF50" s="233"/>
      <c r="DG50" s="233"/>
      <c r="DH50" s="233"/>
      <c r="DI50" s="233"/>
      <c r="DJ50" s="233"/>
      <c r="DK50" s="233"/>
      <c r="DL50" s="233"/>
      <c r="DM50" s="233"/>
      <c r="DN50" s="233"/>
      <c r="DO50" s="229">
        <f t="shared" ref="DO50" si="186">(CZ50*DA50*DB50)+(DC50*DD50*DE50)+(DF50*DG50*DH50)+(DI50*DJ50*DK50)+(DL50*DM50*DN50)</f>
        <v>0</v>
      </c>
      <c r="DP50" s="826"/>
      <c r="DR50" s="847"/>
      <c r="DS50" s="229">
        <v>3</v>
      </c>
      <c r="DT50" s="229">
        <v>10</v>
      </c>
      <c r="DU50" s="229">
        <v>50</v>
      </c>
      <c r="DV50" s="229">
        <v>3</v>
      </c>
      <c r="DW50" s="126">
        <v>12</v>
      </c>
      <c r="DX50" s="229">
        <v>12.5</v>
      </c>
      <c r="DY50" s="233"/>
      <c r="DZ50" s="233"/>
      <c r="EA50" s="233"/>
      <c r="EB50" s="233"/>
      <c r="EC50" s="233"/>
      <c r="ED50" s="233"/>
      <c r="EE50" s="233"/>
      <c r="EF50" s="233"/>
      <c r="EG50" s="233"/>
      <c r="EH50" s="229">
        <f t="shared" ref="EH50" si="187">(DS50*DT50*DU50)+(DV50*DW50*DX50)+(DY50*DZ50*EA50)+(EB50*EC50*ED50)+(EE50*EF50*EG50)</f>
        <v>1950</v>
      </c>
      <c r="EI50" s="826"/>
      <c r="EK50" s="842"/>
      <c r="EL50" s="229">
        <v>1</v>
      </c>
      <c r="EM50" s="126">
        <v>60</v>
      </c>
      <c r="EN50" s="229">
        <f>FB48</f>
        <v>79.8</v>
      </c>
      <c r="EO50" s="233"/>
      <c r="EP50" s="233"/>
      <c r="EQ50" s="233"/>
      <c r="ER50" s="233"/>
      <c r="ES50" s="233"/>
      <c r="ET50" s="233"/>
      <c r="EU50" s="233"/>
      <c r="EV50" s="233"/>
      <c r="EW50" s="233"/>
      <c r="EX50" s="233"/>
      <c r="EY50" s="233"/>
      <c r="EZ50" s="233"/>
      <c r="FA50" s="229">
        <f t="shared" ref="FA50" si="188">(EL50*EM50*EN50)+(EO50*EP50*EQ50)+(ER50*ES50*ET50)+(EU50*EV50*EW50)+(EX50*EY50*EZ50)</f>
        <v>4788</v>
      </c>
      <c r="FB50" s="826"/>
      <c r="FD50" s="858"/>
      <c r="FE50" s="229">
        <v>1</v>
      </c>
      <c r="FF50" s="229">
        <v>30</v>
      </c>
      <c r="FG50" s="229">
        <f>FU48</f>
        <v>79.2</v>
      </c>
      <c r="FH50" s="233"/>
      <c r="FI50" s="233"/>
      <c r="FJ50" s="233"/>
      <c r="FK50" s="233"/>
      <c r="FL50" s="233"/>
      <c r="FM50" s="233"/>
      <c r="FN50" s="233"/>
      <c r="FO50" s="233"/>
      <c r="FP50" s="233"/>
      <c r="FQ50" s="233"/>
      <c r="FR50" s="233"/>
      <c r="FS50" s="233"/>
      <c r="FT50" s="229">
        <f t="shared" ref="FT50" si="189">(FE50*FF50*FG50)+(FH50*FI50*FJ50)+(FK50*FL50*FM50)+(FN50*FO50*FP50)+(FQ50*FR50*FS50)</f>
        <v>2376</v>
      </c>
      <c r="FU50" s="826"/>
      <c r="FW50" s="875"/>
      <c r="FX50" s="229">
        <v>3</v>
      </c>
      <c r="FY50" s="229">
        <f>((12*1)+(8*3))/4</f>
        <v>9</v>
      </c>
      <c r="FZ50" s="229">
        <f>((36*1)+(63*3))/4</f>
        <v>56.25</v>
      </c>
      <c r="GA50" s="229">
        <v>3</v>
      </c>
      <c r="GB50" s="229">
        <v>12</v>
      </c>
      <c r="GC50" s="229">
        <v>22.7</v>
      </c>
      <c r="GD50" s="229">
        <v>3</v>
      </c>
      <c r="GE50" s="229">
        <v>8</v>
      </c>
      <c r="GF50" s="229">
        <v>7.5</v>
      </c>
      <c r="GG50" s="229">
        <v>2</v>
      </c>
      <c r="GH50" s="229">
        <v>10</v>
      </c>
      <c r="GI50" s="229">
        <v>15</v>
      </c>
      <c r="GJ50" s="233"/>
      <c r="GK50" s="233"/>
      <c r="GL50" s="233"/>
      <c r="GM50" s="233"/>
      <c r="GN50" s="233"/>
      <c r="GO50" s="233"/>
      <c r="GP50" s="229">
        <f>(FX50*FY50*FZ50)+(GA50*GB50*GC50)+(GD50*GE50*GF50)+(GG50*GH50*GI50)+(GJ50*GK50*GL50)+(GM50*GN50*GO50)</f>
        <v>2815.95</v>
      </c>
      <c r="GQ50" s="826"/>
      <c r="GR50" s="118"/>
      <c r="GS50" s="866"/>
      <c r="GT50" s="229">
        <v>3</v>
      </c>
      <c r="GU50" s="229">
        <v>8</v>
      </c>
      <c r="GV50" s="229">
        <v>20</v>
      </c>
      <c r="GW50" s="229">
        <v>3</v>
      </c>
      <c r="GX50" s="126">
        <v>38</v>
      </c>
      <c r="GY50" s="229">
        <f>HM48*(1/3)</f>
        <v>25.833333333333332</v>
      </c>
      <c r="GZ50" s="229">
        <v>4</v>
      </c>
      <c r="HA50" s="126">
        <v>12</v>
      </c>
      <c r="HB50" s="229">
        <v>54</v>
      </c>
      <c r="HC50" s="229">
        <v>3</v>
      </c>
      <c r="HD50" s="229">
        <f>((12*1)+(10*2))/3</f>
        <v>10.666666666666666</v>
      </c>
      <c r="HE50" s="126">
        <f>((18.1*1)+(20.4*2))/3</f>
        <v>19.633333333333333</v>
      </c>
      <c r="HF50" s="229">
        <v>3</v>
      </c>
      <c r="HG50" s="229">
        <v>2</v>
      </c>
      <c r="HH50" s="229">
        <f>HM$48</f>
        <v>77.5</v>
      </c>
      <c r="HI50" s="233"/>
      <c r="HJ50" s="233"/>
      <c r="HK50" s="233"/>
      <c r="HL50" s="229">
        <f>(GT50*GU50*GV50)+(GW50*GX50*GY50)+(GZ50*HA50*HB50)+(HC50*HD50*HE50)+(HF50*HG50*HH50)+(HI50*HJ50*HK50)</f>
        <v>7110.2666666666664</v>
      </c>
      <c r="HM50" s="826"/>
      <c r="HN50" s="118"/>
      <c r="HO50" s="858"/>
      <c r="HP50" s="229">
        <v>3</v>
      </c>
      <c r="HQ50" s="229">
        <f>((14*2)+(8*1))/3</f>
        <v>12</v>
      </c>
      <c r="HR50" s="229">
        <f>((17.5*2)+(20*1))/3</f>
        <v>18.333333333333332</v>
      </c>
      <c r="HS50" s="229">
        <v>3</v>
      </c>
      <c r="HT50" s="229">
        <f>((30*1)+(32*1)+(34*1))/3</f>
        <v>32</v>
      </c>
      <c r="HU50" s="229">
        <f>II48*(1.2/3)</f>
        <v>30.639999999999993</v>
      </c>
      <c r="HV50" s="229">
        <v>2</v>
      </c>
      <c r="HW50" s="229">
        <f>((12*2)+(8*1))/3</f>
        <v>10.666666666666666</v>
      </c>
      <c r="HX50" s="229">
        <f>((22.7*2)+(24.9*1))/3</f>
        <v>23.433333333333334</v>
      </c>
      <c r="HY50" s="233"/>
      <c r="HZ50" s="233"/>
      <c r="IA50" s="233"/>
      <c r="IB50" s="233"/>
      <c r="IC50" s="233"/>
      <c r="ID50" s="233"/>
      <c r="IE50" s="233"/>
      <c r="IF50" s="233"/>
      <c r="IG50" s="233"/>
      <c r="IH50" s="229">
        <f>(HP50*HQ50*HR50)+(HS50*HT50*HU50)+(HV50*HW50*HX50)+(HY50*HZ50*IA50)+(IB50*IC50*ID50)+(IE50*IF50*IG50)</f>
        <v>4101.3511111111111</v>
      </c>
      <c r="II50" s="826"/>
      <c r="IK50" s="878"/>
      <c r="IL50" s="229"/>
      <c r="IM50" s="229"/>
      <c r="IN50" s="229"/>
      <c r="IO50" s="229"/>
      <c r="IP50" s="229"/>
      <c r="IQ50" s="229"/>
      <c r="IR50" s="229"/>
      <c r="IS50" s="229"/>
      <c r="IT50" s="229"/>
      <c r="IU50" s="229"/>
      <c r="IV50" s="229"/>
      <c r="IW50" s="229"/>
      <c r="IX50" s="229"/>
      <c r="IY50" s="229"/>
      <c r="IZ50" s="229"/>
      <c r="JA50" s="229"/>
      <c r="JB50" s="229"/>
      <c r="JC50" s="229"/>
      <c r="JD50" s="949"/>
      <c r="JE50" s="229">
        <f>(IL50*IM50*IN50)+(IO50*IP50*IQ50)+(IR50*IS50*IT50)+(IU50*IV50*IW50)+(IX50*IY50*IZ50)+(JA50*JB50*JC50)</f>
        <v>0</v>
      </c>
      <c r="JF50" s="826"/>
    </row>
    <row r="51" spans="24:266" ht="15">
      <c r="AA51" s="870">
        <v>45705</v>
      </c>
      <c r="AB51" s="849" t="s">
        <v>72</v>
      </c>
      <c r="AC51" s="849"/>
      <c r="AD51" s="849"/>
      <c r="AE51" s="882" t="s">
        <v>14</v>
      </c>
      <c r="AF51" s="883"/>
      <c r="AG51" s="884"/>
      <c r="AH51" s="848" t="s">
        <v>92</v>
      </c>
      <c r="AI51" s="848"/>
      <c r="AJ51" s="848"/>
      <c r="AK51" s="848" t="s">
        <v>96</v>
      </c>
      <c r="AL51" s="848"/>
      <c r="AM51" s="848"/>
      <c r="AN51" s="844"/>
      <c r="AO51" s="844"/>
      <c r="AP51" s="844"/>
      <c r="AQ51" s="823">
        <f t="shared" ref="AQ51" si="190">COUNTA(AB51:AP51)</f>
        <v>4</v>
      </c>
      <c r="AR51" s="824">
        <v>92.6</v>
      </c>
      <c r="AT51" s="870">
        <v>45733</v>
      </c>
      <c r="AU51" s="890" t="s">
        <v>148</v>
      </c>
      <c r="AV51" s="890"/>
      <c r="AW51" s="890"/>
      <c r="AX51" s="848" t="s">
        <v>101</v>
      </c>
      <c r="AY51" s="848"/>
      <c r="AZ51" s="848"/>
      <c r="BA51" s="882" t="s">
        <v>95</v>
      </c>
      <c r="BB51" s="883"/>
      <c r="BC51" s="884"/>
      <c r="BD51" s="879" t="s">
        <v>78</v>
      </c>
      <c r="BE51" s="880"/>
      <c r="BF51" s="881"/>
      <c r="BG51" s="844"/>
      <c r="BH51" s="844"/>
      <c r="BI51" s="844"/>
      <c r="BJ51" s="823">
        <f t="shared" ref="BJ51" si="191">COUNTA(AU51:BI51)</f>
        <v>4</v>
      </c>
      <c r="BK51" s="824">
        <v>89.5</v>
      </c>
      <c r="BL51" s="118"/>
      <c r="BM51" s="873">
        <v>45764</v>
      </c>
      <c r="BN51" s="849" t="s">
        <v>70</v>
      </c>
      <c r="BO51" s="849"/>
      <c r="BP51" s="849"/>
      <c r="BQ51" s="859"/>
      <c r="BR51" s="859"/>
      <c r="BS51" s="859"/>
      <c r="BT51" s="844"/>
      <c r="BU51" s="844"/>
      <c r="BV51" s="844"/>
      <c r="BW51" s="844"/>
      <c r="BX51" s="844"/>
      <c r="BY51" s="844"/>
      <c r="BZ51" s="844"/>
      <c r="CA51" s="844"/>
      <c r="CB51" s="844"/>
      <c r="CC51" s="823">
        <f t="shared" ref="CC51" si="192">COUNTA(BN51:CB51)</f>
        <v>1</v>
      </c>
      <c r="CD51" s="824">
        <v>87.3</v>
      </c>
      <c r="CF51" s="840">
        <v>45794</v>
      </c>
      <c r="CG51" s="859"/>
      <c r="CH51" s="859"/>
      <c r="CI51" s="859"/>
      <c r="CJ51" s="859"/>
      <c r="CK51" s="859"/>
      <c r="CL51" s="859"/>
      <c r="CM51" s="844"/>
      <c r="CN51" s="844"/>
      <c r="CO51" s="844"/>
      <c r="CP51" s="844"/>
      <c r="CQ51" s="844"/>
      <c r="CR51" s="844"/>
      <c r="CS51" s="844"/>
      <c r="CT51" s="844"/>
      <c r="CU51" s="844"/>
      <c r="CV51" s="823">
        <f t="shared" ref="CV51" si="193">COUNTA(CG51:CU51)</f>
        <v>0</v>
      </c>
      <c r="CW51" s="824">
        <f>CW48</f>
        <v>85.2</v>
      </c>
      <c r="CX51" s="118"/>
      <c r="CY51" s="856">
        <v>45825</v>
      </c>
      <c r="CZ51" s="859"/>
      <c r="DA51" s="859"/>
      <c r="DB51" s="859"/>
      <c r="DC51" s="859"/>
      <c r="DD51" s="859"/>
      <c r="DE51" s="859"/>
      <c r="DF51" s="844"/>
      <c r="DG51" s="844"/>
      <c r="DH51" s="844"/>
      <c r="DI51" s="844"/>
      <c r="DJ51" s="844"/>
      <c r="DK51" s="844"/>
      <c r="DL51" s="844"/>
      <c r="DM51" s="844"/>
      <c r="DN51" s="844"/>
      <c r="DO51" s="823">
        <f t="shared" ref="DO51" si="194">COUNTA(CZ51:DN51)</f>
        <v>0</v>
      </c>
      <c r="DP51" s="824">
        <f>DP48</f>
        <v>82.6</v>
      </c>
      <c r="DR51" s="873">
        <v>45855</v>
      </c>
      <c r="DS51" s="848" t="s">
        <v>102</v>
      </c>
      <c r="DT51" s="848"/>
      <c r="DU51" s="848"/>
      <c r="DV51" s="886" t="s">
        <v>80</v>
      </c>
      <c r="DW51" s="886"/>
      <c r="DX51" s="886"/>
      <c r="DY51" s="886" t="s">
        <v>81</v>
      </c>
      <c r="DZ51" s="886"/>
      <c r="EA51" s="886"/>
      <c r="EB51" s="849" t="s">
        <v>113</v>
      </c>
      <c r="EC51" s="849"/>
      <c r="ED51" s="849"/>
      <c r="EE51" s="844"/>
      <c r="EF51" s="844"/>
      <c r="EG51" s="844"/>
      <c r="EH51" s="823">
        <f t="shared" ref="EH51" si="195">COUNTA(DS51:EG51)</f>
        <v>4</v>
      </c>
      <c r="EI51" s="824">
        <v>82.1</v>
      </c>
      <c r="EK51" s="864">
        <v>45886</v>
      </c>
      <c r="EL51" s="844"/>
      <c r="EM51" s="844"/>
      <c r="EN51" s="844"/>
      <c r="EO51" s="859"/>
      <c r="EP51" s="859"/>
      <c r="EQ51" s="859"/>
      <c r="ER51" s="834"/>
      <c r="ES51" s="835"/>
      <c r="ET51" s="836"/>
      <c r="EU51" s="867"/>
      <c r="EV51" s="868"/>
      <c r="EW51" s="869"/>
      <c r="EX51" s="834"/>
      <c r="EY51" s="835"/>
      <c r="EZ51" s="836"/>
      <c r="FA51" s="823">
        <f t="shared" ref="FA51" si="196">COUNTA(EL51:EZ51)</f>
        <v>0</v>
      </c>
      <c r="FB51" s="824">
        <f>FB48</f>
        <v>79.8</v>
      </c>
      <c r="FD51" s="845">
        <v>45917</v>
      </c>
      <c r="FE51" s="844"/>
      <c r="FF51" s="844"/>
      <c r="FG51" s="844"/>
      <c r="FH51" s="844"/>
      <c r="FI51" s="844"/>
      <c r="FJ51" s="844"/>
      <c r="FK51" s="844"/>
      <c r="FL51" s="844"/>
      <c r="FM51" s="844"/>
      <c r="FN51" s="844"/>
      <c r="FO51" s="844"/>
      <c r="FP51" s="844"/>
      <c r="FQ51" s="844"/>
      <c r="FR51" s="844"/>
      <c r="FS51" s="844"/>
      <c r="FT51" s="823">
        <f t="shared" ref="FT51" si="197">COUNTA(FE51:FS51)</f>
        <v>0</v>
      </c>
      <c r="FU51" s="824">
        <f>FU48</f>
        <v>79.2</v>
      </c>
      <c r="FW51" s="876">
        <v>45947</v>
      </c>
      <c r="FX51" s="890" t="s">
        <v>84</v>
      </c>
      <c r="FY51" s="890"/>
      <c r="FZ51" s="890"/>
      <c r="GA51" s="882" t="s">
        <v>85</v>
      </c>
      <c r="GB51" s="883"/>
      <c r="GC51" s="884"/>
      <c r="GD51" s="879" t="s">
        <v>78</v>
      </c>
      <c r="GE51" s="880"/>
      <c r="GF51" s="881"/>
      <c r="GG51" s="867"/>
      <c r="GH51" s="868"/>
      <c r="GI51" s="869"/>
      <c r="GJ51" s="843"/>
      <c r="GK51" s="843"/>
      <c r="GL51" s="843"/>
      <c r="GM51" s="843"/>
      <c r="GN51" s="843"/>
      <c r="GO51" s="843"/>
      <c r="GP51" s="823">
        <f>COUNTA(FX51:GO51)</f>
        <v>3</v>
      </c>
      <c r="GQ51" s="824">
        <v>78.900000000000006</v>
      </c>
      <c r="GR51" s="118"/>
      <c r="GS51" s="870">
        <v>45978</v>
      </c>
      <c r="GT51" s="848" t="s">
        <v>70</v>
      </c>
      <c r="GU51" s="848"/>
      <c r="GV51" s="848"/>
      <c r="GW51" s="859"/>
      <c r="GX51" s="859"/>
      <c r="GY51" s="859"/>
      <c r="GZ51" s="834"/>
      <c r="HA51" s="835"/>
      <c r="HB51" s="836"/>
      <c r="HC51" s="867"/>
      <c r="HD51" s="868"/>
      <c r="HE51" s="869"/>
      <c r="HF51" s="834"/>
      <c r="HG51" s="835"/>
      <c r="HH51" s="836"/>
      <c r="HI51" s="834"/>
      <c r="HJ51" s="835"/>
      <c r="HK51" s="836"/>
      <c r="HL51" s="823">
        <f>COUNTA(GT51:HK51)</f>
        <v>1</v>
      </c>
      <c r="HM51" s="824">
        <v>77.400000000000006</v>
      </c>
      <c r="HN51" s="118"/>
      <c r="HO51" s="845">
        <v>46008</v>
      </c>
      <c r="HP51" s="848" t="s">
        <v>70</v>
      </c>
      <c r="HQ51" s="848"/>
      <c r="HR51" s="848"/>
      <c r="HS51" s="859"/>
      <c r="HT51" s="859"/>
      <c r="HU51" s="859"/>
      <c r="HV51" s="834"/>
      <c r="HW51" s="835"/>
      <c r="HX51" s="836"/>
      <c r="HY51" s="867"/>
      <c r="HZ51" s="868"/>
      <c r="IA51" s="869"/>
      <c r="IB51" s="834"/>
      <c r="IC51" s="835"/>
      <c r="ID51" s="836"/>
      <c r="IE51" s="834"/>
      <c r="IF51" s="835"/>
      <c r="IG51" s="836"/>
      <c r="IH51" s="823">
        <f>COUNTA(HP51:IG51)</f>
        <v>1</v>
      </c>
      <c r="II51" s="824">
        <v>76.599999999999994</v>
      </c>
      <c r="IK51" s="840">
        <v>46039</v>
      </c>
      <c r="IL51" s="848"/>
      <c r="IM51" s="848"/>
      <c r="IN51" s="848"/>
      <c r="IO51" s="848"/>
      <c r="IP51" s="848"/>
      <c r="IQ51" s="848"/>
      <c r="IR51" s="848"/>
      <c r="IS51" s="848"/>
      <c r="IT51" s="848"/>
      <c r="IU51" s="848"/>
      <c r="IV51" s="848"/>
      <c r="IW51" s="848"/>
      <c r="IX51" s="882"/>
      <c r="IY51" s="883"/>
      <c r="IZ51" s="884"/>
      <c r="JA51" s="882"/>
      <c r="JB51" s="883"/>
      <c r="JC51" s="884"/>
      <c r="JD51" s="232" t="s">
        <v>425</v>
      </c>
      <c r="JE51" s="823">
        <f>COUNTA(IL51:JC51)</f>
        <v>0</v>
      </c>
      <c r="JF51" s="824"/>
    </row>
    <row r="52" spans="24:266" ht="15">
      <c r="AA52" s="871"/>
      <c r="AB52" s="231" t="s">
        <v>59</v>
      </c>
      <c r="AC52" s="231" t="s">
        <v>73</v>
      </c>
      <c r="AD52" s="102" t="s">
        <v>4</v>
      </c>
      <c r="AE52" s="231" t="s">
        <v>59</v>
      </c>
      <c r="AF52" s="231" t="s">
        <v>73</v>
      </c>
      <c r="AG52" s="102" t="s">
        <v>4</v>
      </c>
      <c r="AH52" s="231" t="s">
        <v>59</v>
      </c>
      <c r="AI52" s="231" t="s">
        <v>73</v>
      </c>
      <c r="AJ52" s="102" t="s">
        <v>4</v>
      </c>
      <c r="AK52" s="231" t="s">
        <v>59</v>
      </c>
      <c r="AL52" s="231" t="s">
        <v>73</v>
      </c>
      <c r="AM52" s="102" t="s">
        <v>4</v>
      </c>
      <c r="AN52" s="107" t="s">
        <v>59</v>
      </c>
      <c r="AO52" s="107" t="s">
        <v>73</v>
      </c>
      <c r="AP52" s="108" t="s">
        <v>4</v>
      </c>
      <c r="AQ52" s="823"/>
      <c r="AR52" s="825"/>
      <c r="AT52" s="871"/>
      <c r="AU52" s="231" t="s">
        <v>59</v>
      </c>
      <c r="AV52" s="231" t="s">
        <v>73</v>
      </c>
      <c r="AW52" s="102" t="s">
        <v>4</v>
      </c>
      <c r="AX52" s="231" t="s">
        <v>59</v>
      </c>
      <c r="AY52" s="231" t="s">
        <v>73</v>
      </c>
      <c r="AZ52" s="102" t="s">
        <v>4</v>
      </c>
      <c r="BA52" s="231" t="s">
        <v>59</v>
      </c>
      <c r="BB52" s="231" t="s">
        <v>73</v>
      </c>
      <c r="BC52" s="102" t="s">
        <v>4</v>
      </c>
      <c r="BD52" s="231" t="s">
        <v>59</v>
      </c>
      <c r="BE52" s="231" t="s">
        <v>73</v>
      </c>
      <c r="BF52" s="102" t="s">
        <v>4</v>
      </c>
      <c r="BG52" s="107" t="s">
        <v>59</v>
      </c>
      <c r="BH52" s="107" t="s">
        <v>73</v>
      </c>
      <c r="BI52" s="108" t="s">
        <v>4</v>
      </c>
      <c r="BJ52" s="823"/>
      <c r="BK52" s="825"/>
      <c r="BL52" s="118"/>
      <c r="BM52" s="874"/>
      <c r="BN52" s="231" t="s">
        <v>59</v>
      </c>
      <c r="BO52" s="231" t="s">
        <v>73</v>
      </c>
      <c r="BP52" s="102" t="s">
        <v>4</v>
      </c>
      <c r="BQ52" s="107" t="s">
        <v>59</v>
      </c>
      <c r="BR52" s="107" t="s">
        <v>73</v>
      </c>
      <c r="BS52" s="108" t="s">
        <v>4</v>
      </c>
      <c r="BT52" s="107" t="s">
        <v>59</v>
      </c>
      <c r="BU52" s="107" t="s">
        <v>73</v>
      </c>
      <c r="BV52" s="108" t="s">
        <v>4</v>
      </c>
      <c r="BW52" s="107" t="s">
        <v>59</v>
      </c>
      <c r="BX52" s="107" t="s">
        <v>73</v>
      </c>
      <c r="BY52" s="108" t="s">
        <v>4</v>
      </c>
      <c r="BZ52" s="107" t="s">
        <v>59</v>
      </c>
      <c r="CA52" s="107" t="s">
        <v>73</v>
      </c>
      <c r="CB52" s="108" t="s">
        <v>4</v>
      </c>
      <c r="CC52" s="823"/>
      <c r="CD52" s="825"/>
      <c r="CF52" s="841"/>
      <c r="CG52" s="107" t="s">
        <v>59</v>
      </c>
      <c r="CH52" s="107" t="s">
        <v>73</v>
      </c>
      <c r="CI52" s="108" t="s">
        <v>4</v>
      </c>
      <c r="CJ52" s="107" t="s">
        <v>59</v>
      </c>
      <c r="CK52" s="107" t="s">
        <v>73</v>
      </c>
      <c r="CL52" s="108" t="s">
        <v>4</v>
      </c>
      <c r="CM52" s="107" t="s">
        <v>59</v>
      </c>
      <c r="CN52" s="107" t="s">
        <v>73</v>
      </c>
      <c r="CO52" s="108" t="s">
        <v>4</v>
      </c>
      <c r="CP52" s="107" t="s">
        <v>59</v>
      </c>
      <c r="CQ52" s="107" t="s">
        <v>73</v>
      </c>
      <c r="CR52" s="108" t="s">
        <v>4</v>
      </c>
      <c r="CS52" s="107" t="s">
        <v>59</v>
      </c>
      <c r="CT52" s="107" t="s">
        <v>73</v>
      </c>
      <c r="CU52" s="108" t="s">
        <v>4</v>
      </c>
      <c r="CV52" s="823"/>
      <c r="CW52" s="825"/>
      <c r="CX52" s="118"/>
      <c r="CY52" s="857"/>
      <c r="CZ52" s="107" t="s">
        <v>59</v>
      </c>
      <c r="DA52" s="107" t="s">
        <v>73</v>
      </c>
      <c r="DB52" s="108" t="s">
        <v>4</v>
      </c>
      <c r="DC52" s="107" t="s">
        <v>59</v>
      </c>
      <c r="DD52" s="107" t="s">
        <v>73</v>
      </c>
      <c r="DE52" s="108" t="s">
        <v>4</v>
      </c>
      <c r="DF52" s="107" t="s">
        <v>59</v>
      </c>
      <c r="DG52" s="107" t="s">
        <v>73</v>
      </c>
      <c r="DH52" s="108" t="s">
        <v>4</v>
      </c>
      <c r="DI52" s="107" t="s">
        <v>59</v>
      </c>
      <c r="DJ52" s="107" t="s">
        <v>73</v>
      </c>
      <c r="DK52" s="108" t="s">
        <v>4</v>
      </c>
      <c r="DL52" s="107" t="s">
        <v>59</v>
      </c>
      <c r="DM52" s="107" t="s">
        <v>73</v>
      </c>
      <c r="DN52" s="108" t="s">
        <v>4</v>
      </c>
      <c r="DO52" s="823"/>
      <c r="DP52" s="825"/>
      <c r="DR52" s="874"/>
      <c r="DS52" s="231" t="s">
        <v>59</v>
      </c>
      <c r="DT52" s="231" t="s">
        <v>73</v>
      </c>
      <c r="DU52" s="102" t="s">
        <v>4</v>
      </c>
      <c r="DV52" s="231" t="s">
        <v>59</v>
      </c>
      <c r="DW52" s="231" t="s">
        <v>73</v>
      </c>
      <c r="DX52" s="102" t="s">
        <v>4</v>
      </c>
      <c r="DY52" s="231" t="s">
        <v>59</v>
      </c>
      <c r="DZ52" s="231" t="s">
        <v>73</v>
      </c>
      <c r="EA52" s="102" t="s">
        <v>4</v>
      </c>
      <c r="EB52" s="231" t="s">
        <v>59</v>
      </c>
      <c r="EC52" s="231" t="s">
        <v>73</v>
      </c>
      <c r="ED52" s="102" t="s">
        <v>4</v>
      </c>
      <c r="EE52" s="107" t="s">
        <v>59</v>
      </c>
      <c r="EF52" s="107" t="s">
        <v>73</v>
      </c>
      <c r="EG52" s="108" t="s">
        <v>4</v>
      </c>
      <c r="EH52" s="823"/>
      <c r="EI52" s="825"/>
      <c r="EK52" s="865"/>
      <c r="EL52" s="107" t="s">
        <v>59</v>
      </c>
      <c r="EM52" s="107" t="s">
        <v>73</v>
      </c>
      <c r="EN52" s="108" t="s">
        <v>4</v>
      </c>
      <c r="EO52" s="107" t="s">
        <v>59</v>
      </c>
      <c r="EP52" s="107" t="s">
        <v>73</v>
      </c>
      <c r="EQ52" s="108" t="s">
        <v>4</v>
      </c>
      <c r="ER52" s="107" t="s">
        <v>59</v>
      </c>
      <c r="ES52" s="107" t="s">
        <v>73</v>
      </c>
      <c r="ET52" s="108" t="s">
        <v>4</v>
      </c>
      <c r="EU52" s="107" t="s">
        <v>59</v>
      </c>
      <c r="EV52" s="107" t="s">
        <v>73</v>
      </c>
      <c r="EW52" s="108" t="s">
        <v>4</v>
      </c>
      <c r="EX52" s="107" t="s">
        <v>59</v>
      </c>
      <c r="EY52" s="107" t="s">
        <v>73</v>
      </c>
      <c r="EZ52" s="108" t="s">
        <v>4</v>
      </c>
      <c r="FA52" s="823"/>
      <c r="FB52" s="825"/>
      <c r="FD52" s="846"/>
      <c r="FE52" s="107" t="s">
        <v>59</v>
      </c>
      <c r="FF52" s="107" t="s">
        <v>73</v>
      </c>
      <c r="FG52" s="108" t="s">
        <v>4</v>
      </c>
      <c r="FH52" s="107" t="s">
        <v>59</v>
      </c>
      <c r="FI52" s="107" t="s">
        <v>73</v>
      </c>
      <c r="FJ52" s="108" t="s">
        <v>4</v>
      </c>
      <c r="FK52" s="107" t="s">
        <v>59</v>
      </c>
      <c r="FL52" s="107" t="s">
        <v>73</v>
      </c>
      <c r="FM52" s="108" t="s">
        <v>4</v>
      </c>
      <c r="FN52" s="107" t="s">
        <v>59</v>
      </c>
      <c r="FO52" s="107" t="s">
        <v>73</v>
      </c>
      <c r="FP52" s="108" t="s">
        <v>4</v>
      </c>
      <c r="FQ52" s="107" t="s">
        <v>59</v>
      </c>
      <c r="FR52" s="107" t="s">
        <v>73</v>
      </c>
      <c r="FS52" s="108" t="s">
        <v>4</v>
      </c>
      <c r="FT52" s="823"/>
      <c r="FU52" s="825"/>
      <c r="FW52" s="877"/>
      <c r="FX52" s="231" t="s">
        <v>59</v>
      </c>
      <c r="FY52" s="231" t="s">
        <v>73</v>
      </c>
      <c r="FZ52" s="102" t="s">
        <v>4</v>
      </c>
      <c r="GA52" s="231" t="s">
        <v>59</v>
      </c>
      <c r="GB52" s="231" t="s">
        <v>73</v>
      </c>
      <c r="GC52" s="102" t="s">
        <v>4</v>
      </c>
      <c r="GD52" s="231" t="s">
        <v>59</v>
      </c>
      <c r="GE52" s="231" t="s">
        <v>73</v>
      </c>
      <c r="GF52" s="102" t="s">
        <v>4</v>
      </c>
      <c r="GG52" s="107" t="s">
        <v>59</v>
      </c>
      <c r="GH52" s="107" t="s">
        <v>73</v>
      </c>
      <c r="GI52" s="108" t="s">
        <v>4</v>
      </c>
      <c r="GJ52" s="107" t="s">
        <v>59</v>
      </c>
      <c r="GK52" s="107" t="s">
        <v>73</v>
      </c>
      <c r="GL52" s="108" t="s">
        <v>4</v>
      </c>
      <c r="GM52" s="107" t="s">
        <v>59</v>
      </c>
      <c r="GN52" s="107" t="s">
        <v>73</v>
      </c>
      <c r="GO52" s="108" t="s">
        <v>4</v>
      </c>
      <c r="GP52" s="823"/>
      <c r="GQ52" s="825"/>
      <c r="GR52" s="118"/>
      <c r="GS52" s="871"/>
      <c r="GT52" s="231" t="s">
        <v>59</v>
      </c>
      <c r="GU52" s="231" t="s">
        <v>73</v>
      </c>
      <c r="GV52" s="102" t="s">
        <v>4</v>
      </c>
      <c r="GW52" s="107" t="s">
        <v>59</v>
      </c>
      <c r="GX52" s="107" t="s">
        <v>73</v>
      </c>
      <c r="GY52" s="108" t="s">
        <v>4</v>
      </c>
      <c r="GZ52" s="107" t="s">
        <v>59</v>
      </c>
      <c r="HA52" s="107" t="s">
        <v>73</v>
      </c>
      <c r="HB52" s="108" t="s">
        <v>4</v>
      </c>
      <c r="HC52" s="107" t="s">
        <v>59</v>
      </c>
      <c r="HD52" s="107" t="s">
        <v>73</v>
      </c>
      <c r="HE52" s="108" t="s">
        <v>4</v>
      </c>
      <c r="HF52" s="107" t="s">
        <v>59</v>
      </c>
      <c r="HG52" s="107" t="s">
        <v>73</v>
      </c>
      <c r="HH52" s="108" t="s">
        <v>4</v>
      </c>
      <c r="HI52" s="107" t="s">
        <v>59</v>
      </c>
      <c r="HJ52" s="107" t="s">
        <v>73</v>
      </c>
      <c r="HK52" s="108" t="s">
        <v>4</v>
      </c>
      <c r="HL52" s="823"/>
      <c r="HM52" s="825"/>
      <c r="HN52" s="118"/>
      <c r="HO52" s="846"/>
      <c r="HP52" s="231" t="s">
        <v>59</v>
      </c>
      <c r="HQ52" s="231" t="s">
        <v>73</v>
      </c>
      <c r="HR52" s="102" t="s">
        <v>4</v>
      </c>
      <c r="HS52" s="107" t="s">
        <v>59</v>
      </c>
      <c r="HT52" s="107" t="s">
        <v>73</v>
      </c>
      <c r="HU52" s="108" t="s">
        <v>4</v>
      </c>
      <c r="HV52" s="107" t="s">
        <v>59</v>
      </c>
      <c r="HW52" s="107" t="s">
        <v>73</v>
      </c>
      <c r="HX52" s="108" t="s">
        <v>4</v>
      </c>
      <c r="HY52" s="107" t="s">
        <v>59</v>
      </c>
      <c r="HZ52" s="107" t="s">
        <v>73</v>
      </c>
      <c r="IA52" s="108" t="s">
        <v>4</v>
      </c>
      <c r="IB52" s="107" t="s">
        <v>59</v>
      </c>
      <c r="IC52" s="107" t="s">
        <v>73</v>
      </c>
      <c r="ID52" s="108" t="s">
        <v>4</v>
      </c>
      <c r="IE52" s="107" t="s">
        <v>59</v>
      </c>
      <c r="IF52" s="107" t="s">
        <v>73</v>
      </c>
      <c r="IG52" s="108" t="s">
        <v>4</v>
      </c>
      <c r="IH52" s="823"/>
      <c r="II52" s="825"/>
      <c r="IK52" s="841"/>
      <c r="IL52" s="231" t="s">
        <v>59</v>
      </c>
      <c r="IM52" s="231" t="s">
        <v>73</v>
      </c>
      <c r="IN52" s="102" t="s">
        <v>4</v>
      </c>
      <c r="IO52" s="231" t="s">
        <v>59</v>
      </c>
      <c r="IP52" s="231" t="s">
        <v>73</v>
      </c>
      <c r="IQ52" s="102" t="s">
        <v>4</v>
      </c>
      <c r="IR52" s="231" t="s">
        <v>59</v>
      </c>
      <c r="IS52" s="231" t="s">
        <v>73</v>
      </c>
      <c r="IT52" s="102" t="s">
        <v>4</v>
      </c>
      <c r="IU52" s="231" t="s">
        <v>59</v>
      </c>
      <c r="IV52" s="231" t="s">
        <v>73</v>
      </c>
      <c r="IW52" s="102" t="s">
        <v>4</v>
      </c>
      <c r="IX52" s="231" t="s">
        <v>59</v>
      </c>
      <c r="IY52" s="231" t="s">
        <v>73</v>
      </c>
      <c r="IZ52" s="102" t="s">
        <v>4</v>
      </c>
      <c r="JA52" s="231" t="s">
        <v>59</v>
      </c>
      <c r="JB52" s="231" t="s">
        <v>73</v>
      </c>
      <c r="JC52" s="102" t="s">
        <v>4</v>
      </c>
      <c r="JD52" s="948"/>
      <c r="JE52" s="823"/>
      <c r="JF52" s="825"/>
    </row>
    <row r="53" spans="24:266" ht="15">
      <c r="AA53" s="872"/>
      <c r="AB53" s="229">
        <v>4</v>
      </c>
      <c r="AC53" s="229">
        <v>8</v>
      </c>
      <c r="AD53" s="229">
        <v>59</v>
      </c>
      <c r="AE53" s="229">
        <v>2</v>
      </c>
      <c r="AF53" s="229">
        <v>4</v>
      </c>
      <c r="AG53" s="229">
        <f>((15*3)+(17.5*1))/4</f>
        <v>15.625</v>
      </c>
      <c r="AH53" s="229">
        <v>4</v>
      </c>
      <c r="AI53" s="229">
        <v>8</v>
      </c>
      <c r="AJ53" s="229">
        <v>12.5</v>
      </c>
      <c r="AK53" s="229">
        <v>2</v>
      </c>
      <c r="AL53" s="229">
        <v>8</v>
      </c>
      <c r="AM53" s="229">
        <v>11.3</v>
      </c>
      <c r="AN53" s="233"/>
      <c r="AO53" s="233"/>
      <c r="AP53" s="233"/>
      <c r="AQ53" s="229">
        <f>(AB53*AC53*AD53)+(AE53*AF53*AG53)+(AH53*AI53*AJ53)+(AK53*AL53*AM53)+(AN53*AO53*AP53)</f>
        <v>2593.8000000000002</v>
      </c>
      <c r="AR53" s="826"/>
      <c r="AT53" s="872"/>
      <c r="AU53" s="229">
        <v>4</v>
      </c>
      <c r="AV53" s="229">
        <v>8</v>
      </c>
      <c r="AW53" s="229">
        <v>12.5</v>
      </c>
      <c r="AX53" s="229">
        <v>4</v>
      </c>
      <c r="AY53" s="229">
        <v>8</v>
      </c>
      <c r="AZ53" s="229">
        <v>15.9</v>
      </c>
      <c r="BA53" s="229">
        <v>4</v>
      </c>
      <c r="BB53" s="229">
        <v>8</v>
      </c>
      <c r="BC53" s="229">
        <f>((6.8*1)+(9.1*3))/4</f>
        <v>8.5249999999999986</v>
      </c>
      <c r="BD53" s="229">
        <v>2</v>
      </c>
      <c r="BE53" s="229">
        <v>5</v>
      </c>
      <c r="BF53" s="229">
        <v>15</v>
      </c>
      <c r="BG53" s="233"/>
      <c r="BH53" s="233"/>
      <c r="BI53" s="233"/>
      <c r="BJ53" s="229">
        <f>(AU53*AV53*AW53)+(AX53*AY53*AZ53)+(BA53*BB53*BC53)+(BD53*BE53*BF53)+(BG53*BH53*BI53)</f>
        <v>1331.6</v>
      </c>
      <c r="BK53" s="826"/>
      <c r="BL53" s="118"/>
      <c r="BM53" s="875"/>
      <c r="BN53" s="229">
        <v>1</v>
      </c>
      <c r="BO53" s="229">
        <v>30</v>
      </c>
      <c r="BP53" s="229">
        <f>CD51</f>
        <v>87.3</v>
      </c>
      <c r="BQ53" s="233"/>
      <c r="BR53" s="233"/>
      <c r="BS53" s="233"/>
      <c r="BT53" s="233"/>
      <c r="BU53" s="233"/>
      <c r="BV53" s="233"/>
      <c r="BW53" s="233"/>
      <c r="BX53" s="233"/>
      <c r="BY53" s="233"/>
      <c r="BZ53" s="233"/>
      <c r="CA53" s="233"/>
      <c r="CB53" s="233"/>
      <c r="CC53" s="229">
        <f>(BN53*BO53*BP53)+(BQ53*BR53*BS53)+(BT53*BU53*BV53)+(BW53*BX53*BY53)+(BZ53*CA53*CB53)</f>
        <v>2619</v>
      </c>
      <c r="CD53" s="826"/>
      <c r="CF53" s="842"/>
      <c r="CG53" s="233"/>
      <c r="CH53" s="233"/>
      <c r="CI53" s="233"/>
      <c r="CJ53" s="233"/>
      <c r="CK53" s="233"/>
      <c r="CL53" s="233"/>
      <c r="CM53" s="233"/>
      <c r="CN53" s="233"/>
      <c r="CO53" s="233"/>
      <c r="CP53" s="233"/>
      <c r="CQ53" s="233"/>
      <c r="CR53" s="233"/>
      <c r="CS53" s="233"/>
      <c r="CT53" s="233"/>
      <c r="CU53" s="233"/>
      <c r="CV53" s="229">
        <f>(CG53*CH53*CI53)+(CJ53*CK53*CL53)+(CM53*CN53*CO53)+(CP53*CQ53*CR53)+(CS53*CT53*CU53)</f>
        <v>0</v>
      </c>
      <c r="CW53" s="826"/>
      <c r="CX53" s="118"/>
      <c r="CY53" s="858"/>
      <c r="CZ53" s="233"/>
      <c r="DA53" s="233"/>
      <c r="DB53" s="233"/>
      <c r="DC53" s="233"/>
      <c r="DD53" s="233"/>
      <c r="DE53" s="233"/>
      <c r="DF53" s="233"/>
      <c r="DG53" s="233"/>
      <c r="DH53" s="233"/>
      <c r="DI53" s="233"/>
      <c r="DJ53" s="233"/>
      <c r="DK53" s="233"/>
      <c r="DL53" s="233"/>
      <c r="DM53" s="233"/>
      <c r="DN53" s="233"/>
      <c r="DO53" s="229">
        <f>(CZ53*DA53*DB53)+(DC53*DD53*DE53)+(DF53*DG53*DH53)+(DI53*DJ53*DK53)+(DL53*DM53*DN53)</f>
        <v>0</v>
      </c>
      <c r="DP53" s="826"/>
      <c r="DR53" s="875"/>
      <c r="DS53" s="229">
        <v>3</v>
      </c>
      <c r="DT53" s="229">
        <v>8</v>
      </c>
      <c r="DU53" s="229">
        <v>13.6</v>
      </c>
      <c r="DV53" s="229">
        <v>3</v>
      </c>
      <c r="DW53" s="126">
        <v>12</v>
      </c>
      <c r="DX53" s="229">
        <v>17.5</v>
      </c>
      <c r="DY53" s="229">
        <v>3</v>
      </c>
      <c r="DZ53" s="229">
        <v>12</v>
      </c>
      <c r="EA53" s="229">
        <v>5</v>
      </c>
      <c r="EB53" s="229">
        <v>3</v>
      </c>
      <c r="EC53" s="229">
        <v>12</v>
      </c>
      <c r="ED53" s="229">
        <v>7.5</v>
      </c>
      <c r="EE53" s="233"/>
      <c r="EF53" s="233"/>
      <c r="EG53" s="233"/>
      <c r="EH53" s="229">
        <f>(DS53*DT53*DU53)+(DV53*DW53*DX53)+(DY53*DZ53*EA53)+(EB53*EC53*ED53)+(EE53*EF53*EG53)</f>
        <v>1406.4</v>
      </c>
      <c r="EI53" s="826"/>
      <c r="EK53" s="866"/>
      <c r="EL53" s="233"/>
      <c r="EM53" s="233"/>
      <c r="EN53" s="233"/>
      <c r="EO53" s="233"/>
      <c r="EP53" s="233"/>
      <c r="EQ53" s="233"/>
      <c r="ER53" s="233"/>
      <c r="ES53" s="233"/>
      <c r="ET53" s="233"/>
      <c r="EU53" s="233"/>
      <c r="EV53" s="233"/>
      <c r="EW53" s="233"/>
      <c r="EX53" s="233"/>
      <c r="EY53" s="233"/>
      <c r="EZ53" s="233"/>
      <c r="FA53" s="229">
        <f>(EL53*EM53*EN53)+(EO53*EP53*EQ53)+(ER53*ES53*ET53)+(EU53*EV53*EW53)+(EX53*EY53*EZ53)</f>
        <v>0</v>
      </c>
      <c r="FB53" s="826"/>
      <c r="FD53" s="847"/>
      <c r="FE53" s="233"/>
      <c r="FF53" s="233"/>
      <c r="FG53" s="233"/>
      <c r="FH53" s="233"/>
      <c r="FI53" s="233"/>
      <c r="FJ53" s="233"/>
      <c r="FK53" s="233"/>
      <c r="FL53" s="233"/>
      <c r="FM53" s="233"/>
      <c r="FN53" s="233"/>
      <c r="FO53" s="233"/>
      <c r="FP53" s="233"/>
      <c r="FQ53" s="233"/>
      <c r="FR53" s="233"/>
      <c r="FS53" s="233"/>
      <c r="FT53" s="229">
        <f>(FE53*FF53*FG53)+(FH53*FI53*FJ53)+(FK53*FL53*FM53)+(FN53*FO53*FP53)+(FQ53*FR53*FS53)</f>
        <v>0</v>
      </c>
      <c r="FU53" s="826"/>
      <c r="FW53" s="878"/>
      <c r="FX53" s="229">
        <v>3</v>
      </c>
      <c r="FY53" s="229">
        <v>8</v>
      </c>
      <c r="FZ53" s="229">
        <v>15</v>
      </c>
      <c r="GA53" s="229">
        <v>3</v>
      </c>
      <c r="GB53" s="229">
        <v>30</v>
      </c>
      <c r="GC53" s="229">
        <f>GQ51*(1/3)</f>
        <v>26.3</v>
      </c>
      <c r="GD53" s="229">
        <v>2</v>
      </c>
      <c r="GE53" s="229">
        <v>10</v>
      </c>
      <c r="GF53" s="229">
        <v>15</v>
      </c>
      <c r="GG53" s="233"/>
      <c r="GH53" s="233"/>
      <c r="GI53" s="233"/>
      <c r="GJ53" s="233"/>
      <c r="GK53" s="233"/>
      <c r="GL53" s="233"/>
      <c r="GM53" s="233"/>
      <c r="GN53" s="233"/>
      <c r="GO53" s="233"/>
      <c r="GP53" s="229">
        <f>(FX53*FY53*FZ53)+(GA53*GB53*GC53)+(GD53*GE53*GF53)+(GG53*GH53*GI53)+(GJ53*GK53*GL53)+(GM53*GN53*GO53)</f>
        <v>3027</v>
      </c>
      <c r="GQ53" s="826"/>
      <c r="GR53" s="118"/>
      <c r="GS53" s="872"/>
      <c r="GT53" s="229">
        <v>1</v>
      </c>
      <c r="GU53" s="229">
        <v>30</v>
      </c>
      <c r="GV53" s="229">
        <f>HM51</f>
        <v>77.400000000000006</v>
      </c>
      <c r="GW53" s="233"/>
      <c r="GX53" s="233"/>
      <c r="GY53" s="233"/>
      <c r="GZ53" s="233"/>
      <c r="HA53" s="233"/>
      <c r="HB53" s="233"/>
      <c r="HC53" s="233"/>
      <c r="HD53" s="233"/>
      <c r="HE53" s="233"/>
      <c r="HF53" s="233"/>
      <c r="HG53" s="233"/>
      <c r="HH53" s="233"/>
      <c r="HI53" s="233"/>
      <c r="HJ53" s="233"/>
      <c r="HK53" s="233"/>
      <c r="HL53" s="229">
        <f>(GT53*GU53*GV53)+(GW53*GX53*GY53)+(GZ53*HA53*HB53)+(HC53*HD53*HE53)+(HF53*HG53*HH53)+(HI53*HJ53*HK53)</f>
        <v>2322</v>
      </c>
      <c r="HM53" s="826"/>
      <c r="HN53" s="118"/>
      <c r="HO53" s="847"/>
      <c r="HP53" s="229">
        <v>1</v>
      </c>
      <c r="HQ53" s="229">
        <v>35</v>
      </c>
      <c r="HR53" s="229">
        <f>II51</f>
        <v>76.599999999999994</v>
      </c>
      <c r="HS53" s="233"/>
      <c r="HT53" s="233"/>
      <c r="HU53" s="233"/>
      <c r="HV53" s="233"/>
      <c r="HW53" s="233"/>
      <c r="HX53" s="233"/>
      <c r="HY53" s="233"/>
      <c r="HZ53" s="233"/>
      <c r="IA53" s="233"/>
      <c r="IB53" s="233"/>
      <c r="IC53" s="233"/>
      <c r="ID53" s="233"/>
      <c r="IE53" s="233"/>
      <c r="IF53" s="233"/>
      <c r="IG53" s="233"/>
      <c r="IH53" s="229">
        <f>(HP53*HQ53*HR53)+(HS53*HT53*HU53)+(HV53*HW53*HX53)+(HY53*HZ53*IA53)+(IB53*IC53*ID53)+(IE53*IF53*IG53)</f>
        <v>2681</v>
      </c>
      <c r="II53" s="826"/>
      <c r="IK53" s="842"/>
      <c r="IL53" s="229"/>
      <c r="IM53" s="229"/>
      <c r="IN53" s="229"/>
      <c r="IO53" s="229"/>
      <c r="IP53" s="229"/>
      <c r="IQ53" s="229"/>
      <c r="IR53" s="229"/>
      <c r="IS53" s="229"/>
      <c r="IT53" s="229"/>
      <c r="IU53" s="229"/>
      <c r="IV53" s="229"/>
      <c r="IW53" s="229"/>
      <c r="IX53" s="229"/>
      <c r="IY53" s="229"/>
      <c r="IZ53" s="229"/>
      <c r="JA53" s="229"/>
      <c r="JB53" s="229"/>
      <c r="JC53" s="229"/>
      <c r="JD53" s="949"/>
      <c r="JE53" s="229">
        <f>(IL53*IM53*IN53)+(IO53*IP53*IQ53)+(IR53*IS53*IT53)+(IU53*IV53*IW53)+(IX53*IY53*IZ53)+(JA53*JB53*JC53)</f>
        <v>0</v>
      </c>
      <c r="JF53" s="826"/>
    </row>
    <row r="54" spans="24:266" ht="15">
      <c r="AA54" s="856">
        <v>45706</v>
      </c>
      <c r="AB54" s="849" t="s">
        <v>99</v>
      </c>
      <c r="AC54" s="849"/>
      <c r="AD54" s="849"/>
      <c r="AE54" s="849" t="s">
        <v>69</v>
      </c>
      <c r="AF54" s="849"/>
      <c r="AG54" s="849"/>
      <c r="AH54" s="843"/>
      <c r="AI54" s="843"/>
      <c r="AJ54" s="843"/>
      <c r="AK54" s="834" t="s">
        <v>121</v>
      </c>
      <c r="AL54" s="835"/>
      <c r="AM54" s="836"/>
      <c r="AN54" s="844"/>
      <c r="AO54" s="844"/>
      <c r="AP54" s="844"/>
      <c r="AQ54" s="823">
        <f t="shared" ref="AQ54" si="198">COUNTA(AB54:AP54)</f>
        <v>3</v>
      </c>
      <c r="AR54" s="824">
        <v>92.8</v>
      </c>
      <c r="AT54" s="856">
        <v>45734</v>
      </c>
      <c r="AU54" s="859"/>
      <c r="AV54" s="859"/>
      <c r="AW54" s="859"/>
      <c r="AX54" s="859"/>
      <c r="AY54" s="859"/>
      <c r="AZ54" s="859"/>
      <c r="BA54" s="843"/>
      <c r="BB54" s="843"/>
      <c r="BC54" s="843"/>
      <c r="BD54" s="834"/>
      <c r="BE54" s="835"/>
      <c r="BF54" s="836"/>
      <c r="BG54" s="844"/>
      <c r="BH54" s="844"/>
      <c r="BI54" s="844"/>
      <c r="BJ54" s="823">
        <f>COUNTA(AU54:BI54)</f>
        <v>0</v>
      </c>
      <c r="BK54" s="824">
        <f>BK51</f>
        <v>89.5</v>
      </c>
      <c r="BL54" s="118"/>
      <c r="BM54" s="876">
        <v>45765</v>
      </c>
      <c r="BN54" s="848" t="s">
        <v>68</v>
      </c>
      <c r="BO54" s="848"/>
      <c r="BP54" s="848"/>
      <c r="BQ54" s="890" t="s">
        <v>71</v>
      </c>
      <c r="BR54" s="890"/>
      <c r="BS54" s="890"/>
      <c r="BT54" s="882" t="s">
        <v>110</v>
      </c>
      <c r="BU54" s="883"/>
      <c r="BV54" s="884"/>
      <c r="BW54" s="848" t="s">
        <v>85</v>
      </c>
      <c r="BX54" s="848"/>
      <c r="BY54" s="848"/>
      <c r="BZ54" s="844"/>
      <c r="CA54" s="844"/>
      <c r="CB54" s="844"/>
      <c r="CC54" s="823">
        <f>COUNTA(BN54:CB54)</f>
        <v>4</v>
      </c>
      <c r="CD54" s="824">
        <v>86.6</v>
      </c>
      <c r="CF54" s="864">
        <v>45795</v>
      </c>
      <c r="CG54" s="849" t="s">
        <v>119</v>
      </c>
      <c r="CH54" s="849"/>
      <c r="CI54" s="849"/>
      <c r="CJ54" s="849" t="s">
        <v>79</v>
      </c>
      <c r="CK54" s="849"/>
      <c r="CL54" s="849"/>
      <c r="CM54" s="886" t="s">
        <v>82</v>
      </c>
      <c r="CN54" s="886"/>
      <c r="CO54" s="886"/>
      <c r="CP54" s="890" t="s">
        <v>93</v>
      </c>
      <c r="CQ54" s="890"/>
      <c r="CR54" s="890"/>
      <c r="CS54" s="844"/>
      <c r="CT54" s="844"/>
      <c r="CU54" s="844"/>
      <c r="CV54" s="823">
        <f>COUNTA(CG54:CU54)</f>
        <v>4</v>
      </c>
      <c r="CW54" s="824">
        <v>84</v>
      </c>
      <c r="CX54" s="118"/>
      <c r="CY54" s="845">
        <v>45826</v>
      </c>
      <c r="CZ54" s="849" t="s">
        <v>72</v>
      </c>
      <c r="DA54" s="849"/>
      <c r="DB54" s="849"/>
      <c r="DC54" s="848" t="s">
        <v>149</v>
      </c>
      <c r="DD54" s="848"/>
      <c r="DE54" s="848"/>
      <c r="DF54" s="882" t="s">
        <v>101</v>
      </c>
      <c r="DG54" s="883"/>
      <c r="DH54" s="884"/>
      <c r="DI54" s="882" t="s">
        <v>14</v>
      </c>
      <c r="DJ54" s="883"/>
      <c r="DK54" s="884"/>
      <c r="DL54" s="848" t="s">
        <v>129</v>
      </c>
      <c r="DM54" s="848"/>
      <c r="DN54" s="848"/>
      <c r="DO54" s="823">
        <f>COUNTA(CZ54:DN54)</f>
        <v>5</v>
      </c>
      <c r="DP54" s="824">
        <v>83</v>
      </c>
      <c r="DR54" s="876">
        <v>45856</v>
      </c>
      <c r="DS54" s="859"/>
      <c r="DT54" s="859"/>
      <c r="DU54" s="859"/>
      <c r="DV54" s="859"/>
      <c r="DW54" s="859"/>
      <c r="DX54" s="859"/>
      <c r="DY54" s="844"/>
      <c r="DZ54" s="844"/>
      <c r="EA54" s="844"/>
      <c r="EB54" s="844"/>
      <c r="EC54" s="844"/>
      <c r="ED54" s="844"/>
      <c r="EE54" s="844"/>
      <c r="EF54" s="844"/>
      <c r="EG54" s="844"/>
      <c r="EH54" s="823">
        <f>COUNTA(DS54:EG54)</f>
        <v>0</v>
      </c>
      <c r="EI54" s="824">
        <f>EI51</f>
        <v>82.1</v>
      </c>
      <c r="EK54" s="870">
        <v>45887</v>
      </c>
      <c r="EL54" s="849" t="s">
        <v>72</v>
      </c>
      <c r="EM54" s="849"/>
      <c r="EN54" s="849"/>
      <c r="EO54" s="848" t="s">
        <v>105</v>
      </c>
      <c r="EP54" s="848"/>
      <c r="EQ54" s="848"/>
      <c r="ER54" s="882" t="s">
        <v>85</v>
      </c>
      <c r="ES54" s="883"/>
      <c r="ET54" s="884"/>
      <c r="EU54" s="844"/>
      <c r="EV54" s="844"/>
      <c r="EW54" s="844"/>
      <c r="EX54" s="844"/>
      <c r="EY54" s="844"/>
      <c r="EZ54" s="844"/>
      <c r="FA54" s="823">
        <f>COUNTA(EL54:EZ54)</f>
        <v>3</v>
      </c>
      <c r="FB54" s="824">
        <v>79.8</v>
      </c>
      <c r="FD54" s="873">
        <v>45918</v>
      </c>
      <c r="FE54" s="849" t="s">
        <v>89</v>
      </c>
      <c r="FF54" s="849"/>
      <c r="FG54" s="849"/>
      <c r="FH54" s="886" t="s">
        <v>139</v>
      </c>
      <c r="FI54" s="886"/>
      <c r="FJ54" s="886"/>
      <c r="FK54" s="849" t="s">
        <v>114</v>
      </c>
      <c r="FL54" s="849"/>
      <c r="FM54" s="849"/>
      <c r="FN54" s="843"/>
      <c r="FO54" s="843"/>
      <c r="FP54" s="843"/>
      <c r="FQ54" s="834"/>
      <c r="FR54" s="835"/>
      <c r="FS54" s="836"/>
      <c r="FT54" s="823">
        <f>COUNTA(FE54:FS54)</f>
        <v>3</v>
      </c>
      <c r="FU54" s="824">
        <v>79.7</v>
      </c>
      <c r="FW54" s="840">
        <v>45948</v>
      </c>
      <c r="FX54" s="844"/>
      <c r="FY54" s="844"/>
      <c r="FZ54" s="844"/>
      <c r="GA54" s="859"/>
      <c r="GB54" s="859"/>
      <c r="GC54" s="859"/>
      <c r="GD54" s="834"/>
      <c r="GE54" s="835"/>
      <c r="GF54" s="836"/>
      <c r="GG54" s="867"/>
      <c r="GH54" s="868"/>
      <c r="GI54" s="869"/>
      <c r="GJ54" s="834"/>
      <c r="GK54" s="835"/>
      <c r="GL54" s="836"/>
      <c r="GM54" s="834"/>
      <c r="GN54" s="835"/>
      <c r="GO54" s="836"/>
      <c r="GP54" s="823">
        <f>COUNTA(FX54:GO54)</f>
        <v>0</v>
      </c>
      <c r="GQ54" s="824">
        <f>GQ51</f>
        <v>78.900000000000006</v>
      </c>
      <c r="GR54" s="118"/>
      <c r="GS54" s="856">
        <v>45979</v>
      </c>
      <c r="GT54" s="849" t="s">
        <v>89</v>
      </c>
      <c r="GU54" s="849"/>
      <c r="GV54" s="849"/>
      <c r="GW54" s="849" t="s">
        <v>115</v>
      </c>
      <c r="GX54" s="849"/>
      <c r="GY54" s="849"/>
      <c r="GZ54" s="882" t="s">
        <v>85</v>
      </c>
      <c r="HA54" s="883"/>
      <c r="HB54" s="884"/>
      <c r="HC54" s="867"/>
      <c r="HD54" s="868"/>
      <c r="HE54" s="869"/>
      <c r="HF54" s="834"/>
      <c r="HG54" s="835"/>
      <c r="HH54" s="836"/>
      <c r="HI54" s="834"/>
      <c r="HJ54" s="835"/>
      <c r="HK54" s="836"/>
      <c r="HL54" s="823">
        <f>COUNTA(GT54:HK54)</f>
        <v>3</v>
      </c>
      <c r="HM54" s="824">
        <v>77.900000000000006</v>
      </c>
      <c r="HN54" s="118"/>
      <c r="HO54" s="873">
        <v>46009</v>
      </c>
      <c r="HP54" s="848" t="s">
        <v>86</v>
      </c>
      <c r="HQ54" s="848"/>
      <c r="HR54" s="848"/>
      <c r="HS54" s="859"/>
      <c r="HT54" s="859"/>
      <c r="HU54" s="859"/>
      <c r="HV54" s="834"/>
      <c r="HW54" s="835"/>
      <c r="HX54" s="836"/>
      <c r="HY54" s="867"/>
      <c r="HZ54" s="868"/>
      <c r="IA54" s="869"/>
      <c r="IB54" s="834"/>
      <c r="IC54" s="835"/>
      <c r="ID54" s="836"/>
      <c r="IE54" s="834"/>
      <c r="IF54" s="835"/>
      <c r="IG54" s="836"/>
      <c r="IH54" s="823">
        <f>COUNTA(HP54:IG54)</f>
        <v>1</v>
      </c>
      <c r="II54" s="824">
        <f>II51</f>
        <v>76.599999999999994</v>
      </c>
      <c r="IK54" s="864">
        <v>46040</v>
      </c>
      <c r="IL54" s="848"/>
      <c r="IM54" s="848"/>
      <c r="IN54" s="848"/>
      <c r="IO54" s="848"/>
      <c r="IP54" s="848"/>
      <c r="IQ54" s="848"/>
      <c r="IR54" s="848"/>
      <c r="IS54" s="848"/>
      <c r="IT54" s="848"/>
      <c r="IU54" s="848"/>
      <c r="IV54" s="848"/>
      <c r="IW54" s="848"/>
      <c r="IX54" s="882"/>
      <c r="IY54" s="883"/>
      <c r="IZ54" s="884"/>
      <c r="JA54" s="882"/>
      <c r="JB54" s="883"/>
      <c r="JC54" s="884"/>
      <c r="JD54" s="232" t="s">
        <v>425</v>
      </c>
      <c r="JE54" s="823">
        <f>COUNTA(IL54:JC54)</f>
        <v>0</v>
      </c>
      <c r="JF54" s="824"/>
    </row>
    <row r="55" spans="24:266" ht="15">
      <c r="AA55" s="857"/>
      <c r="AB55" s="231" t="s">
        <v>59</v>
      </c>
      <c r="AC55" s="231" t="s">
        <v>73</v>
      </c>
      <c r="AD55" s="102" t="s">
        <v>4</v>
      </c>
      <c r="AE55" s="231" t="s">
        <v>59</v>
      </c>
      <c r="AF55" s="231" t="s">
        <v>73</v>
      </c>
      <c r="AG55" s="102" t="s">
        <v>4</v>
      </c>
      <c r="AH55" s="107" t="s">
        <v>59</v>
      </c>
      <c r="AI55" s="107" t="s">
        <v>73</v>
      </c>
      <c r="AJ55" s="108" t="s">
        <v>4</v>
      </c>
      <c r="AK55" s="107" t="s">
        <v>59</v>
      </c>
      <c r="AL55" s="107" t="s">
        <v>73</v>
      </c>
      <c r="AM55" s="108" t="s">
        <v>4</v>
      </c>
      <c r="AN55" s="107" t="s">
        <v>59</v>
      </c>
      <c r="AO55" s="107" t="s">
        <v>73</v>
      </c>
      <c r="AP55" s="108" t="s">
        <v>4</v>
      </c>
      <c r="AQ55" s="823"/>
      <c r="AR55" s="825"/>
      <c r="AT55" s="857"/>
      <c r="AU55" s="107" t="s">
        <v>59</v>
      </c>
      <c r="AV55" s="107" t="s">
        <v>73</v>
      </c>
      <c r="AW55" s="108" t="s">
        <v>4</v>
      </c>
      <c r="AX55" s="107" t="s">
        <v>59</v>
      </c>
      <c r="AY55" s="107" t="s">
        <v>73</v>
      </c>
      <c r="AZ55" s="108" t="s">
        <v>4</v>
      </c>
      <c r="BA55" s="107" t="s">
        <v>59</v>
      </c>
      <c r="BB55" s="107" t="s">
        <v>73</v>
      </c>
      <c r="BC55" s="108" t="s">
        <v>4</v>
      </c>
      <c r="BD55" s="107" t="s">
        <v>59</v>
      </c>
      <c r="BE55" s="107" t="s">
        <v>73</v>
      </c>
      <c r="BF55" s="108" t="s">
        <v>4</v>
      </c>
      <c r="BG55" s="107" t="s">
        <v>59</v>
      </c>
      <c r="BH55" s="107" t="s">
        <v>73</v>
      </c>
      <c r="BI55" s="108" t="s">
        <v>4</v>
      </c>
      <c r="BJ55" s="823"/>
      <c r="BK55" s="825"/>
      <c r="BL55" s="118"/>
      <c r="BM55" s="877"/>
      <c r="BN55" s="231" t="s">
        <v>59</v>
      </c>
      <c r="BO55" s="231" t="s">
        <v>73</v>
      </c>
      <c r="BP55" s="102" t="s">
        <v>4</v>
      </c>
      <c r="BQ55" s="231" t="s">
        <v>59</v>
      </c>
      <c r="BR55" s="231" t="s">
        <v>73</v>
      </c>
      <c r="BS55" s="102" t="s">
        <v>4</v>
      </c>
      <c r="BT55" s="231" t="s">
        <v>59</v>
      </c>
      <c r="BU55" s="231" t="s">
        <v>73</v>
      </c>
      <c r="BV55" s="102" t="s">
        <v>4</v>
      </c>
      <c r="BW55" s="231" t="s">
        <v>59</v>
      </c>
      <c r="BX55" s="231" t="s">
        <v>73</v>
      </c>
      <c r="BY55" s="102" t="s">
        <v>4</v>
      </c>
      <c r="BZ55" s="107" t="s">
        <v>59</v>
      </c>
      <c r="CA55" s="107" t="s">
        <v>73</v>
      </c>
      <c r="CB55" s="108" t="s">
        <v>4</v>
      </c>
      <c r="CC55" s="823"/>
      <c r="CD55" s="825"/>
      <c r="CF55" s="865"/>
      <c r="CG55" s="231" t="s">
        <v>59</v>
      </c>
      <c r="CH55" s="231" t="s">
        <v>73</v>
      </c>
      <c r="CI55" s="102" t="s">
        <v>4</v>
      </c>
      <c r="CJ55" s="231" t="s">
        <v>59</v>
      </c>
      <c r="CK55" s="231" t="s">
        <v>73</v>
      </c>
      <c r="CL55" s="102" t="s">
        <v>4</v>
      </c>
      <c r="CM55" s="231" t="s">
        <v>59</v>
      </c>
      <c r="CN55" s="231" t="s">
        <v>73</v>
      </c>
      <c r="CO55" s="102" t="s">
        <v>4</v>
      </c>
      <c r="CP55" s="231" t="s">
        <v>59</v>
      </c>
      <c r="CQ55" s="231" t="s">
        <v>73</v>
      </c>
      <c r="CR55" s="102" t="s">
        <v>4</v>
      </c>
      <c r="CS55" s="107" t="s">
        <v>59</v>
      </c>
      <c r="CT55" s="107" t="s">
        <v>73</v>
      </c>
      <c r="CU55" s="108" t="s">
        <v>4</v>
      </c>
      <c r="CV55" s="823"/>
      <c r="CW55" s="825"/>
      <c r="CX55" s="118"/>
      <c r="CY55" s="846"/>
      <c r="CZ55" s="231" t="s">
        <v>59</v>
      </c>
      <c r="DA55" s="231" t="s">
        <v>73</v>
      </c>
      <c r="DB55" s="102" t="s">
        <v>4</v>
      </c>
      <c r="DC55" s="231" t="s">
        <v>59</v>
      </c>
      <c r="DD55" s="231" t="s">
        <v>73</v>
      </c>
      <c r="DE55" s="102" t="s">
        <v>4</v>
      </c>
      <c r="DF55" s="231" t="s">
        <v>59</v>
      </c>
      <c r="DG55" s="231" t="s">
        <v>73</v>
      </c>
      <c r="DH55" s="102" t="s">
        <v>4</v>
      </c>
      <c r="DI55" s="231" t="s">
        <v>59</v>
      </c>
      <c r="DJ55" s="231" t="s">
        <v>73</v>
      </c>
      <c r="DK55" s="102" t="s">
        <v>4</v>
      </c>
      <c r="DL55" s="231" t="s">
        <v>59</v>
      </c>
      <c r="DM55" s="231" t="s">
        <v>73</v>
      </c>
      <c r="DN55" s="102" t="s">
        <v>4</v>
      </c>
      <c r="DO55" s="823"/>
      <c r="DP55" s="825"/>
      <c r="DR55" s="877"/>
      <c r="DS55" s="107" t="s">
        <v>59</v>
      </c>
      <c r="DT55" s="107" t="s">
        <v>73</v>
      </c>
      <c r="DU55" s="108" t="s">
        <v>4</v>
      </c>
      <c r="DV55" s="107" t="s">
        <v>59</v>
      </c>
      <c r="DW55" s="107" t="s">
        <v>73</v>
      </c>
      <c r="DX55" s="108" t="s">
        <v>4</v>
      </c>
      <c r="DY55" s="107" t="s">
        <v>59</v>
      </c>
      <c r="DZ55" s="107" t="s">
        <v>73</v>
      </c>
      <c r="EA55" s="108" t="s">
        <v>4</v>
      </c>
      <c r="EB55" s="107" t="s">
        <v>59</v>
      </c>
      <c r="EC55" s="107" t="s">
        <v>73</v>
      </c>
      <c r="ED55" s="108" t="s">
        <v>4</v>
      </c>
      <c r="EE55" s="107" t="s">
        <v>59</v>
      </c>
      <c r="EF55" s="107" t="s">
        <v>73</v>
      </c>
      <c r="EG55" s="108" t="s">
        <v>4</v>
      </c>
      <c r="EH55" s="823"/>
      <c r="EI55" s="825"/>
      <c r="EK55" s="871"/>
      <c r="EL55" s="231" t="s">
        <v>59</v>
      </c>
      <c r="EM55" s="231" t="s">
        <v>73</v>
      </c>
      <c r="EN55" s="102" t="s">
        <v>4</v>
      </c>
      <c r="EO55" s="231" t="s">
        <v>59</v>
      </c>
      <c r="EP55" s="231" t="s">
        <v>73</v>
      </c>
      <c r="EQ55" s="102" t="s">
        <v>4</v>
      </c>
      <c r="ER55" s="231" t="s">
        <v>59</v>
      </c>
      <c r="ES55" s="231" t="s">
        <v>73</v>
      </c>
      <c r="ET55" s="102" t="s">
        <v>4</v>
      </c>
      <c r="EU55" s="107" t="s">
        <v>59</v>
      </c>
      <c r="EV55" s="107" t="s">
        <v>73</v>
      </c>
      <c r="EW55" s="108" t="s">
        <v>4</v>
      </c>
      <c r="EX55" s="107" t="s">
        <v>59</v>
      </c>
      <c r="EY55" s="107" t="s">
        <v>73</v>
      </c>
      <c r="EZ55" s="108" t="s">
        <v>4</v>
      </c>
      <c r="FA55" s="823"/>
      <c r="FB55" s="825"/>
      <c r="FD55" s="874"/>
      <c r="FE55" s="231" t="s">
        <v>59</v>
      </c>
      <c r="FF55" s="231" t="s">
        <v>73</v>
      </c>
      <c r="FG55" s="102" t="s">
        <v>4</v>
      </c>
      <c r="FH55" s="231" t="s">
        <v>59</v>
      </c>
      <c r="FI55" s="231" t="s">
        <v>73</v>
      </c>
      <c r="FJ55" s="102" t="s">
        <v>4</v>
      </c>
      <c r="FK55" s="231" t="s">
        <v>59</v>
      </c>
      <c r="FL55" s="231" t="s">
        <v>73</v>
      </c>
      <c r="FM55" s="102" t="s">
        <v>4</v>
      </c>
      <c r="FN55" s="107" t="s">
        <v>59</v>
      </c>
      <c r="FO55" s="107" t="s">
        <v>73</v>
      </c>
      <c r="FP55" s="108" t="s">
        <v>4</v>
      </c>
      <c r="FQ55" s="107" t="s">
        <v>59</v>
      </c>
      <c r="FR55" s="107" t="s">
        <v>73</v>
      </c>
      <c r="FS55" s="108" t="s">
        <v>4</v>
      </c>
      <c r="FT55" s="823"/>
      <c r="FU55" s="825"/>
      <c r="FW55" s="841"/>
      <c r="FX55" s="107" t="s">
        <v>59</v>
      </c>
      <c r="FY55" s="107" t="s">
        <v>73</v>
      </c>
      <c r="FZ55" s="108" t="s">
        <v>4</v>
      </c>
      <c r="GA55" s="107" t="s">
        <v>59</v>
      </c>
      <c r="GB55" s="107" t="s">
        <v>73</v>
      </c>
      <c r="GC55" s="108" t="s">
        <v>4</v>
      </c>
      <c r="GD55" s="107" t="s">
        <v>59</v>
      </c>
      <c r="GE55" s="107" t="s">
        <v>73</v>
      </c>
      <c r="GF55" s="108" t="s">
        <v>4</v>
      </c>
      <c r="GG55" s="107" t="s">
        <v>59</v>
      </c>
      <c r="GH55" s="107" t="s">
        <v>73</v>
      </c>
      <c r="GI55" s="108" t="s">
        <v>4</v>
      </c>
      <c r="GJ55" s="107" t="s">
        <v>59</v>
      </c>
      <c r="GK55" s="107" t="s">
        <v>73</v>
      </c>
      <c r="GL55" s="108" t="s">
        <v>4</v>
      </c>
      <c r="GM55" s="107" t="s">
        <v>59</v>
      </c>
      <c r="GN55" s="107" t="s">
        <v>73</v>
      </c>
      <c r="GO55" s="108" t="s">
        <v>4</v>
      </c>
      <c r="GP55" s="823"/>
      <c r="GQ55" s="825"/>
      <c r="GR55" s="118"/>
      <c r="GS55" s="857"/>
      <c r="GT55" s="231" t="s">
        <v>59</v>
      </c>
      <c r="GU55" s="231" t="s">
        <v>73</v>
      </c>
      <c r="GV55" s="102" t="s">
        <v>4</v>
      </c>
      <c r="GW55" s="231" t="s">
        <v>59</v>
      </c>
      <c r="GX55" s="231" t="s">
        <v>73</v>
      </c>
      <c r="GY55" s="102" t="s">
        <v>4</v>
      </c>
      <c r="GZ55" s="231" t="s">
        <v>59</v>
      </c>
      <c r="HA55" s="231" t="s">
        <v>73</v>
      </c>
      <c r="HB55" s="102" t="s">
        <v>4</v>
      </c>
      <c r="HC55" s="107" t="s">
        <v>59</v>
      </c>
      <c r="HD55" s="107" t="s">
        <v>73</v>
      </c>
      <c r="HE55" s="108" t="s">
        <v>4</v>
      </c>
      <c r="HF55" s="107" t="s">
        <v>59</v>
      </c>
      <c r="HG55" s="107" t="s">
        <v>73</v>
      </c>
      <c r="HH55" s="108" t="s">
        <v>4</v>
      </c>
      <c r="HI55" s="107" t="s">
        <v>59</v>
      </c>
      <c r="HJ55" s="107" t="s">
        <v>73</v>
      </c>
      <c r="HK55" s="108" t="s">
        <v>4</v>
      </c>
      <c r="HL55" s="823"/>
      <c r="HM55" s="825"/>
      <c r="HN55" s="118"/>
      <c r="HO55" s="874"/>
      <c r="HP55" s="231" t="s">
        <v>59</v>
      </c>
      <c r="HQ55" s="231" t="s">
        <v>73</v>
      </c>
      <c r="HR55" s="102" t="s">
        <v>4</v>
      </c>
      <c r="HS55" s="107" t="s">
        <v>59</v>
      </c>
      <c r="HT55" s="107" t="s">
        <v>73</v>
      </c>
      <c r="HU55" s="108" t="s">
        <v>4</v>
      </c>
      <c r="HV55" s="107" t="s">
        <v>59</v>
      </c>
      <c r="HW55" s="107" t="s">
        <v>73</v>
      </c>
      <c r="HX55" s="108" t="s">
        <v>4</v>
      </c>
      <c r="HY55" s="107" t="s">
        <v>59</v>
      </c>
      <c r="HZ55" s="107" t="s">
        <v>73</v>
      </c>
      <c r="IA55" s="108" t="s">
        <v>4</v>
      </c>
      <c r="IB55" s="107" t="s">
        <v>59</v>
      </c>
      <c r="IC55" s="107" t="s">
        <v>73</v>
      </c>
      <c r="ID55" s="108" t="s">
        <v>4</v>
      </c>
      <c r="IE55" s="107" t="s">
        <v>59</v>
      </c>
      <c r="IF55" s="107" t="s">
        <v>73</v>
      </c>
      <c r="IG55" s="108" t="s">
        <v>4</v>
      </c>
      <c r="IH55" s="823"/>
      <c r="II55" s="825"/>
      <c r="IK55" s="865"/>
      <c r="IL55" s="231" t="s">
        <v>59</v>
      </c>
      <c r="IM55" s="231" t="s">
        <v>73</v>
      </c>
      <c r="IN55" s="102" t="s">
        <v>4</v>
      </c>
      <c r="IO55" s="231" t="s">
        <v>59</v>
      </c>
      <c r="IP55" s="231" t="s">
        <v>73</v>
      </c>
      <c r="IQ55" s="102" t="s">
        <v>4</v>
      </c>
      <c r="IR55" s="231" t="s">
        <v>59</v>
      </c>
      <c r="IS55" s="231" t="s">
        <v>73</v>
      </c>
      <c r="IT55" s="102" t="s">
        <v>4</v>
      </c>
      <c r="IU55" s="231" t="s">
        <v>59</v>
      </c>
      <c r="IV55" s="231" t="s">
        <v>73</v>
      </c>
      <c r="IW55" s="102" t="s">
        <v>4</v>
      </c>
      <c r="IX55" s="231" t="s">
        <v>59</v>
      </c>
      <c r="IY55" s="231" t="s">
        <v>73</v>
      </c>
      <c r="IZ55" s="102" t="s">
        <v>4</v>
      </c>
      <c r="JA55" s="231" t="s">
        <v>59</v>
      </c>
      <c r="JB55" s="231" t="s">
        <v>73</v>
      </c>
      <c r="JC55" s="102" t="s">
        <v>4</v>
      </c>
      <c r="JD55" s="948"/>
      <c r="JE55" s="823"/>
      <c r="JF55" s="825"/>
    </row>
    <row r="56" spans="24:266" ht="15">
      <c r="AA56" s="858"/>
      <c r="AB56" s="229">
        <v>4</v>
      </c>
      <c r="AC56" s="229">
        <v>8</v>
      </c>
      <c r="AD56" s="229">
        <f>((54.4*1)+(59*3))/4</f>
        <v>57.85</v>
      </c>
      <c r="AE56" s="229">
        <v>4</v>
      </c>
      <c r="AF56" s="229">
        <v>6</v>
      </c>
      <c r="AG56" s="229">
        <v>10</v>
      </c>
      <c r="AH56" s="233"/>
      <c r="AI56" s="233"/>
      <c r="AJ56" s="233"/>
      <c r="AK56" s="233"/>
      <c r="AL56" s="233"/>
      <c r="AM56" s="233"/>
      <c r="AN56" s="233"/>
      <c r="AO56" s="233"/>
      <c r="AP56" s="233"/>
      <c r="AQ56" s="229">
        <f t="shared" ref="AQ56" si="199">(AB56*AC56*AD56)+(AE56*AF56*AG56)+(AH56*AI56*AJ56)+(AK56*AL56*AM56)+(AN56*AO56*AP56)</f>
        <v>2091.1999999999998</v>
      </c>
      <c r="AR56" s="826"/>
      <c r="AT56" s="858"/>
      <c r="AU56" s="233"/>
      <c r="AV56" s="233"/>
      <c r="AW56" s="233"/>
      <c r="AX56" s="233"/>
      <c r="AY56" s="233"/>
      <c r="AZ56" s="233"/>
      <c r="BA56" s="233"/>
      <c r="BB56" s="233"/>
      <c r="BC56" s="233"/>
      <c r="BD56" s="233"/>
      <c r="BE56" s="233"/>
      <c r="BF56" s="233"/>
      <c r="BG56" s="233"/>
      <c r="BH56" s="233"/>
      <c r="BI56" s="233"/>
      <c r="BJ56" s="229">
        <f t="shared" ref="BJ56" si="200">(AU56*AV56*AW56)+(AX56*AY56*AZ56)+(BA56*BB56*BC56)+(BD56*BE56*BF56)+(BG56*BH56*BI56)</f>
        <v>0</v>
      </c>
      <c r="BK56" s="826"/>
      <c r="BL56" s="118"/>
      <c r="BM56" s="878"/>
      <c r="BN56" s="229">
        <v>4</v>
      </c>
      <c r="BO56" s="126">
        <v>10</v>
      </c>
      <c r="BP56" s="229">
        <f>120*$FU$3</f>
        <v>9552</v>
      </c>
      <c r="BQ56" s="229">
        <v>4</v>
      </c>
      <c r="BR56" s="126">
        <v>10</v>
      </c>
      <c r="BS56" s="229">
        <v>25</v>
      </c>
      <c r="BT56" s="229">
        <v>4</v>
      </c>
      <c r="BU56" s="126">
        <v>10</v>
      </c>
      <c r="BV56" s="229">
        <f>25*$FU$3</f>
        <v>1989.9999999999998</v>
      </c>
      <c r="BW56" s="229">
        <v>4</v>
      </c>
      <c r="BX56" s="229">
        <v>12</v>
      </c>
      <c r="BY56" s="229">
        <v>0</v>
      </c>
      <c r="BZ56" s="233"/>
      <c r="CA56" s="233"/>
      <c r="CB56" s="233"/>
      <c r="CC56" s="229">
        <f t="shared" ref="CC56" si="201">(BN56*BO56*BP56)+(BQ56*BR56*BS56)+(BT56*BU56*BV56)+(BW56*BX56*BY56)+(BZ56*CA56*CB56)</f>
        <v>462680</v>
      </c>
      <c r="CD56" s="826"/>
      <c r="CF56" s="866"/>
      <c r="CG56" s="229">
        <v>4</v>
      </c>
      <c r="CH56" s="229">
        <v>8</v>
      </c>
      <c r="CI56" s="229">
        <v>22.5</v>
      </c>
      <c r="CJ56" s="229">
        <v>4</v>
      </c>
      <c r="CK56" s="229">
        <v>10</v>
      </c>
      <c r="CL56" s="229">
        <v>12.5</v>
      </c>
      <c r="CM56" s="229">
        <v>4</v>
      </c>
      <c r="CN56" s="229">
        <v>8</v>
      </c>
      <c r="CO56" s="229">
        <v>27.2</v>
      </c>
      <c r="CP56" s="229">
        <v>4</v>
      </c>
      <c r="CQ56" s="229">
        <v>8</v>
      </c>
      <c r="CR56" s="229">
        <v>17.5</v>
      </c>
      <c r="CS56" s="233"/>
      <c r="CT56" s="233"/>
      <c r="CU56" s="233"/>
      <c r="CV56" s="229">
        <f t="shared" ref="CV56" si="202">(CG56*CH56*CI56)+(CJ56*CK56*CL56)+(CM56*CN56*CO56)+(CP56*CQ56*CR56)+(CS56*CT56*CU56)</f>
        <v>2650.4</v>
      </c>
      <c r="CW56" s="826"/>
      <c r="CX56" s="118"/>
      <c r="CY56" s="847"/>
      <c r="CZ56" s="229">
        <v>3</v>
      </c>
      <c r="DA56" s="229">
        <v>10</v>
      </c>
      <c r="DB56" s="229">
        <v>45</v>
      </c>
      <c r="DC56" s="229">
        <v>3</v>
      </c>
      <c r="DD56" s="229">
        <v>10</v>
      </c>
      <c r="DE56" s="229">
        <v>10</v>
      </c>
      <c r="DF56" s="229">
        <v>3</v>
      </c>
      <c r="DG56" s="229">
        <f>((8*1)+(10*3))/4</f>
        <v>9.5</v>
      </c>
      <c r="DH56" s="229">
        <v>27.2</v>
      </c>
      <c r="DI56" s="229">
        <v>3</v>
      </c>
      <c r="DJ56" s="229">
        <v>10</v>
      </c>
      <c r="DK56" s="229">
        <v>12.5</v>
      </c>
      <c r="DL56" s="229">
        <v>3</v>
      </c>
      <c r="DM56" s="229">
        <v>10</v>
      </c>
      <c r="DN56" s="229">
        <v>20.399999999999999</v>
      </c>
      <c r="DO56" s="229">
        <f t="shared" ref="DO56" si="203">(CZ56*DA56*DB56)+(DC56*DD56*DE56)+(DF56*DG56*DH56)+(DI56*DJ56*DK56)+(DL56*DM56*DN56)</f>
        <v>3412.2</v>
      </c>
      <c r="DP56" s="826"/>
      <c r="DR56" s="878"/>
      <c r="DS56" s="233"/>
      <c r="DT56" s="233"/>
      <c r="DU56" s="233"/>
      <c r="DV56" s="233"/>
      <c r="DW56" s="233"/>
      <c r="DX56" s="233"/>
      <c r="DY56" s="233"/>
      <c r="DZ56" s="233"/>
      <c r="EA56" s="233"/>
      <c r="EB56" s="233"/>
      <c r="EC56" s="233"/>
      <c r="ED56" s="233"/>
      <c r="EE56" s="233"/>
      <c r="EF56" s="233"/>
      <c r="EG56" s="233"/>
      <c r="EH56" s="229">
        <f t="shared" ref="EH56" si="204">(DS56*DT56*DU56)+(DV56*DW56*DX56)+(DY56*DZ56*EA56)+(EB56*EC56*ED56)+(EE56*EF56*EG56)</f>
        <v>0</v>
      </c>
      <c r="EI56" s="826"/>
      <c r="EK56" s="872"/>
      <c r="EL56" s="229">
        <v>3</v>
      </c>
      <c r="EM56" s="229">
        <v>12</v>
      </c>
      <c r="EN56" s="229">
        <v>50</v>
      </c>
      <c r="EO56" s="229">
        <v>3</v>
      </c>
      <c r="EP56" s="229">
        <v>12</v>
      </c>
      <c r="EQ56" s="229">
        <v>12.5</v>
      </c>
      <c r="ER56" s="229">
        <v>3</v>
      </c>
      <c r="ES56" s="229">
        <v>24</v>
      </c>
      <c r="ET56" s="229">
        <f>(1/3)*$FB54</f>
        <v>26.599999999999998</v>
      </c>
      <c r="EU56" s="233"/>
      <c r="EV56" s="233"/>
      <c r="EW56" s="233"/>
      <c r="EX56" s="233"/>
      <c r="EY56" s="233"/>
      <c r="EZ56" s="233"/>
      <c r="FA56" s="229">
        <f t="shared" ref="FA56" si="205">(EL56*EM56*EN56)+(EO56*EP56*EQ56)+(ER56*ES56*ET56)+(EU56*EV56*EW56)+(EX56*EY56*EZ56)</f>
        <v>4165.2</v>
      </c>
      <c r="FB56" s="826"/>
      <c r="FD56" s="875"/>
      <c r="FE56" s="229">
        <v>3</v>
      </c>
      <c r="FF56" s="229">
        <v>8</v>
      </c>
      <c r="FG56" s="229">
        <v>63</v>
      </c>
      <c r="FH56" s="229">
        <v>3</v>
      </c>
      <c r="FI56" s="229">
        <v>10</v>
      </c>
      <c r="FJ56" s="229">
        <v>20</v>
      </c>
      <c r="FK56" s="229">
        <v>3</v>
      </c>
      <c r="FL56" s="229">
        <v>8</v>
      </c>
      <c r="FM56" s="229">
        <v>7.5</v>
      </c>
      <c r="FN56" s="233"/>
      <c r="FO56" s="233"/>
      <c r="FP56" s="233"/>
      <c r="FQ56" s="233"/>
      <c r="FR56" s="233"/>
      <c r="FS56" s="233"/>
      <c r="FT56" s="229">
        <f t="shared" ref="FT56" si="206">(FE56*FF56*FG56)+(FH56*FI56*FJ56)+(FK56*FL56*FM56)+(FN56*FO56*FP56)+(FQ56*FR56*FS56)</f>
        <v>2292</v>
      </c>
      <c r="FU56" s="826"/>
      <c r="FW56" s="842"/>
      <c r="FX56" s="233"/>
      <c r="FY56" s="233"/>
      <c r="FZ56" s="233"/>
      <c r="GA56" s="233"/>
      <c r="GB56" s="233"/>
      <c r="GC56" s="233"/>
      <c r="GD56" s="233"/>
      <c r="GE56" s="233"/>
      <c r="GF56" s="233"/>
      <c r="GG56" s="233"/>
      <c r="GH56" s="233"/>
      <c r="GI56" s="233"/>
      <c r="GJ56" s="233"/>
      <c r="GK56" s="233"/>
      <c r="GL56" s="233"/>
      <c r="GM56" s="233"/>
      <c r="GN56" s="233"/>
      <c r="GO56" s="233"/>
      <c r="GP56" s="229">
        <f t="shared" ref="GP56" si="207">(FX56*FY56*FZ56)+(GA56*GB56*GC56)+(GD56*GE56*GF56)+(GG56*GH56*GI56)+(GJ56*GK56*GL56)</f>
        <v>0</v>
      </c>
      <c r="GQ56" s="826"/>
      <c r="GR56" s="118"/>
      <c r="GS56" s="858"/>
      <c r="GT56" s="229">
        <v>3</v>
      </c>
      <c r="GU56" s="229">
        <f>((10*1)+(12*2))/3</f>
        <v>11.333333333333334</v>
      </c>
      <c r="GV56" s="229">
        <v>63</v>
      </c>
      <c r="GW56" s="229">
        <v>3</v>
      </c>
      <c r="GX56" s="229">
        <v>8</v>
      </c>
      <c r="GY56" s="229">
        <v>24.9</v>
      </c>
      <c r="GZ56" s="229">
        <v>3</v>
      </c>
      <c r="HA56" s="126">
        <v>40</v>
      </c>
      <c r="HB56" s="229">
        <f>HM54*(1/3)</f>
        <v>25.966666666666669</v>
      </c>
      <c r="HC56" s="233"/>
      <c r="HD56" s="233"/>
      <c r="HE56" s="233"/>
      <c r="HF56" s="233"/>
      <c r="HG56" s="233"/>
      <c r="HH56" s="233"/>
      <c r="HI56" s="233"/>
      <c r="HJ56" s="233"/>
      <c r="HK56" s="233"/>
      <c r="HL56" s="229">
        <f t="shared" ref="HL56" si="208">(GT56*GU56*GV56)+(GW56*GX56*GY56)+(GZ56*HA56*HB56)+(HC56*HD56*HE56)+(HF56*HG56*HH56)</f>
        <v>5855.6</v>
      </c>
      <c r="HM56" s="826"/>
      <c r="HN56" s="118"/>
      <c r="HO56" s="875"/>
      <c r="HP56" s="229">
        <v>3</v>
      </c>
      <c r="HQ56" s="229">
        <v>20</v>
      </c>
      <c r="HR56" s="229">
        <v>12</v>
      </c>
      <c r="HS56" s="233"/>
      <c r="HT56" s="233"/>
      <c r="HU56" s="233"/>
      <c r="HV56" s="233"/>
      <c r="HW56" s="233"/>
      <c r="HX56" s="233"/>
      <c r="HY56" s="233"/>
      <c r="HZ56" s="233"/>
      <c r="IA56" s="233"/>
      <c r="IB56" s="233"/>
      <c r="IC56" s="233"/>
      <c r="ID56" s="233"/>
      <c r="IE56" s="233"/>
      <c r="IF56" s="233"/>
      <c r="IG56" s="233"/>
      <c r="IH56" s="229">
        <f t="shared" ref="IH56" si="209">(HP56*HQ56*HR56)+(HS56*HT56*HU56)+(HV56*HW56*HX56)+(HY56*HZ56*IA56)+(IB56*IC56*ID56)</f>
        <v>720</v>
      </c>
      <c r="II56" s="826"/>
      <c r="IK56" s="866"/>
      <c r="IL56" s="229"/>
      <c r="IM56" s="229"/>
      <c r="IN56" s="229"/>
      <c r="IO56" s="229"/>
      <c r="IP56" s="229"/>
      <c r="IQ56" s="229"/>
      <c r="IR56" s="229"/>
      <c r="IS56" s="229"/>
      <c r="IT56" s="229"/>
      <c r="IU56" s="229"/>
      <c r="IV56" s="229"/>
      <c r="IW56" s="229"/>
      <c r="IX56" s="229"/>
      <c r="IY56" s="229"/>
      <c r="IZ56" s="229"/>
      <c r="JA56" s="229"/>
      <c r="JB56" s="229"/>
      <c r="JC56" s="229"/>
      <c r="JD56" s="949"/>
      <c r="JE56" s="229">
        <f t="shared" ref="JE56" si="210">(IL56*IM56*IN56)+(IO56*IP56*IQ56)+(IR56*IS56*IT56)+(IU56*IV56*IW56)+(IX56*IY56*IZ56)</f>
        <v>0</v>
      </c>
      <c r="JF56" s="826"/>
    </row>
    <row r="57" spans="24:266" ht="15">
      <c r="AA57" s="845">
        <v>45707</v>
      </c>
      <c r="AB57" s="859"/>
      <c r="AC57" s="859"/>
      <c r="AD57" s="859"/>
      <c r="AE57" s="860"/>
      <c r="AF57" s="860"/>
      <c r="AG57" s="860"/>
      <c r="AH57" s="843"/>
      <c r="AI57" s="843"/>
      <c r="AJ57" s="843"/>
      <c r="AK57" s="834"/>
      <c r="AL57" s="835"/>
      <c r="AM57" s="836"/>
      <c r="AN57" s="844"/>
      <c r="AO57" s="844"/>
      <c r="AP57" s="844"/>
      <c r="AQ57" s="823">
        <f t="shared" ref="AQ57" si="211">COUNTA(AB57:AP57)</f>
        <v>0</v>
      </c>
      <c r="AR57" s="824">
        <f>AR54</f>
        <v>92.8</v>
      </c>
      <c r="AT57" s="845">
        <v>45735</v>
      </c>
      <c r="AU57" s="849" t="s">
        <v>70</v>
      </c>
      <c r="AV57" s="849"/>
      <c r="AW57" s="849"/>
      <c r="AX57" s="860"/>
      <c r="AY57" s="860"/>
      <c r="AZ57" s="860"/>
      <c r="BA57" s="843"/>
      <c r="BB57" s="843"/>
      <c r="BC57" s="843"/>
      <c r="BD57" s="834"/>
      <c r="BE57" s="835"/>
      <c r="BF57" s="836"/>
      <c r="BG57" s="844"/>
      <c r="BH57" s="844"/>
      <c r="BI57" s="844"/>
      <c r="BJ57" s="823">
        <f t="shared" ref="BJ57" si="212">COUNTA(AU57:BI57)</f>
        <v>1</v>
      </c>
      <c r="BK57" s="824">
        <v>89.5</v>
      </c>
      <c r="BL57" s="118"/>
      <c r="BM57" s="840">
        <v>45766</v>
      </c>
      <c r="BN57" s="848" t="s">
        <v>100</v>
      </c>
      <c r="BO57" s="848"/>
      <c r="BP57" s="848"/>
      <c r="BQ57" s="859"/>
      <c r="BR57" s="859"/>
      <c r="BS57" s="859"/>
      <c r="BT57" s="844"/>
      <c r="BU57" s="844"/>
      <c r="BV57" s="844"/>
      <c r="BW57" s="844"/>
      <c r="BX57" s="844"/>
      <c r="BY57" s="844"/>
      <c r="BZ57" s="844"/>
      <c r="CA57" s="844"/>
      <c r="CB57" s="844"/>
      <c r="CC57" s="823">
        <f t="shared" ref="CC57" si="213">COUNTA(BN57:CB57)</f>
        <v>1</v>
      </c>
      <c r="CD57" s="824">
        <v>85.5</v>
      </c>
      <c r="CF57" s="870">
        <v>45796</v>
      </c>
      <c r="CG57" s="848" t="s">
        <v>128</v>
      </c>
      <c r="CH57" s="848"/>
      <c r="CI57" s="848"/>
      <c r="CJ57" s="882" t="s">
        <v>101</v>
      </c>
      <c r="CK57" s="883"/>
      <c r="CL57" s="884"/>
      <c r="CM57" s="882" t="s">
        <v>14</v>
      </c>
      <c r="CN57" s="883"/>
      <c r="CO57" s="884"/>
      <c r="CP57" s="844"/>
      <c r="CQ57" s="844"/>
      <c r="CR57" s="844"/>
      <c r="CS57" s="844"/>
      <c r="CT57" s="844"/>
      <c r="CU57" s="844"/>
      <c r="CV57" s="823">
        <f t="shared" ref="CV57" si="214">COUNTA(CG57:CU57)</f>
        <v>3</v>
      </c>
      <c r="CW57" s="824">
        <v>84.4</v>
      </c>
      <c r="CX57" s="118"/>
      <c r="CY57" s="873">
        <v>45827</v>
      </c>
      <c r="CZ57" s="859"/>
      <c r="DA57" s="859"/>
      <c r="DB57" s="859"/>
      <c r="DC57" s="859"/>
      <c r="DD57" s="859"/>
      <c r="DE57" s="859"/>
      <c r="DF57" s="844"/>
      <c r="DG57" s="844"/>
      <c r="DH57" s="844"/>
      <c r="DI57" s="844"/>
      <c r="DJ57" s="844"/>
      <c r="DK57" s="844"/>
      <c r="DL57" s="844"/>
      <c r="DM57" s="844"/>
      <c r="DN57" s="844"/>
      <c r="DO57" s="823">
        <f t="shared" ref="DO57" si="215">COUNTA(CZ57:DN57)</f>
        <v>0</v>
      </c>
      <c r="DP57" s="824">
        <f>DP54</f>
        <v>83</v>
      </c>
      <c r="DR57" s="840">
        <v>45857</v>
      </c>
      <c r="DS57" s="859"/>
      <c r="DT57" s="859"/>
      <c r="DU57" s="859"/>
      <c r="DV57" s="859"/>
      <c r="DW57" s="859"/>
      <c r="DX57" s="859"/>
      <c r="DY57" s="844"/>
      <c r="DZ57" s="844"/>
      <c r="EA57" s="844"/>
      <c r="EB57" s="844"/>
      <c r="EC57" s="844"/>
      <c r="ED57" s="844"/>
      <c r="EE57" s="844"/>
      <c r="EF57" s="844"/>
      <c r="EG57" s="844"/>
      <c r="EH57" s="823">
        <f t="shared" ref="EH57" si="216">COUNTA(DS57:EG57)</f>
        <v>0</v>
      </c>
      <c r="EI57" s="824">
        <f>EI54</f>
        <v>82.1</v>
      </c>
      <c r="EK57" s="856">
        <v>45888</v>
      </c>
      <c r="EL57" s="859"/>
      <c r="EM57" s="859"/>
      <c r="EN57" s="859"/>
      <c r="EO57" s="859"/>
      <c r="EP57" s="859"/>
      <c r="EQ57" s="859"/>
      <c r="ER57" s="844"/>
      <c r="ES57" s="844"/>
      <c r="ET57" s="844"/>
      <c r="EU57" s="844"/>
      <c r="EV57" s="844"/>
      <c r="EW57" s="844"/>
      <c r="EX57" s="844"/>
      <c r="EY57" s="844"/>
      <c r="EZ57" s="844"/>
      <c r="FA57" s="823">
        <f t="shared" ref="FA57" si="217">COUNTA(EL57:EZ57)</f>
        <v>0</v>
      </c>
      <c r="FB57" s="824">
        <f>FB54</f>
        <v>79.8</v>
      </c>
      <c r="FD57" s="876">
        <v>45919</v>
      </c>
      <c r="FE57" s="848" t="s">
        <v>68</v>
      </c>
      <c r="FF57" s="848"/>
      <c r="FG57" s="848"/>
      <c r="FH57" s="890" t="s">
        <v>106</v>
      </c>
      <c r="FI57" s="890"/>
      <c r="FJ57" s="890"/>
      <c r="FK57" s="890" t="s">
        <v>71</v>
      </c>
      <c r="FL57" s="890"/>
      <c r="FM57" s="890"/>
      <c r="FN57" s="882" t="s">
        <v>111</v>
      </c>
      <c r="FO57" s="883"/>
      <c r="FP57" s="884"/>
      <c r="FQ57" s="844"/>
      <c r="FR57" s="844"/>
      <c r="FS57" s="844"/>
      <c r="FT57" s="823">
        <f t="shared" ref="FT57" si="218">COUNTA(FE57:FS57)</f>
        <v>4</v>
      </c>
      <c r="FU57" s="824">
        <v>79.400000000000006</v>
      </c>
      <c r="FW57" s="864">
        <v>45949</v>
      </c>
      <c r="FX57" s="849" t="s">
        <v>89</v>
      </c>
      <c r="FY57" s="849"/>
      <c r="FZ57" s="849"/>
      <c r="GA57" s="848" t="s">
        <v>103</v>
      </c>
      <c r="GB57" s="848"/>
      <c r="GC57" s="848"/>
      <c r="GD57" s="882" t="s">
        <v>85</v>
      </c>
      <c r="GE57" s="883"/>
      <c r="GF57" s="884"/>
      <c r="GG57" s="890" t="s">
        <v>106</v>
      </c>
      <c r="GH57" s="890"/>
      <c r="GI57" s="890"/>
      <c r="GJ57" s="879" t="s">
        <v>78</v>
      </c>
      <c r="GK57" s="880"/>
      <c r="GL57" s="881"/>
      <c r="GM57" s="882" t="s">
        <v>123</v>
      </c>
      <c r="GN57" s="883"/>
      <c r="GO57" s="884"/>
      <c r="GP57" s="823">
        <f>COUNTA(FX57:GO57)</f>
        <v>6</v>
      </c>
      <c r="GQ57" s="824">
        <v>77.400000000000006</v>
      </c>
      <c r="GR57" s="118"/>
      <c r="GS57" s="845">
        <v>45980</v>
      </c>
      <c r="GT57" s="848" t="s">
        <v>70</v>
      </c>
      <c r="GU57" s="848"/>
      <c r="GV57" s="848"/>
      <c r="GW57" s="859"/>
      <c r="GX57" s="859"/>
      <c r="GY57" s="859"/>
      <c r="GZ57" s="834"/>
      <c r="HA57" s="835"/>
      <c r="HB57" s="836"/>
      <c r="HC57" s="867"/>
      <c r="HD57" s="868"/>
      <c r="HE57" s="869"/>
      <c r="HF57" s="834"/>
      <c r="HG57" s="835"/>
      <c r="HH57" s="836"/>
      <c r="HI57" s="834"/>
      <c r="HJ57" s="835"/>
      <c r="HK57" s="836"/>
      <c r="HL57" s="823">
        <f>COUNTA(GT57:HK57)</f>
        <v>1</v>
      </c>
      <c r="HM57" s="824">
        <v>78.099999999999994</v>
      </c>
      <c r="HN57" s="118"/>
      <c r="HO57" s="876">
        <v>46010</v>
      </c>
      <c r="HP57" s="885"/>
      <c r="HQ57" s="885"/>
      <c r="HR57" s="885"/>
      <c r="HS57" s="885"/>
      <c r="HT57" s="885"/>
      <c r="HU57" s="885"/>
      <c r="HV57" s="885"/>
      <c r="HW57" s="885"/>
      <c r="HX57" s="885"/>
      <c r="HY57" s="885"/>
      <c r="HZ57" s="885"/>
      <c r="IA57" s="885"/>
      <c r="IB57" s="885"/>
      <c r="IC57" s="885"/>
      <c r="ID57" s="885"/>
      <c r="IE57" s="837"/>
      <c r="IF57" s="838"/>
      <c r="IG57" s="839"/>
      <c r="IH57" s="823">
        <f>COUNTA(HP57:IG57)</f>
        <v>0</v>
      </c>
      <c r="II57" s="824">
        <f>II54</f>
        <v>76.599999999999994</v>
      </c>
      <c r="IK57" s="870">
        <v>46041</v>
      </c>
      <c r="IL57" s="848"/>
      <c r="IM57" s="848"/>
      <c r="IN57" s="848"/>
      <c r="IO57" s="848"/>
      <c r="IP57" s="848"/>
      <c r="IQ57" s="848"/>
      <c r="IR57" s="848"/>
      <c r="IS57" s="848"/>
      <c r="IT57" s="848"/>
      <c r="IU57" s="848"/>
      <c r="IV57" s="848"/>
      <c r="IW57" s="848"/>
      <c r="IX57" s="882"/>
      <c r="IY57" s="883"/>
      <c r="IZ57" s="884"/>
      <c r="JA57" s="882"/>
      <c r="JB57" s="883"/>
      <c r="JC57" s="884"/>
      <c r="JD57" s="232" t="s">
        <v>425</v>
      </c>
      <c r="JE57" s="823">
        <f>COUNTA(IL57:JC57)</f>
        <v>0</v>
      </c>
      <c r="JF57" s="824"/>
    </row>
    <row r="58" spans="24:266" ht="15">
      <c r="AA58" s="846"/>
      <c r="AB58" s="107" t="s">
        <v>59</v>
      </c>
      <c r="AC58" s="107" t="s">
        <v>73</v>
      </c>
      <c r="AD58" s="108" t="s">
        <v>4</v>
      </c>
      <c r="AE58" s="107" t="s">
        <v>59</v>
      </c>
      <c r="AF58" s="107" t="s">
        <v>73</v>
      </c>
      <c r="AG58" s="108" t="s">
        <v>4</v>
      </c>
      <c r="AH58" s="107" t="s">
        <v>59</v>
      </c>
      <c r="AI58" s="107" t="s">
        <v>73</v>
      </c>
      <c r="AJ58" s="108" t="s">
        <v>4</v>
      </c>
      <c r="AK58" s="107" t="s">
        <v>59</v>
      </c>
      <c r="AL58" s="107" t="s">
        <v>73</v>
      </c>
      <c r="AM58" s="108" t="s">
        <v>4</v>
      </c>
      <c r="AN58" s="107" t="s">
        <v>59</v>
      </c>
      <c r="AO58" s="107" t="s">
        <v>73</v>
      </c>
      <c r="AP58" s="108" t="s">
        <v>4</v>
      </c>
      <c r="AQ58" s="823"/>
      <c r="AR58" s="825"/>
      <c r="AT58" s="846"/>
      <c r="AU58" s="231" t="s">
        <v>59</v>
      </c>
      <c r="AV58" s="231" t="s">
        <v>73</v>
      </c>
      <c r="AW58" s="102" t="s">
        <v>4</v>
      </c>
      <c r="AX58" s="107" t="s">
        <v>59</v>
      </c>
      <c r="AY58" s="107" t="s">
        <v>73</v>
      </c>
      <c r="AZ58" s="108" t="s">
        <v>4</v>
      </c>
      <c r="BA58" s="107" t="s">
        <v>59</v>
      </c>
      <c r="BB58" s="107" t="s">
        <v>73</v>
      </c>
      <c r="BC58" s="108" t="s">
        <v>4</v>
      </c>
      <c r="BD58" s="107" t="s">
        <v>59</v>
      </c>
      <c r="BE58" s="107" t="s">
        <v>73</v>
      </c>
      <c r="BF58" s="108" t="s">
        <v>4</v>
      </c>
      <c r="BG58" s="107" t="s">
        <v>59</v>
      </c>
      <c r="BH58" s="107" t="s">
        <v>73</v>
      </c>
      <c r="BI58" s="108" t="s">
        <v>4</v>
      </c>
      <c r="BJ58" s="823"/>
      <c r="BK58" s="825"/>
      <c r="BL58" s="118"/>
      <c r="BM58" s="841"/>
      <c r="BN58" s="231" t="s">
        <v>59</v>
      </c>
      <c r="BO58" s="231" t="s">
        <v>73</v>
      </c>
      <c r="BP58" s="102" t="s">
        <v>4</v>
      </c>
      <c r="BQ58" s="107" t="s">
        <v>59</v>
      </c>
      <c r="BR58" s="107" t="s">
        <v>73</v>
      </c>
      <c r="BS58" s="108" t="s">
        <v>4</v>
      </c>
      <c r="BT58" s="107" t="s">
        <v>59</v>
      </c>
      <c r="BU58" s="107" t="s">
        <v>73</v>
      </c>
      <c r="BV58" s="108" t="s">
        <v>4</v>
      </c>
      <c r="BW58" s="107" t="s">
        <v>59</v>
      </c>
      <c r="BX58" s="107" t="s">
        <v>73</v>
      </c>
      <c r="BY58" s="108" t="s">
        <v>4</v>
      </c>
      <c r="BZ58" s="107" t="s">
        <v>59</v>
      </c>
      <c r="CA58" s="107" t="s">
        <v>73</v>
      </c>
      <c r="CB58" s="108" t="s">
        <v>4</v>
      </c>
      <c r="CC58" s="823"/>
      <c r="CD58" s="825"/>
      <c r="CF58" s="871"/>
      <c r="CG58" s="231" t="s">
        <v>59</v>
      </c>
      <c r="CH58" s="231" t="s">
        <v>73</v>
      </c>
      <c r="CI58" s="102" t="s">
        <v>4</v>
      </c>
      <c r="CJ58" s="231" t="s">
        <v>59</v>
      </c>
      <c r="CK58" s="231" t="s">
        <v>73</v>
      </c>
      <c r="CL58" s="102" t="s">
        <v>4</v>
      </c>
      <c r="CM58" s="231" t="s">
        <v>59</v>
      </c>
      <c r="CN58" s="231" t="s">
        <v>73</v>
      </c>
      <c r="CO58" s="102" t="s">
        <v>4</v>
      </c>
      <c r="CP58" s="107" t="s">
        <v>59</v>
      </c>
      <c r="CQ58" s="107" t="s">
        <v>73</v>
      </c>
      <c r="CR58" s="108" t="s">
        <v>4</v>
      </c>
      <c r="CS58" s="107" t="s">
        <v>59</v>
      </c>
      <c r="CT58" s="107" t="s">
        <v>73</v>
      </c>
      <c r="CU58" s="108" t="s">
        <v>4</v>
      </c>
      <c r="CV58" s="823"/>
      <c r="CW58" s="825"/>
      <c r="CX58" s="118"/>
      <c r="CY58" s="874"/>
      <c r="CZ58" s="107" t="s">
        <v>59</v>
      </c>
      <c r="DA58" s="107" t="s">
        <v>73</v>
      </c>
      <c r="DB58" s="108" t="s">
        <v>4</v>
      </c>
      <c r="DC58" s="107" t="s">
        <v>59</v>
      </c>
      <c r="DD58" s="107" t="s">
        <v>73</v>
      </c>
      <c r="DE58" s="108" t="s">
        <v>4</v>
      </c>
      <c r="DF58" s="107" t="s">
        <v>59</v>
      </c>
      <c r="DG58" s="107" t="s">
        <v>73</v>
      </c>
      <c r="DH58" s="108" t="s">
        <v>4</v>
      </c>
      <c r="DI58" s="107" t="s">
        <v>59</v>
      </c>
      <c r="DJ58" s="107" t="s">
        <v>73</v>
      </c>
      <c r="DK58" s="108" t="s">
        <v>4</v>
      </c>
      <c r="DL58" s="107" t="s">
        <v>59</v>
      </c>
      <c r="DM58" s="107" t="s">
        <v>73</v>
      </c>
      <c r="DN58" s="108" t="s">
        <v>4</v>
      </c>
      <c r="DO58" s="823"/>
      <c r="DP58" s="825"/>
      <c r="DR58" s="841"/>
      <c r="DS58" s="107" t="s">
        <v>59</v>
      </c>
      <c r="DT58" s="107" t="s">
        <v>73</v>
      </c>
      <c r="DU58" s="108" t="s">
        <v>4</v>
      </c>
      <c r="DV58" s="107" t="s">
        <v>59</v>
      </c>
      <c r="DW58" s="107" t="s">
        <v>73</v>
      </c>
      <c r="DX58" s="108" t="s">
        <v>4</v>
      </c>
      <c r="DY58" s="107" t="s">
        <v>59</v>
      </c>
      <c r="DZ58" s="107" t="s">
        <v>73</v>
      </c>
      <c r="EA58" s="108" t="s">
        <v>4</v>
      </c>
      <c r="EB58" s="107" t="s">
        <v>59</v>
      </c>
      <c r="EC58" s="107" t="s">
        <v>73</v>
      </c>
      <c r="ED58" s="108" t="s">
        <v>4</v>
      </c>
      <c r="EE58" s="107" t="s">
        <v>59</v>
      </c>
      <c r="EF58" s="107" t="s">
        <v>73</v>
      </c>
      <c r="EG58" s="108" t="s">
        <v>4</v>
      </c>
      <c r="EH58" s="823"/>
      <c r="EI58" s="825"/>
      <c r="EK58" s="857"/>
      <c r="EL58" s="107" t="s">
        <v>59</v>
      </c>
      <c r="EM58" s="107" t="s">
        <v>73</v>
      </c>
      <c r="EN58" s="108" t="s">
        <v>4</v>
      </c>
      <c r="EO58" s="107" t="s">
        <v>59</v>
      </c>
      <c r="EP58" s="107" t="s">
        <v>73</v>
      </c>
      <c r="EQ58" s="108" t="s">
        <v>4</v>
      </c>
      <c r="ER58" s="107" t="s">
        <v>59</v>
      </c>
      <c r="ES58" s="107" t="s">
        <v>73</v>
      </c>
      <c r="ET58" s="108" t="s">
        <v>4</v>
      </c>
      <c r="EU58" s="107" t="s">
        <v>59</v>
      </c>
      <c r="EV58" s="107" t="s">
        <v>73</v>
      </c>
      <c r="EW58" s="108" t="s">
        <v>4</v>
      </c>
      <c r="EX58" s="107" t="s">
        <v>59</v>
      </c>
      <c r="EY58" s="107" t="s">
        <v>73</v>
      </c>
      <c r="EZ58" s="108" t="s">
        <v>4</v>
      </c>
      <c r="FA58" s="823"/>
      <c r="FB58" s="825"/>
      <c r="FD58" s="877"/>
      <c r="FE58" s="231" t="s">
        <v>59</v>
      </c>
      <c r="FF58" s="231" t="s">
        <v>73</v>
      </c>
      <c r="FG58" s="102" t="s">
        <v>4</v>
      </c>
      <c r="FH58" s="231" t="s">
        <v>59</v>
      </c>
      <c r="FI58" s="231" t="s">
        <v>73</v>
      </c>
      <c r="FJ58" s="102" t="s">
        <v>4</v>
      </c>
      <c r="FK58" s="231" t="s">
        <v>59</v>
      </c>
      <c r="FL58" s="231" t="s">
        <v>73</v>
      </c>
      <c r="FM58" s="102" t="s">
        <v>4</v>
      </c>
      <c r="FN58" s="231" t="s">
        <v>59</v>
      </c>
      <c r="FO58" s="231" t="s">
        <v>73</v>
      </c>
      <c r="FP58" s="102" t="s">
        <v>4</v>
      </c>
      <c r="FQ58" s="107" t="s">
        <v>59</v>
      </c>
      <c r="FR58" s="107" t="s">
        <v>73</v>
      </c>
      <c r="FS58" s="108" t="s">
        <v>4</v>
      </c>
      <c r="FT58" s="823"/>
      <c r="FU58" s="825"/>
      <c r="FW58" s="865"/>
      <c r="FX58" s="231" t="s">
        <v>59</v>
      </c>
      <c r="FY58" s="231" t="s">
        <v>73</v>
      </c>
      <c r="FZ58" s="102" t="s">
        <v>4</v>
      </c>
      <c r="GA58" s="231" t="s">
        <v>59</v>
      </c>
      <c r="GB58" s="231" t="s">
        <v>73</v>
      </c>
      <c r="GC58" s="102" t="s">
        <v>4</v>
      </c>
      <c r="GD58" s="231" t="s">
        <v>59</v>
      </c>
      <c r="GE58" s="231" t="s">
        <v>73</v>
      </c>
      <c r="GF58" s="102" t="s">
        <v>4</v>
      </c>
      <c r="GG58" s="231" t="s">
        <v>59</v>
      </c>
      <c r="GH58" s="231" t="s">
        <v>73</v>
      </c>
      <c r="GI58" s="102" t="s">
        <v>4</v>
      </c>
      <c r="GJ58" s="231" t="s">
        <v>59</v>
      </c>
      <c r="GK58" s="231" t="s">
        <v>73</v>
      </c>
      <c r="GL58" s="102" t="s">
        <v>4</v>
      </c>
      <c r="GM58" s="231" t="s">
        <v>59</v>
      </c>
      <c r="GN58" s="231" t="s">
        <v>73</v>
      </c>
      <c r="GO58" s="102" t="s">
        <v>4</v>
      </c>
      <c r="GP58" s="823"/>
      <c r="GQ58" s="825"/>
      <c r="GR58" s="118"/>
      <c r="GS58" s="846"/>
      <c r="GT58" s="231" t="s">
        <v>59</v>
      </c>
      <c r="GU58" s="231" t="s">
        <v>73</v>
      </c>
      <c r="GV58" s="102" t="s">
        <v>4</v>
      </c>
      <c r="GW58" s="107" t="s">
        <v>59</v>
      </c>
      <c r="GX58" s="107" t="s">
        <v>73</v>
      </c>
      <c r="GY58" s="108" t="s">
        <v>4</v>
      </c>
      <c r="GZ58" s="107" t="s">
        <v>59</v>
      </c>
      <c r="HA58" s="107" t="s">
        <v>73</v>
      </c>
      <c r="HB58" s="108" t="s">
        <v>4</v>
      </c>
      <c r="HC58" s="107" t="s">
        <v>59</v>
      </c>
      <c r="HD58" s="107" t="s">
        <v>73</v>
      </c>
      <c r="HE58" s="108" t="s">
        <v>4</v>
      </c>
      <c r="HF58" s="107" t="s">
        <v>59</v>
      </c>
      <c r="HG58" s="107" t="s">
        <v>73</v>
      </c>
      <c r="HH58" s="108" t="s">
        <v>4</v>
      </c>
      <c r="HI58" s="107" t="s">
        <v>59</v>
      </c>
      <c r="HJ58" s="107" t="s">
        <v>73</v>
      </c>
      <c r="HK58" s="108" t="s">
        <v>4</v>
      </c>
      <c r="HL58" s="823"/>
      <c r="HM58" s="825"/>
      <c r="HN58" s="118"/>
      <c r="HO58" s="877"/>
      <c r="HP58" s="271" t="s">
        <v>59</v>
      </c>
      <c r="HQ58" s="271" t="s">
        <v>73</v>
      </c>
      <c r="HR58" s="272" t="s">
        <v>4</v>
      </c>
      <c r="HS58" s="271" t="s">
        <v>59</v>
      </c>
      <c r="HT58" s="271" t="s">
        <v>73</v>
      </c>
      <c r="HU58" s="272" t="s">
        <v>4</v>
      </c>
      <c r="HV58" s="271" t="s">
        <v>59</v>
      </c>
      <c r="HW58" s="271" t="s">
        <v>73</v>
      </c>
      <c r="HX58" s="272" t="s">
        <v>4</v>
      </c>
      <c r="HY58" s="271" t="s">
        <v>59</v>
      </c>
      <c r="HZ58" s="271" t="s">
        <v>73</v>
      </c>
      <c r="IA58" s="272" t="s">
        <v>4</v>
      </c>
      <c r="IB58" s="271" t="s">
        <v>59</v>
      </c>
      <c r="IC58" s="271" t="s">
        <v>73</v>
      </c>
      <c r="ID58" s="272" t="s">
        <v>4</v>
      </c>
      <c r="IE58" s="271" t="s">
        <v>59</v>
      </c>
      <c r="IF58" s="271" t="s">
        <v>73</v>
      </c>
      <c r="IG58" s="272" t="s">
        <v>4</v>
      </c>
      <c r="IH58" s="823"/>
      <c r="II58" s="825"/>
      <c r="IK58" s="871"/>
      <c r="IL58" s="231" t="s">
        <v>59</v>
      </c>
      <c r="IM58" s="231" t="s">
        <v>73</v>
      </c>
      <c r="IN58" s="102" t="s">
        <v>4</v>
      </c>
      <c r="IO58" s="231" t="s">
        <v>59</v>
      </c>
      <c r="IP58" s="231" t="s">
        <v>73</v>
      </c>
      <c r="IQ58" s="102" t="s">
        <v>4</v>
      </c>
      <c r="IR58" s="231" t="s">
        <v>59</v>
      </c>
      <c r="IS58" s="231" t="s">
        <v>73</v>
      </c>
      <c r="IT58" s="102" t="s">
        <v>4</v>
      </c>
      <c r="IU58" s="231" t="s">
        <v>59</v>
      </c>
      <c r="IV58" s="231" t="s">
        <v>73</v>
      </c>
      <c r="IW58" s="102" t="s">
        <v>4</v>
      </c>
      <c r="IX58" s="231" t="s">
        <v>59</v>
      </c>
      <c r="IY58" s="231" t="s">
        <v>73</v>
      </c>
      <c r="IZ58" s="102" t="s">
        <v>4</v>
      </c>
      <c r="JA58" s="231" t="s">
        <v>59</v>
      </c>
      <c r="JB58" s="231" t="s">
        <v>73</v>
      </c>
      <c r="JC58" s="102" t="s">
        <v>4</v>
      </c>
      <c r="JD58" s="948"/>
      <c r="JE58" s="823"/>
      <c r="JF58" s="825"/>
    </row>
    <row r="59" spans="24:266" ht="15">
      <c r="AA59" s="847"/>
      <c r="AB59" s="233"/>
      <c r="AC59" s="233"/>
      <c r="AD59" s="233"/>
      <c r="AE59" s="233"/>
      <c r="AF59" s="233"/>
      <c r="AG59" s="233"/>
      <c r="AH59" s="233"/>
      <c r="AI59" s="233"/>
      <c r="AJ59" s="233"/>
      <c r="AK59" s="233"/>
      <c r="AL59" s="233"/>
      <c r="AM59" s="233"/>
      <c r="AN59" s="233"/>
      <c r="AO59" s="233"/>
      <c r="AP59" s="233"/>
      <c r="AQ59" s="229">
        <f t="shared" ref="AQ59" si="219">(AB59*AC59*AD59)+(AE59*AF59*AG59)+(AH59*AI59*AJ59)+(AK59*AL59*AM59)+(AN59*AO59*AP59)</f>
        <v>0</v>
      </c>
      <c r="AR59" s="826"/>
      <c r="AT59" s="847"/>
      <c r="AU59" s="229">
        <v>1</v>
      </c>
      <c r="AV59" s="229">
        <v>30</v>
      </c>
      <c r="AW59" s="229">
        <f>BK57</f>
        <v>89.5</v>
      </c>
      <c r="AX59" s="233"/>
      <c r="AY59" s="233"/>
      <c r="AZ59" s="233"/>
      <c r="BA59" s="233"/>
      <c r="BB59" s="233"/>
      <c r="BC59" s="233"/>
      <c r="BD59" s="233"/>
      <c r="BE59" s="233"/>
      <c r="BF59" s="233"/>
      <c r="BG59" s="233"/>
      <c r="BH59" s="233"/>
      <c r="BI59" s="233"/>
      <c r="BJ59" s="229">
        <f t="shared" ref="BJ59" si="220">(AU59*AV59*AW59)+(AX59*AY59*AZ59)+(BA59*BB59*BC59)+(BD59*BE59*BF59)+(BG59*BH59*BI59)</f>
        <v>2685</v>
      </c>
      <c r="BK59" s="826"/>
      <c r="BL59" s="118"/>
      <c r="BM59" s="842"/>
      <c r="BN59" s="229">
        <v>1</v>
      </c>
      <c r="BO59" s="229">
        <v>30</v>
      </c>
      <c r="BP59" s="229">
        <f>CD57</f>
        <v>85.5</v>
      </c>
      <c r="BQ59" s="233"/>
      <c r="BR59" s="233"/>
      <c r="BS59" s="233"/>
      <c r="BT59" s="233"/>
      <c r="BU59" s="233"/>
      <c r="BV59" s="233"/>
      <c r="BW59" s="233"/>
      <c r="BX59" s="233"/>
      <c r="BY59" s="233"/>
      <c r="BZ59" s="233"/>
      <c r="CA59" s="233"/>
      <c r="CB59" s="233"/>
      <c r="CC59" s="229">
        <f t="shared" ref="CC59" si="221">(BN59*BO59*BP59)+(BQ59*BR59*BS59)+(BT59*BU59*BV59)+(BW59*BX59*BY59)+(BZ59*CA59*CB59)</f>
        <v>2565</v>
      </c>
      <c r="CD59" s="826"/>
      <c r="CF59" s="872"/>
      <c r="CG59" s="229">
        <v>4</v>
      </c>
      <c r="CH59" s="229">
        <v>10</v>
      </c>
      <c r="CI59" s="229">
        <v>12.5</v>
      </c>
      <c r="CJ59" s="229">
        <v>4</v>
      </c>
      <c r="CK59" s="229">
        <f>((8*1)+(10*3))/4</f>
        <v>9.5</v>
      </c>
      <c r="CL59" s="229">
        <f>((24.9*1)+(27.2*3))/4</f>
        <v>26.625</v>
      </c>
      <c r="CM59" s="229">
        <v>4</v>
      </c>
      <c r="CN59" s="229">
        <v>10</v>
      </c>
      <c r="CO59" s="229">
        <v>12.5</v>
      </c>
      <c r="CP59" s="233"/>
      <c r="CQ59" s="233"/>
      <c r="CR59" s="233"/>
      <c r="CS59" s="233"/>
      <c r="CT59" s="233"/>
      <c r="CU59" s="233"/>
      <c r="CV59" s="229">
        <f>(CG59*CH59*CI59)+(CJ59*CK59*CL59)+(CM59*CN59*CO59)+(CP59*CQ59*CR59)+(CS59*CT59*CU59)</f>
        <v>2011.75</v>
      </c>
      <c r="CW59" s="826"/>
      <c r="CX59" s="118"/>
      <c r="CY59" s="875"/>
      <c r="CZ59" s="233"/>
      <c r="DA59" s="233"/>
      <c r="DB59" s="233"/>
      <c r="DC59" s="233"/>
      <c r="DD59" s="233"/>
      <c r="DE59" s="233"/>
      <c r="DF59" s="233"/>
      <c r="DG59" s="233"/>
      <c r="DH59" s="233"/>
      <c r="DI59" s="233"/>
      <c r="DJ59" s="233"/>
      <c r="DK59" s="233"/>
      <c r="DL59" s="233"/>
      <c r="DM59" s="233"/>
      <c r="DN59" s="233"/>
      <c r="DO59" s="229">
        <f>(CZ59*DA59*DB59)+(DC59*DD59*DE59)+(DF59*DG59*DH59)+(DI59*DJ59*DK59)+(DL59*DM59*DN59)</f>
        <v>0</v>
      </c>
      <c r="DP59" s="826"/>
      <c r="DR59" s="842"/>
      <c r="DS59" s="233"/>
      <c r="DT59" s="233"/>
      <c r="DU59" s="233"/>
      <c r="DV59" s="233"/>
      <c r="DW59" s="233"/>
      <c r="DX59" s="233"/>
      <c r="DY59" s="233"/>
      <c r="DZ59" s="233"/>
      <c r="EA59" s="233"/>
      <c r="EB59" s="233"/>
      <c r="EC59" s="233"/>
      <c r="ED59" s="233"/>
      <c r="EE59" s="233"/>
      <c r="EF59" s="233"/>
      <c r="EG59" s="233"/>
      <c r="EH59" s="229">
        <f>(DS59*DT59*DU59)+(DV59*DW59*DX59)+(DY59*DZ59*EA59)+(EB59*EC59*ED59)+(EE59*EF59*EG59)</f>
        <v>0</v>
      </c>
      <c r="EI59" s="826"/>
      <c r="EK59" s="858"/>
      <c r="EL59" s="233"/>
      <c r="EM59" s="233"/>
      <c r="EN59" s="233"/>
      <c r="EO59" s="233"/>
      <c r="EP59" s="233"/>
      <c r="EQ59" s="233"/>
      <c r="ER59" s="233"/>
      <c r="ES59" s="233"/>
      <c r="ET59" s="233"/>
      <c r="EU59" s="233"/>
      <c r="EV59" s="233"/>
      <c r="EW59" s="233"/>
      <c r="EX59" s="233"/>
      <c r="EY59" s="233"/>
      <c r="EZ59" s="233"/>
      <c r="FA59" s="229">
        <f>(EL59*EM59*EN59)+(EO59*EP59*EQ59)+(ER59*ES59*ET59)+(EU59*EV59*EW59)+(EX59*EY59*EZ59)</f>
        <v>0</v>
      </c>
      <c r="FB59" s="826"/>
      <c r="FD59" s="878"/>
      <c r="FE59" s="229">
        <v>3</v>
      </c>
      <c r="FF59" s="229">
        <f>((12*2)+(8*2))/4</f>
        <v>10</v>
      </c>
      <c r="FG59" s="126">
        <v>68</v>
      </c>
      <c r="FH59" s="229">
        <v>4</v>
      </c>
      <c r="FI59" s="126">
        <f>((16*1)+(12*2))/3</f>
        <v>13.333333333333334</v>
      </c>
      <c r="FJ59" s="126">
        <f>((7.5*1)+(10*2))/3</f>
        <v>9.1666666666666661</v>
      </c>
      <c r="FK59" s="229">
        <v>3</v>
      </c>
      <c r="FL59" s="229">
        <v>12</v>
      </c>
      <c r="FM59" s="229">
        <v>25</v>
      </c>
      <c r="FN59" s="229">
        <v>4</v>
      </c>
      <c r="FO59" s="229">
        <v>8</v>
      </c>
      <c r="FP59" s="126">
        <v>22.5</v>
      </c>
      <c r="FQ59" s="233"/>
      <c r="FR59" s="233"/>
      <c r="FS59" s="233"/>
      <c r="FT59" s="229">
        <f>(FE59*FF59*FG59)+(FH59*FI59*FJ59)+(FK59*FL59*FM59)+(FN59*FO59*FP59)+(FQ59*FR59*FS59)</f>
        <v>4148.8888888888887</v>
      </c>
      <c r="FU59" s="826"/>
      <c r="FW59" s="866"/>
      <c r="FX59" s="229">
        <v>3</v>
      </c>
      <c r="FY59" s="126">
        <f>((12*1)+(10*3))/4</f>
        <v>10.5</v>
      </c>
      <c r="FZ59" s="229">
        <f>((45*1)+(63*3))/4</f>
        <v>58.5</v>
      </c>
      <c r="GA59" s="229">
        <v>4</v>
      </c>
      <c r="GB59" s="229">
        <f>((12*2)+(8*1))/3</f>
        <v>10.666666666666666</v>
      </c>
      <c r="GC59" s="126">
        <f>((17.5*2)+(20*1))/3</f>
        <v>18.333333333333332</v>
      </c>
      <c r="GD59" s="229">
        <v>3</v>
      </c>
      <c r="GE59" s="126">
        <f>((30*1)+(32*1)+(34*1))/3</f>
        <v>32</v>
      </c>
      <c r="GF59" s="229">
        <f>GQ57*(1/3)</f>
        <v>25.8</v>
      </c>
      <c r="GG59" s="229">
        <v>4</v>
      </c>
      <c r="GH59" s="229">
        <v>12</v>
      </c>
      <c r="GI59" s="229">
        <v>12.5</v>
      </c>
      <c r="GJ59" s="229">
        <v>2</v>
      </c>
      <c r="GK59" s="229">
        <v>12</v>
      </c>
      <c r="GL59" s="229">
        <v>15</v>
      </c>
      <c r="GM59" s="229">
        <v>2</v>
      </c>
      <c r="GN59" s="229">
        <f>((8*1)+(14*1)+(16*1))/3</f>
        <v>12.666666666666666</v>
      </c>
      <c r="GO59" s="229">
        <v>13.6</v>
      </c>
      <c r="GP59" s="229">
        <f>(FX59*FY59*FZ59)+(GA59*GB59*GC59)+(GD59*GE59*GF59)+(GG59*GH59*GI59)+(GJ59*GK59*GL59)+(GM59*GN59*GO59)</f>
        <v>6406.3055555555547</v>
      </c>
      <c r="GQ59" s="826"/>
      <c r="GR59" s="118"/>
      <c r="GS59" s="847"/>
      <c r="GT59" s="229">
        <v>1</v>
      </c>
      <c r="GU59" s="229">
        <v>20</v>
      </c>
      <c r="GV59" s="229">
        <f>HM57</f>
        <v>78.099999999999994</v>
      </c>
      <c r="GW59" s="233"/>
      <c r="GX59" s="233"/>
      <c r="GY59" s="233"/>
      <c r="GZ59" s="233"/>
      <c r="HA59" s="233"/>
      <c r="HB59" s="233"/>
      <c r="HC59" s="233"/>
      <c r="HD59" s="233"/>
      <c r="HE59" s="233"/>
      <c r="HF59" s="233"/>
      <c r="HG59" s="233"/>
      <c r="HH59" s="233"/>
      <c r="HI59" s="233"/>
      <c r="HJ59" s="233"/>
      <c r="HK59" s="233"/>
      <c r="HL59" s="229">
        <f>(GT59*GU59*GV59)+(GW59*GX59*GY59)+(GZ59*HA59*HB59)+(HC59*HD59*HE59)+(HF59*HG59*HH59)+(HI59*HJ59*HK59)</f>
        <v>1562</v>
      </c>
      <c r="HM59" s="826"/>
      <c r="HN59" s="118"/>
      <c r="HO59" s="878"/>
      <c r="HP59" s="273"/>
      <c r="HQ59" s="273"/>
      <c r="HR59" s="273"/>
      <c r="HS59" s="273"/>
      <c r="HT59" s="273"/>
      <c r="HU59" s="273"/>
      <c r="HV59" s="273"/>
      <c r="HW59" s="273"/>
      <c r="HX59" s="273"/>
      <c r="HY59" s="273"/>
      <c r="HZ59" s="273"/>
      <c r="IA59" s="273"/>
      <c r="IB59" s="273"/>
      <c r="IC59" s="273"/>
      <c r="ID59" s="273"/>
      <c r="IE59" s="273"/>
      <c r="IF59" s="273"/>
      <c r="IG59" s="273"/>
      <c r="IH59" s="229">
        <f>(HP59*HQ59*HR59)+(HS59*HT59*HU59)+(HV59*HW59*HX59)+(HY59*HZ59*IA59)+(IB59*IC59*ID59)+(IE59*IF59*IG59)</f>
        <v>0</v>
      </c>
      <c r="II59" s="826"/>
      <c r="IK59" s="872"/>
      <c r="IL59" s="229"/>
      <c r="IM59" s="229"/>
      <c r="IN59" s="229"/>
      <c r="IO59" s="229"/>
      <c r="IP59" s="229"/>
      <c r="IQ59" s="229"/>
      <c r="IR59" s="229"/>
      <c r="IS59" s="229"/>
      <c r="IT59" s="229"/>
      <c r="IU59" s="229"/>
      <c r="IV59" s="229"/>
      <c r="IW59" s="229"/>
      <c r="IX59" s="229"/>
      <c r="IY59" s="229"/>
      <c r="IZ59" s="229"/>
      <c r="JA59" s="229"/>
      <c r="JB59" s="229"/>
      <c r="JC59" s="229"/>
      <c r="JD59" s="949"/>
      <c r="JE59" s="229">
        <f>(IL59*IM59*IN59)+(IO59*IP59*IQ59)+(IR59*IS59*IT59)+(IU59*IV59*IW59)+(IX59*IY59*IZ59)+(JA59*JB59*JC59)</f>
        <v>0</v>
      </c>
      <c r="JF59" s="826"/>
    </row>
    <row r="60" spans="24:266" ht="15">
      <c r="AA60" s="873">
        <v>45708</v>
      </c>
      <c r="AB60" s="859"/>
      <c r="AC60" s="859"/>
      <c r="AD60" s="859"/>
      <c r="AE60" s="860"/>
      <c r="AF60" s="860"/>
      <c r="AG60" s="860"/>
      <c r="AH60" s="843"/>
      <c r="AI60" s="843"/>
      <c r="AJ60" s="843"/>
      <c r="AK60" s="834"/>
      <c r="AL60" s="835"/>
      <c r="AM60" s="836"/>
      <c r="AN60" s="844"/>
      <c r="AO60" s="844"/>
      <c r="AP60" s="844"/>
      <c r="AQ60" s="823">
        <f t="shared" ref="AQ60" si="222">COUNTA(AB60:AP60)</f>
        <v>0</v>
      </c>
      <c r="AR60" s="824">
        <f>AR57</f>
        <v>92.8</v>
      </c>
      <c r="AT60" s="873">
        <v>45736</v>
      </c>
      <c r="AU60" s="859"/>
      <c r="AV60" s="859"/>
      <c r="AW60" s="859"/>
      <c r="AX60" s="860"/>
      <c r="AY60" s="860"/>
      <c r="AZ60" s="860"/>
      <c r="BA60" s="843"/>
      <c r="BB60" s="843"/>
      <c r="BC60" s="843"/>
      <c r="BD60" s="834"/>
      <c r="BE60" s="835"/>
      <c r="BF60" s="836"/>
      <c r="BG60" s="844"/>
      <c r="BH60" s="844"/>
      <c r="BI60" s="844"/>
      <c r="BJ60" s="823">
        <f t="shared" ref="BJ60" si="223">COUNTA(AU60:BI60)</f>
        <v>0</v>
      </c>
      <c r="BK60" s="824">
        <f>BK57</f>
        <v>89.5</v>
      </c>
      <c r="BL60" s="118"/>
      <c r="BM60" s="864">
        <v>45767</v>
      </c>
      <c r="BN60" s="859"/>
      <c r="BO60" s="859"/>
      <c r="BP60" s="859"/>
      <c r="BQ60" s="859"/>
      <c r="BR60" s="859"/>
      <c r="BS60" s="859"/>
      <c r="BT60" s="844"/>
      <c r="BU60" s="844"/>
      <c r="BV60" s="844"/>
      <c r="BW60" s="844"/>
      <c r="BX60" s="844"/>
      <c r="BY60" s="844"/>
      <c r="BZ60" s="844"/>
      <c r="CA60" s="844"/>
      <c r="CB60" s="844"/>
      <c r="CC60" s="823">
        <f t="shared" ref="CC60" si="224">COUNTA(BN60:CB60)</f>
        <v>0</v>
      </c>
      <c r="CD60" s="824">
        <f>CD57</f>
        <v>85.5</v>
      </c>
      <c r="CF60" s="856">
        <v>45797</v>
      </c>
      <c r="CG60" s="849" t="s">
        <v>70</v>
      </c>
      <c r="CH60" s="849"/>
      <c r="CI60" s="849"/>
      <c r="CJ60" s="859"/>
      <c r="CK60" s="859"/>
      <c r="CL60" s="859"/>
      <c r="CM60" s="844"/>
      <c r="CN60" s="844"/>
      <c r="CO60" s="844"/>
      <c r="CP60" s="844"/>
      <c r="CQ60" s="844"/>
      <c r="CR60" s="844"/>
      <c r="CS60" s="844"/>
      <c r="CT60" s="844"/>
      <c r="CU60" s="844"/>
      <c r="CV60" s="823">
        <f t="shared" ref="CV60" si="225">COUNTA(CG60:CU60)</f>
        <v>1</v>
      </c>
      <c r="CW60" s="824">
        <v>84.5</v>
      </c>
      <c r="CX60" s="118"/>
      <c r="CY60" s="876">
        <v>45828</v>
      </c>
      <c r="CZ60" s="848" t="s">
        <v>68</v>
      </c>
      <c r="DA60" s="848"/>
      <c r="DB60" s="848"/>
      <c r="DC60" s="890" t="s">
        <v>71</v>
      </c>
      <c r="DD60" s="890"/>
      <c r="DE60" s="890"/>
      <c r="DF60" s="882" t="s">
        <v>110</v>
      </c>
      <c r="DG60" s="883"/>
      <c r="DH60" s="884"/>
      <c r="DI60" s="849" t="s">
        <v>122</v>
      </c>
      <c r="DJ60" s="849"/>
      <c r="DK60" s="849"/>
      <c r="DL60" s="844"/>
      <c r="DM60" s="844"/>
      <c r="DN60" s="844"/>
      <c r="DO60" s="823">
        <f t="shared" ref="DO60" si="226">COUNTA(CZ60:DN60)</f>
        <v>4</v>
      </c>
      <c r="DP60" s="824">
        <v>83.2</v>
      </c>
      <c r="DR60" s="864">
        <v>45858</v>
      </c>
      <c r="DS60" s="859"/>
      <c r="DT60" s="859"/>
      <c r="DU60" s="859"/>
      <c r="DV60" s="859"/>
      <c r="DW60" s="859"/>
      <c r="DX60" s="859"/>
      <c r="DY60" s="844"/>
      <c r="DZ60" s="844"/>
      <c r="EA60" s="844"/>
      <c r="EB60" s="844"/>
      <c r="EC60" s="844"/>
      <c r="ED60" s="844"/>
      <c r="EE60" s="844"/>
      <c r="EF60" s="844"/>
      <c r="EG60" s="844"/>
      <c r="EH60" s="823">
        <f t="shared" ref="EH60" si="227">COUNTA(DS60:EG60)</f>
        <v>0</v>
      </c>
      <c r="EI60" s="824">
        <f>EI57</f>
        <v>82.1</v>
      </c>
      <c r="EK60" s="845">
        <v>45889</v>
      </c>
      <c r="EL60" s="890" t="s">
        <v>93</v>
      </c>
      <c r="EM60" s="890"/>
      <c r="EN60" s="890"/>
      <c r="EO60" s="849" t="s">
        <v>113</v>
      </c>
      <c r="EP60" s="849"/>
      <c r="EQ60" s="849"/>
      <c r="ER60" s="882" t="s">
        <v>85</v>
      </c>
      <c r="ES60" s="883"/>
      <c r="ET60" s="884"/>
      <c r="EU60" s="849" t="s">
        <v>89</v>
      </c>
      <c r="EV60" s="849"/>
      <c r="EW60" s="849"/>
      <c r="EX60" s="844"/>
      <c r="EY60" s="844"/>
      <c r="EZ60" s="844"/>
      <c r="FA60" s="823">
        <f t="shared" ref="FA60" si="228">COUNTA(EL60:EZ60)</f>
        <v>4</v>
      </c>
      <c r="FB60" s="824">
        <v>80.900000000000006</v>
      </c>
      <c r="FD60" s="840">
        <v>45920</v>
      </c>
      <c r="FE60" s="848" t="s">
        <v>70</v>
      </c>
      <c r="FF60" s="848"/>
      <c r="FG60" s="848"/>
      <c r="FH60" s="859"/>
      <c r="FI60" s="859"/>
      <c r="FJ60" s="859"/>
      <c r="FK60" s="834"/>
      <c r="FL60" s="835"/>
      <c r="FM60" s="836"/>
      <c r="FN60" s="867"/>
      <c r="FO60" s="868"/>
      <c r="FP60" s="869"/>
      <c r="FQ60" s="834"/>
      <c r="FR60" s="835"/>
      <c r="FS60" s="836"/>
      <c r="FT60" s="823">
        <f t="shared" ref="FT60" si="229">COUNTA(FE60:FS60)</f>
        <v>1</v>
      </c>
      <c r="FU60" s="824">
        <v>78.5</v>
      </c>
      <c r="FW60" s="870">
        <v>45950</v>
      </c>
      <c r="FX60" s="848" t="s">
        <v>70</v>
      </c>
      <c r="FY60" s="848"/>
      <c r="FZ60" s="848"/>
      <c r="GA60" s="859"/>
      <c r="GB60" s="859"/>
      <c r="GC60" s="859"/>
      <c r="GD60" s="834"/>
      <c r="GE60" s="835"/>
      <c r="GF60" s="836"/>
      <c r="GG60" s="867"/>
      <c r="GH60" s="868"/>
      <c r="GI60" s="869"/>
      <c r="GJ60" s="834"/>
      <c r="GK60" s="835"/>
      <c r="GL60" s="836"/>
      <c r="GM60" s="834"/>
      <c r="GN60" s="835"/>
      <c r="GO60" s="836"/>
      <c r="GP60" s="823">
        <f>COUNTA(FX60:GO60)</f>
        <v>1</v>
      </c>
      <c r="GQ60" s="824">
        <v>77.8</v>
      </c>
      <c r="GR60" s="118"/>
      <c r="GS60" s="873">
        <v>45981</v>
      </c>
      <c r="GT60" s="844"/>
      <c r="GU60" s="844"/>
      <c r="GV60" s="844"/>
      <c r="GW60" s="859"/>
      <c r="GX60" s="859"/>
      <c r="GY60" s="859"/>
      <c r="GZ60" s="834"/>
      <c r="HA60" s="835"/>
      <c r="HB60" s="836"/>
      <c r="HC60" s="867"/>
      <c r="HD60" s="868"/>
      <c r="HE60" s="869"/>
      <c r="HF60" s="834"/>
      <c r="HG60" s="835"/>
      <c r="HH60" s="836"/>
      <c r="HI60" s="834"/>
      <c r="HJ60" s="835"/>
      <c r="HK60" s="836"/>
      <c r="HL60" s="823">
        <f>COUNTA(GT60:HK60)</f>
        <v>0</v>
      </c>
      <c r="HM60" s="824">
        <f>HM57</f>
        <v>78.099999999999994</v>
      </c>
      <c r="HN60" s="118"/>
      <c r="HO60" s="840">
        <v>46011</v>
      </c>
      <c r="HP60" s="859"/>
      <c r="HQ60" s="859"/>
      <c r="HR60" s="859"/>
      <c r="HS60" s="860"/>
      <c r="HT60" s="860"/>
      <c r="HU60" s="860"/>
      <c r="HV60" s="859"/>
      <c r="HW60" s="859"/>
      <c r="HX60" s="859"/>
      <c r="HY60" s="859"/>
      <c r="HZ60" s="859"/>
      <c r="IA60" s="859"/>
      <c r="IB60" s="844"/>
      <c r="IC60" s="844"/>
      <c r="ID60" s="844"/>
      <c r="IE60" s="834"/>
      <c r="IF60" s="835"/>
      <c r="IG60" s="836"/>
      <c r="IH60" s="823">
        <f>COUNTA(HP60:IG60)</f>
        <v>0</v>
      </c>
      <c r="II60" s="824">
        <f>II57</f>
        <v>76.599999999999994</v>
      </c>
      <c r="IK60" s="856">
        <v>46042</v>
      </c>
      <c r="IL60" s="848"/>
      <c r="IM60" s="848"/>
      <c r="IN60" s="848"/>
      <c r="IO60" s="848"/>
      <c r="IP60" s="848"/>
      <c r="IQ60" s="848"/>
      <c r="IR60" s="848"/>
      <c r="IS60" s="848"/>
      <c r="IT60" s="848"/>
      <c r="IU60" s="848"/>
      <c r="IV60" s="848"/>
      <c r="IW60" s="848"/>
      <c r="IX60" s="882"/>
      <c r="IY60" s="883"/>
      <c r="IZ60" s="884"/>
      <c r="JA60" s="882"/>
      <c r="JB60" s="883"/>
      <c r="JC60" s="884"/>
      <c r="JD60" s="232" t="s">
        <v>425</v>
      </c>
      <c r="JE60" s="823">
        <f>COUNTA(IL60:JC60)</f>
        <v>0</v>
      </c>
      <c r="JF60" s="824"/>
    </row>
    <row r="61" spans="24:266" ht="15">
      <c r="AA61" s="874"/>
      <c r="AB61" s="107" t="s">
        <v>59</v>
      </c>
      <c r="AC61" s="107" t="s">
        <v>73</v>
      </c>
      <c r="AD61" s="108" t="s">
        <v>4</v>
      </c>
      <c r="AE61" s="107" t="s">
        <v>59</v>
      </c>
      <c r="AF61" s="107" t="s">
        <v>73</v>
      </c>
      <c r="AG61" s="108" t="s">
        <v>4</v>
      </c>
      <c r="AH61" s="107" t="s">
        <v>59</v>
      </c>
      <c r="AI61" s="107" t="s">
        <v>73</v>
      </c>
      <c r="AJ61" s="108" t="s">
        <v>4</v>
      </c>
      <c r="AK61" s="107" t="s">
        <v>59</v>
      </c>
      <c r="AL61" s="107" t="s">
        <v>73</v>
      </c>
      <c r="AM61" s="108" t="s">
        <v>4</v>
      </c>
      <c r="AN61" s="107" t="s">
        <v>59</v>
      </c>
      <c r="AO61" s="107" t="s">
        <v>73</v>
      </c>
      <c r="AP61" s="108" t="s">
        <v>4</v>
      </c>
      <c r="AQ61" s="823"/>
      <c r="AR61" s="825"/>
      <c r="AT61" s="874"/>
      <c r="AU61" s="107" t="s">
        <v>59</v>
      </c>
      <c r="AV61" s="107" t="s">
        <v>73</v>
      </c>
      <c r="AW61" s="108" t="s">
        <v>4</v>
      </c>
      <c r="AX61" s="107" t="s">
        <v>59</v>
      </c>
      <c r="AY61" s="107" t="s">
        <v>73</v>
      </c>
      <c r="AZ61" s="108" t="s">
        <v>4</v>
      </c>
      <c r="BA61" s="107" t="s">
        <v>59</v>
      </c>
      <c r="BB61" s="107" t="s">
        <v>73</v>
      </c>
      <c r="BC61" s="108" t="s">
        <v>4</v>
      </c>
      <c r="BD61" s="107" t="s">
        <v>59</v>
      </c>
      <c r="BE61" s="107" t="s">
        <v>73</v>
      </c>
      <c r="BF61" s="108" t="s">
        <v>4</v>
      </c>
      <c r="BG61" s="107" t="s">
        <v>59</v>
      </c>
      <c r="BH61" s="107" t="s">
        <v>73</v>
      </c>
      <c r="BI61" s="108" t="s">
        <v>4</v>
      </c>
      <c r="BJ61" s="823"/>
      <c r="BK61" s="825"/>
      <c r="BL61" s="118"/>
      <c r="BM61" s="865"/>
      <c r="BN61" s="107" t="s">
        <v>59</v>
      </c>
      <c r="BO61" s="107" t="s">
        <v>73</v>
      </c>
      <c r="BP61" s="108" t="s">
        <v>4</v>
      </c>
      <c r="BQ61" s="107" t="s">
        <v>59</v>
      </c>
      <c r="BR61" s="107" t="s">
        <v>73</v>
      </c>
      <c r="BS61" s="108" t="s">
        <v>4</v>
      </c>
      <c r="BT61" s="107" t="s">
        <v>59</v>
      </c>
      <c r="BU61" s="107" t="s">
        <v>73</v>
      </c>
      <c r="BV61" s="108" t="s">
        <v>4</v>
      </c>
      <c r="BW61" s="107" t="s">
        <v>59</v>
      </c>
      <c r="BX61" s="107" t="s">
        <v>73</v>
      </c>
      <c r="BY61" s="108" t="s">
        <v>4</v>
      </c>
      <c r="BZ61" s="107" t="s">
        <v>59</v>
      </c>
      <c r="CA61" s="107" t="s">
        <v>73</v>
      </c>
      <c r="CB61" s="108" t="s">
        <v>4</v>
      </c>
      <c r="CC61" s="823"/>
      <c r="CD61" s="825"/>
      <c r="CF61" s="857"/>
      <c r="CG61" s="231" t="s">
        <v>59</v>
      </c>
      <c r="CH61" s="231" t="s">
        <v>73</v>
      </c>
      <c r="CI61" s="102" t="s">
        <v>4</v>
      </c>
      <c r="CJ61" s="107" t="s">
        <v>59</v>
      </c>
      <c r="CK61" s="107" t="s">
        <v>73</v>
      </c>
      <c r="CL61" s="108" t="s">
        <v>4</v>
      </c>
      <c r="CM61" s="107" t="s">
        <v>59</v>
      </c>
      <c r="CN61" s="107" t="s">
        <v>73</v>
      </c>
      <c r="CO61" s="108" t="s">
        <v>4</v>
      </c>
      <c r="CP61" s="107" t="s">
        <v>59</v>
      </c>
      <c r="CQ61" s="107" t="s">
        <v>73</v>
      </c>
      <c r="CR61" s="108" t="s">
        <v>4</v>
      </c>
      <c r="CS61" s="107" t="s">
        <v>59</v>
      </c>
      <c r="CT61" s="107" t="s">
        <v>73</v>
      </c>
      <c r="CU61" s="108" t="s">
        <v>4</v>
      </c>
      <c r="CV61" s="823"/>
      <c r="CW61" s="825"/>
      <c r="CX61" s="118"/>
      <c r="CY61" s="877"/>
      <c r="CZ61" s="231" t="s">
        <v>59</v>
      </c>
      <c r="DA61" s="231" t="s">
        <v>73</v>
      </c>
      <c r="DB61" s="102" t="s">
        <v>4</v>
      </c>
      <c r="DC61" s="231" t="s">
        <v>59</v>
      </c>
      <c r="DD61" s="231" t="s">
        <v>73</v>
      </c>
      <c r="DE61" s="102" t="s">
        <v>4</v>
      </c>
      <c r="DF61" s="231" t="s">
        <v>59</v>
      </c>
      <c r="DG61" s="231" t="s">
        <v>73</v>
      </c>
      <c r="DH61" s="102" t="s">
        <v>4</v>
      </c>
      <c r="DI61" s="231" t="s">
        <v>59</v>
      </c>
      <c r="DJ61" s="231" t="s">
        <v>73</v>
      </c>
      <c r="DK61" s="102" t="s">
        <v>4</v>
      </c>
      <c r="DL61" s="107" t="s">
        <v>59</v>
      </c>
      <c r="DM61" s="107" t="s">
        <v>73</v>
      </c>
      <c r="DN61" s="108" t="s">
        <v>4</v>
      </c>
      <c r="DO61" s="823"/>
      <c r="DP61" s="825"/>
      <c r="DR61" s="865"/>
      <c r="DS61" s="107" t="s">
        <v>59</v>
      </c>
      <c r="DT61" s="107" t="s">
        <v>73</v>
      </c>
      <c r="DU61" s="108" t="s">
        <v>4</v>
      </c>
      <c r="DV61" s="107" t="s">
        <v>59</v>
      </c>
      <c r="DW61" s="107" t="s">
        <v>73</v>
      </c>
      <c r="DX61" s="108" t="s">
        <v>4</v>
      </c>
      <c r="DY61" s="107" t="s">
        <v>59</v>
      </c>
      <c r="DZ61" s="107" t="s">
        <v>73</v>
      </c>
      <c r="EA61" s="108" t="s">
        <v>4</v>
      </c>
      <c r="EB61" s="107" t="s">
        <v>59</v>
      </c>
      <c r="EC61" s="107" t="s">
        <v>73</v>
      </c>
      <c r="ED61" s="108" t="s">
        <v>4</v>
      </c>
      <c r="EE61" s="107" t="s">
        <v>59</v>
      </c>
      <c r="EF61" s="107" t="s">
        <v>73</v>
      </c>
      <c r="EG61" s="108" t="s">
        <v>4</v>
      </c>
      <c r="EH61" s="823"/>
      <c r="EI61" s="825"/>
      <c r="EK61" s="846"/>
      <c r="EL61" s="231" t="s">
        <v>59</v>
      </c>
      <c r="EM61" s="231" t="s">
        <v>73</v>
      </c>
      <c r="EN61" s="102" t="s">
        <v>4</v>
      </c>
      <c r="EO61" s="231" t="s">
        <v>59</v>
      </c>
      <c r="EP61" s="231" t="s">
        <v>73</v>
      </c>
      <c r="EQ61" s="102" t="s">
        <v>4</v>
      </c>
      <c r="ER61" s="231" t="s">
        <v>59</v>
      </c>
      <c r="ES61" s="231" t="s">
        <v>73</v>
      </c>
      <c r="ET61" s="102" t="s">
        <v>4</v>
      </c>
      <c r="EU61" s="231" t="s">
        <v>59</v>
      </c>
      <c r="EV61" s="231" t="s">
        <v>73</v>
      </c>
      <c r="EW61" s="102" t="s">
        <v>4</v>
      </c>
      <c r="EX61" s="107" t="s">
        <v>59</v>
      </c>
      <c r="EY61" s="107" t="s">
        <v>73</v>
      </c>
      <c r="EZ61" s="108" t="s">
        <v>4</v>
      </c>
      <c r="FA61" s="823"/>
      <c r="FB61" s="825"/>
      <c r="FD61" s="841"/>
      <c r="FE61" s="231" t="s">
        <v>59</v>
      </c>
      <c r="FF61" s="231" t="s">
        <v>73</v>
      </c>
      <c r="FG61" s="102" t="s">
        <v>4</v>
      </c>
      <c r="FH61" s="107" t="s">
        <v>59</v>
      </c>
      <c r="FI61" s="107" t="s">
        <v>73</v>
      </c>
      <c r="FJ61" s="108" t="s">
        <v>4</v>
      </c>
      <c r="FK61" s="107" t="s">
        <v>59</v>
      </c>
      <c r="FL61" s="107" t="s">
        <v>73</v>
      </c>
      <c r="FM61" s="108" t="s">
        <v>4</v>
      </c>
      <c r="FN61" s="107" t="s">
        <v>59</v>
      </c>
      <c r="FO61" s="107" t="s">
        <v>73</v>
      </c>
      <c r="FP61" s="108" t="s">
        <v>4</v>
      </c>
      <c r="FQ61" s="107" t="s">
        <v>59</v>
      </c>
      <c r="FR61" s="107" t="s">
        <v>73</v>
      </c>
      <c r="FS61" s="108" t="s">
        <v>4</v>
      </c>
      <c r="FT61" s="823"/>
      <c r="FU61" s="825"/>
      <c r="FW61" s="871"/>
      <c r="FX61" s="231" t="s">
        <v>59</v>
      </c>
      <c r="FY61" s="231" t="s">
        <v>73</v>
      </c>
      <c r="FZ61" s="102" t="s">
        <v>4</v>
      </c>
      <c r="GA61" s="107" t="s">
        <v>59</v>
      </c>
      <c r="GB61" s="107" t="s">
        <v>73</v>
      </c>
      <c r="GC61" s="108" t="s">
        <v>4</v>
      </c>
      <c r="GD61" s="107" t="s">
        <v>59</v>
      </c>
      <c r="GE61" s="107" t="s">
        <v>73</v>
      </c>
      <c r="GF61" s="108" t="s">
        <v>4</v>
      </c>
      <c r="GG61" s="107" t="s">
        <v>59</v>
      </c>
      <c r="GH61" s="107" t="s">
        <v>73</v>
      </c>
      <c r="GI61" s="108" t="s">
        <v>4</v>
      </c>
      <c r="GJ61" s="107" t="s">
        <v>59</v>
      </c>
      <c r="GK61" s="107" t="s">
        <v>73</v>
      </c>
      <c r="GL61" s="108" t="s">
        <v>4</v>
      </c>
      <c r="GM61" s="107" t="s">
        <v>59</v>
      </c>
      <c r="GN61" s="107" t="s">
        <v>73</v>
      </c>
      <c r="GO61" s="108" t="s">
        <v>4</v>
      </c>
      <c r="GP61" s="823"/>
      <c r="GQ61" s="825"/>
      <c r="GR61" s="118"/>
      <c r="GS61" s="874"/>
      <c r="GT61" s="107" t="s">
        <v>59</v>
      </c>
      <c r="GU61" s="107" t="s">
        <v>73</v>
      </c>
      <c r="GV61" s="108" t="s">
        <v>4</v>
      </c>
      <c r="GW61" s="107" t="s">
        <v>59</v>
      </c>
      <c r="GX61" s="107" t="s">
        <v>73</v>
      </c>
      <c r="GY61" s="108" t="s">
        <v>4</v>
      </c>
      <c r="GZ61" s="107" t="s">
        <v>59</v>
      </c>
      <c r="HA61" s="107" t="s">
        <v>73</v>
      </c>
      <c r="HB61" s="108" t="s">
        <v>4</v>
      </c>
      <c r="HC61" s="107" t="s">
        <v>59</v>
      </c>
      <c r="HD61" s="107" t="s">
        <v>73</v>
      </c>
      <c r="HE61" s="108" t="s">
        <v>4</v>
      </c>
      <c r="HF61" s="107" t="s">
        <v>59</v>
      </c>
      <c r="HG61" s="107" t="s">
        <v>73</v>
      </c>
      <c r="HH61" s="108" t="s">
        <v>4</v>
      </c>
      <c r="HI61" s="107" t="s">
        <v>59</v>
      </c>
      <c r="HJ61" s="107" t="s">
        <v>73</v>
      </c>
      <c r="HK61" s="108" t="s">
        <v>4</v>
      </c>
      <c r="HL61" s="823"/>
      <c r="HM61" s="825"/>
      <c r="HN61" s="118"/>
      <c r="HO61" s="841"/>
      <c r="HP61" s="107" t="s">
        <v>59</v>
      </c>
      <c r="HQ61" s="107" t="s">
        <v>73</v>
      </c>
      <c r="HR61" s="108" t="s">
        <v>4</v>
      </c>
      <c r="HS61" s="107" t="s">
        <v>59</v>
      </c>
      <c r="HT61" s="107" t="s">
        <v>73</v>
      </c>
      <c r="HU61" s="108" t="s">
        <v>4</v>
      </c>
      <c r="HV61" s="107" t="s">
        <v>59</v>
      </c>
      <c r="HW61" s="107" t="s">
        <v>73</v>
      </c>
      <c r="HX61" s="108" t="s">
        <v>4</v>
      </c>
      <c r="HY61" s="107" t="s">
        <v>59</v>
      </c>
      <c r="HZ61" s="107" t="s">
        <v>73</v>
      </c>
      <c r="IA61" s="108" t="s">
        <v>4</v>
      </c>
      <c r="IB61" s="107" t="s">
        <v>59</v>
      </c>
      <c r="IC61" s="107" t="s">
        <v>73</v>
      </c>
      <c r="ID61" s="108" t="s">
        <v>4</v>
      </c>
      <c r="IE61" s="107" t="s">
        <v>59</v>
      </c>
      <c r="IF61" s="107" t="s">
        <v>73</v>
      </c>
      <c r="IG61" s="108" t="s">
        <v>4</v>
      </c>
      <c r="IH61" s="823"/>
      <c r="II61" s="825"/>
      <c r="IK61" s="857"/>
      <c r="IL61" s="231" t="s">
        <v>59</v>
      </c>
      <c r="IM61" s="231" t="s">
        <v>73</v>
      </c>
      <c r="IN61" s="102" t="s">
        <v>4</v>
      </c>
      <c r="IO61" s="231" t="s">
        <v>59</v>
      </c>
      <c r="IP61" s="231" t="s">
        <v>73</v>
      </c>
      <c r="IQ61" s="102" t="s">
        <v>4</v>
      </c>
      <c r="IR61" s="231" t="s">
        <v>59</v>
      </c>
      <c r="IS61" s="231" t="s">
        <v>73</v>
      </c>
      <c r="IT61" s="102" t="s">
        <v>4</v>
      </c>
      <c r="IU61" s="231" t="s">
        <v>59</v>
      </c>
      <c r="IV61" s="231" t="s">
        <v>73</v>
      </c>
      <c r="IW61" s="102" t="s">
        <v>4</v>
      </c>
      <c r="IX61" s="231" t="s">
        <v>59</v>
      </c>
      <c r="IY61" s="231" t="s">
        <v>73</v>
      </c>
      <c r="IZ61" s="102" t="s">
        <v>4</v>
      </c>
      <c r="JA61" s="231" t="s">
        <v>59</v>
      </c>
      <c r="JB61" s="231" t="s">
        <v>73</v>
      </c>
      <c r="JC61" s="102" t="s">
        <v>4</v>
      </c>
      <c r="JD61" s="948"/>
      <c r="JE61" s="823"/>
      <c r="JF61" s="825"/>
    </row>
    <row r="62" spans="24:266" ht="15">
      <c r="AA62" s="875"/>
      <c r="AB62" s="233"/>
      <c r="AC62" s="233"/>
      <c r="AD62" s="233"/>
      <c r="AE62" s="233"/>
      <c r="AF62" s="233"/>
      <c r="AG62" s="233"/>
      <c r="AH62" s="233"/>
      <c r="AI62" s="233"/>
      <c r="AJ62" s="233"/>
      <c r="AK62" s="233"/>
      <c r="AL62" s="233"/>
      <c r="AM62" s="233"/>
      <c r="AN62" s="233"/>
      <c r="AO62" s="233"/>
      <c r="AP62" s="233"/>
      <c r="AQ62" s="229">
        <f t="shared" ref="AQ62" si="230">(AB62*AC62*AD62)+(AE62*AF62*AG62)+(AH62*AI62*AJ62)+(AK62*AL62*AM62)+(AN62*AO62*AP62)</f>
        <v>0</v>
      </c>
      <c r="AR62" s="826"/>
      <c r="AT62" s="875"/>
      <c r="AU62" s="233"/>
      <c r="AV62" s="233"/>
      <c r="AW62" s="233"/>
      <c r="AX62" s="233"/>
      <c r="AY62" s="233"/>
      <c r="AZ62" s="233"/>
      <c r="BA62" s="233"/>
      <c r="BB62" s="233"/>
      <c r="BC62" s="233"/>
      <c r="BD62" s="233"/>
      <c r="BE62" s="233"/>
      <c r="BF62" s="233"/>
      <c r="BG62" s="233"/>
      <c r="BH62" s="233"/>
      <c r="BI62" s="233"/>
      <c r="BJ62" s="229">
        <f t="shared" ref="BJ62" si="231">(AU62*AV62*AW62)+(AX62*AY62*AZ62)+(BA62*BB62*BC62)+(BD62*BE62*BF62)+(BG62*BH62*BI62)</f>
        <v>0</v>
      </c>
      <c r="BK62" s="826"/>
      <c r="BL62" s="118"/>
      <c r="BM62" s="866"/>
      <c r="BN62" s="233"/>
      <c r="BO62" s="233"/>
      <c r="BP62" s="233"/>
      <c r="BQ62" s="233"/>
      <c r="BR62" s="233"/>
      <c r="BS62" s="233"/>
      <c r="BT62" s="233"/>
      <c r="BU62" s="233"/>
      <c r="BV62" s="233"/>
      <c r="BW62" s="233"/>
      <c r="BX62" s="233"/>
      <c r="BY62" s="233"/>
      <c r="BZ62" s="233"/>
      <c r="CA62" s="233"/>
      <c r="CB62" s="233"/>
      <c r="CC62" s="229">
        <f t="shared" ref="CC62" si="232">(BN62*BO62*BP62)+(BQ62*BR62*BS62)+(BT62*BU62*BV62)+(BW62*BX62*BY62)+(BZ62*CA62*CB62)</f>
        <v>0</v>
      </c>
      <c r="CD62" s="826"/>
      <c r="CF62" s="858"/>
      <c r="CG62" s="229">
        <v>1</v>
      </c>
      <c r="CH62" s="229">
        <v>30</v>
      </c>
      <c r="CI62" s="126">
        <f>CW60+10</f>
        <v>94.5</v>
      </c>
      <c r="CJ62" s="233"/>
      <c r="CK62" s="233"/>
      <c r="CL62" s="233"/>
      <c r="CM62" s="233"/>
      <c r="CN62" s="233"/>
      <c r="CO62" s="233"/>
      <c r="CP62" s="233"/>
      <c r="CQ62" s="233"/>
      <c r="CR62" s="233"/>
      <c r="CS62" s="233"/>
      <c r="CT62" s="233"/>
      <c r="CU62" s="233"/>
      <c r="CV62" s="229">
        <f t="shared" ref="CV62" si="233">(CG62*CH62*CI62)+(CJ62*CK62*CL62)+(CM62*CN62*CO62)+(CP62*CQ62*CR62)+(CS62*CT62*CU62)</f>
        <v>2835</v>
      </c>
      <c r="CW62" s="826"/>
      <c r="CX62" s="118"/>
      <c r="CY62" s="878"/>
      <c r="CZ62" s="229">
        <v>3</v>
      </c>
      <c r="DA62" s="229">
        <v>10</v>
      </c>
      <c r="DB62" s="229">
        <v>54.4</v>
      </c>
      <c r="DC62" s="229">
        <v>3</v>
      </c>
      <c r="DD62" s="229">
        <v>10</v>
      </c>
      <c r="DE62" s="229">
        <v>25</v>
      </c>
      <c r="DF62" s="229">
        <v>3</v>
      </c>
      <c r="DG62" s="229">
        <v>10</v>
      </c>
      <c r="DH62" s="229">
        <v>11.3</v>
      </c>
      <c r="DI62" s="229">
        <v>1</v>
      </c>
      <c r="DJ62" s="229">
        <v>10</v>
      </c>
      <c r="DK62" s="229">
        <f>DP60</f>
        <v>83.2</v>
      </c>
      <c r="DL62" s="233"/>
      <c r="DM62" s="233"/>
      <c r="DN62" s="233"/>
      <c r="DO62" s="229">
        <f t="shared" ref="DO62" si="234">(CZ62*DA62*DB62)+(DC62*DD62*DE62)+(DF62*DG62*DH62)+(DI62*DJ62*DK62)+(DL62*DM62*DN62)</f>
        <v>3553</v>
      </c>
      <c r="DP62" s="826"/>
      <c r="DR62" s="866"/>
      <c r="DS62" s="233"/>
      <c r="DT62" s="233"/>
      <c r="DU62" s="233"/>
      <c r="DV62" s="233"/>
      <c r="DW62" s="233"/>
      <c r="DX62" s="233"/>
      <c r="DY62" s="233"/>
      <c r="DZ62" s="233"/>
      <c r="EA62" s="233"/>
      <c r="EB62" s="233"/>
      <c r="EC62" s="233"/>
      <c r="ED62" s="233"/>
      <c r="EE62" s="233"/>
      <c r="EF62" s="233"/>
      <c r="EG62" s="233"/>
      <c r="EH62" s="229">
        <f t="shared" ref="EH62" si="235">(DS62*DT62*DU62)+(DV62*DW62*DX62)+(DY62*DZ62*EA62)+(EB62*EC62*ED62)+(EE62*EF62*EG62)</f>
        <v>0</v>
      </c>
      <c r="EI62" s="826"/>
      <c r="EK62" s="847"/>
      <c r="EL62" s="229">
        <v>3</v>
      </c>
      <c r="EM62" s="126">
        <v>12</v>
      </c>
      <c r="EN62" s="229">
        <v>20</v>
      </c>
      <c r="EO62" s="229">
        <v>1</v>
      </c>
      <c r="EP62" s="229">
        <v>8</v>
      </c>
      <c r="EQ62" s="229">
        <v>10</v>
      </c>
      <c r="ER62" s="229">
        <v>3</v>
      </c>
      <c r="ES62" s="229">
        <v>24</v>
      </c>
      <c r="ET62" s="229">
        <f>(1/3)*$FB60</f>
        <v>26.966666666666669</v>
      </c>
      <c r="EU62" s="229">
        <v>3</v>
      </c>
      <c r="EV62" s="229">
        <v>12</v>
      </c>
      <c r="EW62" s="229">
        <v>50</v>
      </c>
      <c r="EX62" s="233"/>
      <c r="EY62" s="233"/>
      <c r="EZ62" s="233"/>
      <c r="FA62" s="229">
        <f t="shared" ref="FA62" si="236">(EL62*EM62*EN62)+(EO62*EP62*EQ62)+(ER62*ES62*ET62)+(EU62*EV62*EW62)+(EX62*EY62*EZ62)</f>
        <v>4541.6000000000004</v>
      </c>
      <c r="FB62" s="826"/>
      <c r="FD62" s="842"/>
      <c r="FE62" s="229">
        <v>1</v>
      </c>
      <c r="FF62" s="229">
        <v>60</v>
      </c>
      <c r="FG62" s="229">
        <f>FU60</f>
        <v>78.5</v>
      </c>
      <c r="FH62" s="233"/>
      <c r="FI62" s="233"/>
      <c r="FJ62" s="233"/>
      <c r="FK62" s="233"/>
      <c r="FL62" s="233"/>
      <c r="FM62" s="233"/>
      <c r="FN62" s="233"/>
      <c r="FO62" s="233"/>
      <c r="FP62" s="233"/>
      <c r="FQ62" s="233"/>
      <c r="FR62" s="233"/>
      <c r="FS62" s="233"/>
      <c r="FT62" s="229">
        <f t="shared" ref="FT62" si="237">(FE62*FF62*FG62)+(FH62*FI62*FJ62)+(FK62*FL62*FM62)+(FN62*FO62*FP62)+(FQ62*FR62*FS62)</f>
        <v>4710</v>
      </c>
      <c r="FU62" s="826"/>
      <c r="FW62" s="872"/>
      <c r="FX62" s="229">
        <v>1</v>
      </c>
      <c r="FY62" s="229">
        <v>30</v>
      </c>
      <c r="FZ62" s="229">
        <f>GQ60</f>
        <v>77.8</v>
      </c>
      <c r="GA62" s="233"/>
      <c r="GB62" s="233"/>
      <c r="GC62" s="233"/>
      <c r="GD62" s="233"/>
      <c r="GE62" s="233"/>
      <c r="GF62" s="233"/>
      <c r="GG62" s="233"/>
      <c r="GH62" s="233"/>
      <c r="GI62" s="233"/>
      <c r="GJ62" s="233"/>
      <c r="GK62" s="233"/>
      <c r="GL62" s="233"/>
      <c r="GM62" s="233"/>
      <c r="GN62" s="233"/>
      <c r="GO62" s="233"/>
      <c r="GP62" s="229">
        <f>(FX62*FY62*FZ62)+(GA62*GB62*GC62)+(GD62*GE62*GF62)+(GG62*GH62*GI62)+(GJ62*GK62*GL62)+(GM62*GN62*GO62)</f>
        <v>2334</v>
      </c>
      <c r="GQ62" s="826"/>
      <c r="GR62" s="118"/>
      <c r="GS62" s="875"/>
      <c r="GT62" s="233"/>
      <c r="GU62" s="233"/>
      <c r="GV62" s="233"/>
      <c r="GW62" s="233"/>
      <c r="GX62" s="233"/>
      <c r="GY62" s="233"/>
      <c r="GZ62" s="233"/>
      <c r="HA62" s="233"/>
      <c r="HB62" s="233"/>
      <c r="HC62" s="233"/>
      <c r="HD62" s="233"/>
      <c r="HE62" s="233"/>
      <c r="HF62" s="233"/>
      <c r="HG62" s="233"/>
      <c r="HH62" s="233"/>
      <c r="HI62" s="233"/>
      <c r="HJ62" s="233"/>
      <c r="HK62" s="233"/>
      <c r="HL62" s="229">
        <f>(GT62*GU62*GV62)+(GW62*GX62*GY62)+(GZ62*HA62*HB62)+(HC62*HD62*HE62)+(HF62*HG62*HH62)+(HI62*HJ62*HK62)</f>
        <v>0</v>
      </c>
      <c r="HM62" s="826"/>
      <c r="HN62" s="118"/>
      <c r="HO62" s="842"/>
      <c r="HP62" s="233"/>
      <c r="HQ62" s="233"/>
      <c r="HR62" s="233"/>
      <c r="HS62" s="233"/>
      <c r="HT62" s="233"/>
      <c r="HU62" s="233"/>
      <c r="HV62" s="233"/>
      <c r="HW62" s="233"/>
      <c r="HX62" s="233"/>
      <c r="HY62" s="233"/>
      <c r="HZ62" s="233"/>
      <c r="IA62" s="233"/>
      <c r="IB62" s="233"/>
      <c r="IC62" s="233"/>
      <c r="ID62" s="233"/>
      <c r="IE62" s="233"/>
      <c r="IF62" s="233"/>
      <c r="IG62" s="233"/>
      <c r="IH62" s="229">
        <f>(HP62*HQ62*HR62)+(HS62*HT62*HU62)+(HV62*HW62*HX62)+(HY62*HZ62*IA62)+(IB62*IC62*ID62)+(IE62*IF62*IG62)</f>
        <v>0</v>
      </c>
      <c r="II62" s="826"/>
      <c r="IK62" s="858"/>
      <c r="IL62" s="229"/>
      <c r="IM62" s="229"/>
      <c r="IN62" s="229"/>
      <c r="IO62" s="229"/>
      <c r="IP62" s="229"/>
      <c r="IQ62" s="229"/>
      <c r="IR62" s="229"/>
      <c r="IS62" s="229"/>
      <c r="IT62" s="229"/>
      <c r="IU62" s="229"/>
      <c r="IV62" s="229"/>
      <c r="IW62" s="229"/>
      <c r="IX62" s="229"/>
      <c r="IY62" s="229"/>
      <c r="IZ62" s="229"/>
      <c r="JA62" s="229"/>
      <c r="JB62" s="229"/>
      <c r="JC62" s="229"/>
      <c r="JD62" s="949"/>
      <c r="JE62" s="229">
        <f>(IL62*IM62*IN62)+(IO62*IP62*IQ62)+(IR62*IS62*IT62)+(IU62*IV62*IW62)+(IX62*IY62*IZ62)+(JA62*JB62*JC62)</f>
        <v>0</v>
      </c>
      <c r="JF62" s="826"/>
    </row>
    <row r="63" spans="24:266" ht="15">
      <c r="Y63" s="111"/>
      <c r="AA63" s="876">
        <v>45709</v>
      </c>
      <c r="AB63" s="882" t="s">
        <v>14</v>
      </c>
      <c r="AC63" s="883"/>
      <c r="AD63" s="884"/>
      <c r="AE63" s="849" t="s">
        <v>119</v>
      </c>
      <c r="AF63" s="849"/>
      <c r="AG63" s="849"/>
      <c r="AH63" s="849" t="s">
        <v>81</v>
      </c>
      <c r="AI63" s="849"/>
      <c r="AJ63" s="849"/>
      <c r="AK63" s="886" t="s">
        <v>82</v>
      </c>
      <c r="AL63" s="886"/>
      <c r="AM63" s="886"/>
      <c r="AN63" s="844"/>
      <c r="AO63" s="844"/>
      <c r="AP63" s="844"/>
      <c r="AQ63" s="823">
        <f t="shared" ref="AQ63" si="238">COUNTA(AB63:AP63)</f>
        <v>4</v>
      </c>
      <c r="AR63" s="824">
        <v>93.5</v>
      </c>
      <c r="AT63" s="876">
        <v>45737</v>
      </c>
      <c r="AU63" s="834"/>
      <c r="AV63" s="835"/>
      <c r="AW63" s="836"/>
      <c r="AX63" s="859"/>
      <c r="AY63" s="859"/>
      <c r="AZ63" s="859"/>
      <c r="BA63" s="859"/>
      <c r="BB63" s="859"/>
      <c r="BC63" s="859"/>
      <c r="BD63" s="860"/>
      <c r="BE63" s="860"/>
      <c r="BF63" s="860"/>
      <c r="BG63" s="844"/>
      <c r="BH63" s="844"/>
      <c r="BI63" s="844"/>
      <c r="BJ63" s="823">
        <f t="shared" ref="BJ63" si="239">COUNTA(AU63:BI63)</f>
        <v>0</v>
      </c>
      <c r="BK63" s="824">
        <f>BK60</f>
        <v>89.5</v>
      </c>
      <c r="BL63" s="118"/>
      <c r="BM63" s="870">
        <v>45768</v>
      </c>
      <c r="BN63" s="849" t="s">
        <v>72</v>
      </c>
      <c r="BO63" s="849"/>
      <c r="BP63" s="849"/>
      <c r="BQ63" s="848" t="s">
        <v>128</v>
      </c>
      <c r="BR63" s="848"/>
      <c r="BS63" s="848"/>
      <c r="BT63" s="882" t="s">
        <v>101</v>
      </c>
      <c r="BU63" s="883"/>
      <c r="BV63" s="884"/>
      <c r="BW63" s="882" t="s">
        <v>14</v>
      </c>
      <c r="BX63" s="883"/>
      <c r="BY63" s="884"/>
      <c r="BZ63" s="844"/>
      <c r="CA63" s="844"/>
      <c r="CB63" s="844"/>
      <c r="CC63" s="823">
        <f t="shared" ref="CC63" si="240">COUNTA(BN63:CB63)</f>
        <v>4</v>
      </c>
      <c r="CD63" s="824">
        <f>85.3</f>
        <v>85.3</v>
      </c>
      <c r="CF63" s="845">
        <v>45798</v>
      </c>
      <c r="CG63" s="905" t="s">
        <v>102</v>
      </c>
      <c r="CH63" s="905"/>
      <c r="CI63" s="905"/>
      <c r="CJ63" s="886" t="s">
        <v>80</v>
      </c>
      <c r="CK63" s="886"/>
      <c r="CL63" s="886"/>
      <c r="CM63" s="886" t="s">
        <v>81</v>
      </c>
      <c r="CN63" s="886"/>
      <c r="CO63" s="886"/>
      <c r="CP63" s="844"/>
      <c r="CQ63" s="844"/>
      <c r="CR63" s="844"/>
      <c r="CS63" s="844"/>
      <c r="CT63" s="844"/>
      <c r="CU63" s="844"/>
      <c r="CV63" s="823">
        <f t="shared" ref="CV63" si="241">COUNTA(CG63:CU63)</f>
        <v>3</v>
      </c>
      <c r="CW63" s="824">
        <v>84.2</v>
      </c>
      <c r="CX63" s="118"/>
      <c r="CY63" s="840">
        <v>45829</v>
      </c>
      <c r="CZ63" s="859"/>
      <c r="DA63" s="859"/>
      <c r="DB63" s="859"/>
      <c r="DC63" s="859"/>
      <c r="DD63" s="859"/>
      <c r="DE63" s="859"/>
      <c r="DF63" s="844"/>
      <c r="DG63" s="844"/>
      <c r="DH63" s="844"/>
      <c r="DI63" s="844"/>
      <c r="DJ63" s="844"/>
      <c r="DK63" s="844"/>
      <c r="DL63" s="844"/>
      <c r="DM63" s="844"/>
      <c r="DN63" s="844"/>
      <c r="DO63" s="823">
        <f t="shared" ref="DO63" si="242">COUNTA(CZ63:DN63)</f>
        <v>0</v>
      </c>
      <c r="DP63" s="824">
        <f>DP60</f>
        <v>83.2</v>
      </c>
      <c r="DR63" s="870">
        <v>45859</v>
      </c>
      <c r="DS63" s="849" t="s">
        <v>72</v>
      </c>
      <c r="DT63" s="849"/>
      <c r="DU63" s="849"/>
      <c r="DV63" s="848" t="s">
        <v>104</v>
      </c>
      <c r="DW63" s="848"/>
      <c r="DX63" s="848"/>
      <c r="DY63" s="882" t="s">
        <v>101</v>
      </c>
      <c r="DZ63" s="883"/>
      <c r="EA63" s="884"/>
      <c r="EB63" s="844"/>
      <c r="EC63" s="844"/>
      <c r="ED63" s="844"/>
      <c r="EE63" s="844"/>
      <c r="EF63" s="844"/>
      <c r="EG63" s="844"/>
      <c r="EH63" s="823">
        <f t="shared" ref="EH63" si="243">COUNTA(DS63:EG63)</f>
        <v>3</v>
      </c>
      <c r="EI63" s="824">
        <v>80.099999999999994</v>
      </c>
      <c r="EK63" s="873">
        <v>45890</v>
      </c>
      <c r="EL63" s="849" t="s">
        <v>70</v>
      </c>
      <c r="EM63" s="849"/>
      <c r="EN63" s="849"/>
      <c r="EO63" s="859"/>
      <c r="EP63" s="859"/>
      <c r="EQ63" s="859"/>
      <c r="ER63" s="844"/>
      <c r="ES63" s="844"/>
      <c r="ET63" s="844"/>
      <c r="EU63" s="844"/>
      <c r="EV63" s="844"/>
      <c r="EW63" s="844"/>
      <c r="EX63" s="844"/>
      <c r="EY63" s="844"/>
      <c r="EZ63" s="844"/>
      <c r="FA63" s="823">
        <f t="shared" ref="FA63" si="244">COUNTA(EL63:EZ63)</f>
        <v>1</v>
      </c>
      <c r="FB63" s="824">
        <v>80.3</v>
      </c>
      <c r="FD63" s="864">
        <v>45921</v>
      </c>
      <c r="FE63" s="849" t="s">
        <v>89</v>
      </c>
      <c r="FF63" s="849"/>
      <c r="FG63" s="849"/>
      <c r="FH63" s="848" t="s">
        <v>103</v>
      </c>
      <c r="FI63" s="848"/>
      <c r="FJ63" s="848"/>
      <c r="FK63" s="849" t="s">
        <v>134</v>
      </c>
      <c r="FL63" s="849"/>
      <c r="FM63" s="849"/>
      <c r="FN63" s="890" t="s">
        <v>116</v>
      </c>
      <c r="FO63" s="890"/>
      <c r="FP63" s="890"/>
      <c r="FQ63" s="890" t="s">
        <v>106</v>
      </c>
      <c r="FR63" s="890"/>
      <c r="FS63" s="890"/>
      <c r="FT63" s="823">
        <f t="shared" ref="FT63" si="245">COUNTA(FE63:FS63)</f>
        <v>5</v>
      </c>
      <c r="FU63" s="824">
        <v>79.2</v>
      </c>
      <c r="FW63" s="856">
        <v>45951</v>
      </c>
      <c r="FX63" s="849" t="s">
        <v>72</v>
      </c>
      <c r="FY63" s="849"/>
      <c r="FZ63" s="849"/>
      <c r="GA63" s="879" t="s">
        <v>78</v>
      </c>
      <c r="GB63" s="880"/>
      <c r="GC63" s="881"/>
      <c r="GD63" s="882" t="s">
        <v>123</v>
      </c>
      <c r="GE63" s="883"/>
      <c r="GF63" s="884"/>
      <c r="GG63" s="882" t="s">
        <v>85</v>
      </c>
      <c r="GH63" s="883"/>
      <c r="GI63" s="884"/>
      <c r="GJ63" s="844"/>
      <c r="GK63" s="844"/>
      <c r="GL63" s="844"/>
      <c r="GM63" s="844"/>
      <c r="GN63" s="844"/>
      <c r="GO63" s="844"/>
      <c r="GP63" s="823">
        <f>COUNTA(FX63:GO63)</f>
        <v>4</v>
      </c>
      <c r="GQ63" s="824">
        <v>78.8</v>
      </c>
      <c r="GR63" s="118"/>
      <c r="GS63" s="876">
        <v>45982</v>
      </c>
      <c r="GT63" s="844"/>
      <c r="GU63" s="844"/>
      <c r="GV63" s="844"/>
      <c r="GW63" s="859"/>
      <c r="GX63" s="859"/>
      <c r="GY63" s="859"/>
      <c r="GZ63" s="834"/>
      <c r="HA63" s="835"/>
      <c r="HB63" s="836"/>
      <c r="HC63" s="867"/>
      <c r="HD63" s="868"/>
      <c r="HE63" s="869"/>
      <c r="HF63" s="834"/>
      <c r="HG63" s="835"/>
      <c r="HH63" s="836"/>
      <c r="HI63" s="834"/>
      <c r="HJ63" s="835"/>
      <c r="HK63" s="836"/>
      <c r="HL63" s="823">
        <f>COUNTA(GT63:HK63)</f>
        <v>0</v>
      </c>
      <c r="HM63" s="824">
        <f>HM60</f>
        <v>78.099999999999994</v>
      </c>
      <c r="HN63" s="118"/>
      <c r="HO63" s="864">
        <v>46012</v>
      </c>
      <c r="HP63" s="849" t="s">
        <v>89</v>
      </c>
      <c r="HQ63" s="849"/>
      <c r="HR63" s="849"/>
      <c r="HS63" s="848" t="s">
        <v>115</v>
      </c>
      <c r="HT63" s="848"/>
      <c r="HU63" s="848"/>
      <c r="HV63" s="848" t="s">
        <v>146</v>
      </c>
      <c r="HW63" s="848"/>
      <c r="HX63" s="848"/>
      <c r="HY63" s="859"/>
      <c r="HZ63" s="859"/>
      <c r="IA63" s="859"/>
      <c r="IB63" s="844"/>
      <c r="IC63" s="844"/>
      <c r="ID63" s="844"/>
      <c r="IE63" s="834"/>
      <c r="IF63" s="835"/>
      <c r="IG63" s="836"/>
      <c r="IH63" s="823">
        <f>COUNTA(HP63:IG63)</f>
        <v>3</v>
      </c>
      <c r="II63" s="824">
        <v>77</v>
      </c>
      <c r="IK63" s="845">
        <v>46043</v>
      </c>
      <c r="IL63" s="848"/>
      <c r="IM63" s="848"/>
      <c r="IN63" s="848"/>
      <c r="IO63" s="848"/>
      <c r="IP63" s="848"/>
      <c r="IQ63" s="848"/>
      <c r="IR63" s="848"/>
      <c r="IS63" s="848"/>
      <c r="IT63" s="848"/>
      <c r="IU63" s="848"/>
      <c r="IV63" s="848"/>
      <c r="IW63" s="848"/>
      <c r="IX63" s="882"/>
      <c r="IY63" s="883"/>
      <c r="IZ63" s="884"/>
      <c r="JA63" s="882"/>
      <c r="JB63" s="883"/>
      <c r="JC63" s="884"/>
      <c r="JD63" s="232" t="s">
        <v>425</v>
      </c>
      <c r="JE63" s="823">
        <f>COUNTA(IL63:JC63)</f>
        <v>0</v>
      </c>
      <c r="JF63" s="824"/>
    </row>
    <row r="64" spans="24:266" ht="15">
      <c r="AA64" s="877"/>
      <c r="AB64" s="231" t="s">
        <v>59</v>
      </c>
      <c r="AC64" s="231" t="s">
        <v>73</v>
      </c>
      <c r="AD64" s="102" t="s">
        <v>4</v>
      </c>
      <c r="AE64" s="231" t="s">
        <v>59</v>
      </c>
      <c r="AF64" s="231" t="s">
        <v>73</v>
      </c>
      <c r="AG64" s="102" t="s">
        <v>4</v>
      </c>
      <c r="AH64" s="231" t="s">
        <v>59</v>
      </c>
      <c r="AI64" s="231" t="s">
        <v>73</v>
      </c>
      <c r="AJ64" s="102" t="s">
        <v>4</v>
      </c>
      <c r="AK64" s="231" t="s">
        <v>59</v>
      </c>
      <c r="AL64" s="231" t="s">
        <v>73</v>
      </c>
      <c r="AM64" s="102" t="s">
        <v>4</v>
      </c>
      <c r="AN64" s="107" t="s">
        <v>59</v>
      </c>
      <c r="AO64" s="107" t="s">
        <v>73</v>
      </c>
      <c r="AP64" s="108" t="s">
        <v>4</v>
      </c>
      <c r="AQ64" s="823"/>
      <c r="AR64" s="825"/>
      <c r="AT64" s="877"/>
      <c r="AU64" s="107" t="s">
        <v>59</v>
      </c>
      <c r="AV64" s="107" t="s">
        <v>73</v>
      </c>
      <c r="AW64" s="108" t="s">
        <v>4</v>
      </c>
      <c r="AX64" s="107" t="s">
        <v>59</v>
      </c>
      <c r="AY64" s="107" t="s">
        <v>73</v>
      </c>
      <c r="AZ64" s="108" t="s">
        <v>4</v>
      </c>
      <c r="BA64" s="107" t="s">
        <v>59</v>
      </c>
      <c r="BB64" s="107" t="s">
        <v>73</v>
      </c>
      <c r="BC64" s="108" t="s">
        <v>4</v>
      </c>
      <c r="BD64" s="107" t="s">
        <v>59</v>
      </c>
      <c r="BE64" s="107" t="s">
        <v>73</v>
      </c>
      <c r="BF64" s="108" t="s">
        <v>4</v>
      </c>
      <c r="BG64" s="107" t="s">
        <v>59</v>
      </c>
      <c r="BH64" s="107" t="s">
        <v>73</v>
      </c>
      <c r="BI64" s="108" t="s">
        <v>4</v>
      </c>
      <c r="BJ64" s="823"/>
      <c r="BK64" s="825"/>
      <c r="BL64" s="118"/>
      <c r="BM64" s="871"/>
      <c r="BN64" s="231" t="s">
        <v>59</v>
      </c>
      <c r="BO64" s="231" t="s">
        <v>73</v>
      </c>
      <c r="BP64" s="102" t="s">
        <v>4</v>
      </c>
      <c r="BQ64" s="231" t="s">
        <v>59</v>
      </c>
      <c r="BR64" s="231" t="s">
        <v>73</v>
      </c>
      <c r="BS64" s="102" t="s">
        <v>4</v>
      </c>
      <c r="BT64" s="231" t="s">
        <v>59</v>
      </c>
      <c r="BU64" s="231" t="s">
        <v>73</v>
      </c>
      <c r="BV64" s="102" t="s">
        <v>4</v>
      </c>
      <c r="BW64" s="231" t="s">
        <v>59</v>
      </c>
      <c r="BX64" s="231" t="s">
        <v>73</v>
      </c>
      <c r="BY64" s="102" t="s">
        <v>4</v>
      </c>
      <c r="BZ64" s="107" t="s">
        <v>59</v>
      </c>
      <c r="CA64" s="107" t="s">
        <v>73</v>
      </c>
      <c r="CB64" s="108" t="s">
        <v>4</v>
      </c>
      <c r="CC64" s="823"/>
      <c r="CD64" s="825"/>
      <c r="CF64" s="846"/>
      <c r="CG64" s="127" t="s">
        <v>59</v>
      </c>
      <c r="CH64" s="127" t="s">
        <v>73</v>
      </c>
      <c r="CI64" s="128" t="s">
        <v>4</v>
      </c>
      <c r="CJ64" s="231" t="s">
        <v>59</v>
      </c>
      <c r="CK64" s="231" t="s">
        <v>73</v>
      </c>
      <c r="CL64" s="102" t="s">
        <v>4</v>
      </c>
      <c r="CM64" s="231" t="s">
        <v>59</v>
      </c>
      <c r="CN64" s="231" t="s">
        <v>73</v>
      </c>
      <c r="CO64" s="102" t="s">
        <v>4</v>
      </c>
      <c r="CP64" s="107" t="s">
        <v>59</v>
      </c>
      <c r="CQ64" s="107" t="s">
        <v>73</v>
      </c>
      <c r="CR64" s="108" t="s">
        <v>4</v>
      </c>
      <c r="CS64" s="107" t="s">
        <v>59</v>
      </c>
      <c r="CT64" s="107" t="s">
        <v>73</v>
      </c>
      <c r="CU64" s="108" t="s">
        <v>4</v>
      </c>
      <c r="CV64" s="823"/>
      <c r="CW64" s="825"/>
      <c r="CX64" s="118"/>
      <c r="CY64" s="841"/>
      <c r="CZ64" s="107" t="s">
        <v>59</v>
      </c>
      <c r="DA64" s="107" t="s">
        <v>73</v>
      </c>
      <c r="DB64" s="108" t="s">
        <v>4</v>
      </c>
      <c r="DC64" s="107" t="s">
        <v>59</v>
      </c>
      <c r="DD64" s="107" t="s">
        <v>73</v>
      </c>
      <c r="DE64" s="108" t="s">
        <v>4</v>
      </c>
      <c r="DF64" s="107" t="s">
        <v>59</v>
      </c>
      <c r="DG64" s="107" t="s">
        <v>73</v>
      </c>
      <c r="DH64" s="108" t="s">
        <v>4</v>
      </c>
      <c r="DI64" s="107" t="s">
        <v>59</v>
      </c>
      <c r="DJ64" s="107" t="s">
        <v>73</v>
      </c>
      <c r="DK64" s="108" t="s">
        <v>4</v>
      </c>
      <c r="DL64" s="107" t="s">
        <v>59</v>
      </c>
      <c r="DM64" s="107" t="s">
        <v>73</v>
      </c>
      <c r="DN64" s="108" t="s">
        <v>4</v>
      </c>
      <c r="DO64" s="823"/>
      <c r="DP64" s="825"/>
      <c r="DR64" s="871"/>
      <c r="DS64" s="231" t="s">
        <v>59</v>
      </c>
      <c r="DT64" s="231" t="s">
        <v>73</v>
      </c>
      <c r="DU64" s="102" t="s">
        <v>4</v>
      </c>
      <c r="DV64" s="231" t="s">
        <v>59</v>
      </c>
      <c r="DW64" s="231" t="s">
        <v>73</v>
      </c>
      <c r="DX64" s="102" t="s">
        <v>4</v>
      </c>
      <c r="DY64" s="231" t="s">
        <v>59</v>
      </c>
      <c r="DZ64" s="231" t="s">
        <v>73</v>
      </c>
      <c r="EA64" s="102" t="s">
        <v>4</v>
      </c>
      <c r="EB64" s="107" t="s">
        <v>59</v>
      </c>
      <c r="EC64" s="107" t="s">
        <v>73</v>
      </c>
      <c r="ED64" s="108" t="s">
        <v>4</v>
      </c>
      <c r="EE64" s="107" t="s">
        <v>59</v>
      </c>
      <c r="EF64" s="107" t="s">
        <v>73</v>
      </c>
      <c r="EG64" s="108" t="s">
        <v>4</v>
      </c>
      <c r="EH64" s="823"/>
      <c r="EI64" s="825"/>
      <c r="EK64" s="874"/>
      <c r="EL64" s="231" t="s">
        <v>59</v>
      </c>
      <c r="EM64" s="231" t="s">
        <v>73</v>
      </c>
      <c r="EN64" s="102" t="s">
        <v>4</v>
      </c>
      <c r="EO64" s="107" t="s">
        <v>59</v>
      </c>
      <c r="EP64" s="107" t="s">
        <v>73</v>
      </c>
      <c r="EQ64" s="108" t="s">
        <v>4</v>
      </c>
      <c r="ER64" s="107" t="s">
        <v>59</v>
      </c>
      <c r="ES64" s="107" t="s">
        <v>73</v>
      </c>
      <c r="ET64" s="108" t="s">
        <v>4</v>
      </c>
      <c r="EU64" s="107" t="s">
        <v>59</v>
      </c>
      <c r="EV64" s="107" t="s">
        <v>73</v>
      </c>
      <c r="EW64" s="108" t="s">
        <v>4</v>
      </c>
      <c r="EX64" s="107" t="s">
        <v>59</v>
      </c>
      <c r="EY64" s="107" t="s">
        <v>73</v>
      </c>
      <c r="EZ64" s="108" t="s">
        <v>4</v>
      </c>
      <c r="FA64" s="823"/>
      <c r="FB64" s="825"/>
      <c r="FD64" s="865"/>
      <c r="FE64" s="231" t="s">
        <v>59</v>
      </c>
      <c r="FF64" s="231" t="s">
        <v>73</v>
      </c>
      <c r="FG64" s="102" t="s">
        <v>4</v>
      </c>
      <c r="FH64" s="231" t="s">
        <v>59</v>
      </c>
      <c r="FI64" s="231" t="s">
        <v>73</v>
      </c>
      <c r="FJ64" s="102" t="s">
        <v>4</v>
      </c>
      <c r="FK64" s="231" t="s">
        <v>59</v>
      </c>
      <c r="FL64" s="231" t="s">
        <v>73</v>
      </c>
      <c r="FM64" s="102" t="s">
        <v>4</v>
      </c>
      <c r="FN64" s="231" t="s">
        <v>59</v>
      </c>
      <c r="FO64" s="231" t="s">
        <v>73</v>
      </c>
      <c r="FP64" s="102" t="s">
        <v>4</v>
      </c>
      <c r="FQ64" s="231" t="s">
        <v>59</v>
      </c>
      <c r="FR64" s="231" t="s">
        <v>73</v>
      </c>
      <c r="FS64" s="102" t="s">
        <v>4</v>
      </c>
      <c r="FT64" s="823"/>
      <c r="FU64" s="825"/>
      <c r="FW64" s="857"/>
      <c r="FX64" s="231" t="s">
        <v>59</v>
      </c>
      <c r="FY64" s="231" t="s">
        <v>73</v>
      </c>
      <c r="FZ64" s="102" t="s">
        <v>4</v>
      </c>
      <c r="GA64" s="231" t="s">
        <v>59</v>
      </c>
      <c r="GB64" s="231" t="s">
        <v>73</v>
      </c>
      <c r="GC64" s="102" t="s">
        <v>4</v>
      </c>
      <c r="GD64" s="231" t="s">
        <v>59</v>
      </c>
      <c r="GE64" s="231" t="s">
        <v>73</v>
      </c>
      <c r="GF64" s="102" t="s">
        <v>4</v>
      </c>
      <c r="GG64" s="231" t="s">
        <v>59</v>
      </c>
      <c r="GH64" s="231" t="s">
        <v>73</v>
      </c>
      <c r="GI64" s="102" t="s">
        <v>4</v>
      </c>
      <c r="GJ64" s="107" t="s">
        <v>59</v>
      </c>
      <c r="GK64" s="107" t="s">
        <v>73</v>
      </c>
      <c r="GL64" s="108" t="s">
        <v>4</v>
      </c>
      <c r="GM64" s="107" t="s">
        <v>59</v>
      </c>
      <c r="GN64" s="107" t="s">
        <v>73</v>
      </c>
      <c r="GO64" s="108" t="s">
        <v>4</v>
      </c>
      <c r="GP64" s="823"/>
      <c r="GQ64" s="825"/>
      <c r="GR64" s="118"/>
      <c r="GS64" s="877"/>
      <c r="GT64" s="107" t="s">
        <v>59</v>
      </c>
      <c r="GU64" s="107" t="s">
        <v>73</v>
      </c>
      <c r="GV64" s="108" t="s">
        <v>4</v>
      </c>
      <c r="GW64" s="107" t="s">
        <v>59</v>
      </c>
      <c r="GX64" s="107" t="s">
        <v>73</v>
      </c>
      <c r="GY64" s="108" t="s">
        <v>4</v>
      </c>
      <c r="GZ64" s="107" t="s">
        <v>59</v>
      </c>
      <c r="HA64" s="107" t="s">
        <v>73</v>
      </c>
      <c r="HB64" s="108" t="s">
        <v>4</v>
      </c>
      <c r="HC64" s="107" t="s">
        <v>59</v>
      </c>
      <c r="HD64" s="107" t="s">
        <v>73</v>
      </c>
      <c r="HE64" s="108" t="s">
        <v>4</v>
      </c>
      <c r="HF64" s="107" t="s">
        <v>59</v>
      </c>
      <c r="HG64" s="107" t="s">
        <v>73</v>
      </c>
      <c r="HH64" s="108" t="s">
        <v>4</v>
      </c>
      <c r="HI64" s="107" t="s">
        <v>59</v>
      </c>
      <c r="HJ64" s="107" t="s">
        <v>73</v>
      </c>
      <c r="HK64" s="108" t="s">
        <v>4</v>
      </c>
      <c r="HL64" s="823"/>
      <c r="HM64" s="825"/>
      <c r="HN64" s="118"/>
      <c r="HO64" s="865"/>
      <c r="HP64" s="231" t="s">
        <v>59</v>
      </c>
      <c r="HQ64" s="231" t="s">
        <v>73</v>
      </c>
      <c r="HR64" s="102" t="s">
        <v>4</v>
      </c>
      <c r="HS64" s="231" t="s">
        <v>59</v>
      </c>
      <c r="HT64" s="231" t="s">
        <v>73</v>
      </c>
      <c r="HU64" s="102" t="s">
        <v>4</v>
      </c>
      <c r="HV64" s="231" t="s">
        <v>59</v>
      </c>
      <c r="HW64" s="231" t="s">
        <v>73</v>
      </c>
      <c r="HX64" s="102" t="s">
        <v>4</v>
      </c>
      <c r="HY64" s="107" t="s">
        <v>59</v>
      </c>
      <c r="HZ64" s="107" t="s">
        <v>73</v>
      </c>
      <c r="IA64" s="108" t="s">
        <v>4</v>
      </c>
      <c r="IB64" s="107" t="s">
        <v>59</v>
      </c>
      <c r="IC64" s="107" t="s">
        <v>73</v>
      </c>
      <c r="ID64" s="108" t="s">
        <v>4</v>
      </c>
      <c r="IE64" s="107" t="s">
        <v>59</v>
      </c>
      <c r="IF64" s="107" t="s">
        <v>73</v>
      </c>
      <c r="IG64" s="108" t="s">
        <v>4</v>
      </c>
      <c r="IH64" s="823"/>
      <c r="II64" s="825"/>
      <c r="IK64" s="846"/>
      <c r="IL64" s="231" t="s">
        <v>59</v>
      </c>
      <c r="IM64" s="231" t="s">
        <v>73</v>
      </c>
      <c r="IN64" s="102" t="s">
        <v>4</v>
      </c>
      <c r="IO64" s="231" t="s">
        <v>59</v>
      </c>
      <c r="IP64" s="231" t="s">
        <v>73</v>
      </c>
      <c r="IQ64" s="102" t="s">
        <v>4</v>
      </c>
      <c r="IR64" s="231" t="s">
        <v>59</v>
      </c>
      <c r="IS64" s="231" t="s">
        <v>73</v>
      </c>
      <c r="IT64" s="102" t="s">
        <v>4</v>
      </c>
      <c r="IU64" s="231" t="s">
        <v>59</v>
      </c>
      <c r="IV64" s="231" t="s">
        <v>73</v>
      </c>
      <c r="IW64" s="102" t="s">
        <v>4</v>
      </c>
      <c r="IX64" s="231" t="s">
        <v>59</v>
      </c>
      <c r="IY64" s="231" t="s">
        <v>73</v>
      </c>
      <c r="IZ64" s="102" t="s">
        <v>4</v>
      </c>
      <c r="JA64" s="231" t="s">
        <v>59</v>
      </c>
      <c r="JB64" s="231" t="s">
        <v>73</v>
      </c>
      <c r="JC64" s="102" t="s">
        <v>4</v>
      </c>
      <c r="JD64" s="948"/>
      <c r="JE64" s="823"/>
      <c r="JF64" s="825"/>
    </row>
    <row r="65" spans="27:268" ht="15">
      <c r="AA65" s="878"/>
      <c r="AB65" s="229">
        <v>2</v>
      </c>
      <c r="AC65" s="229">
        <v>4</v>
      </c>
      <c r="AD65" s="229">
        <f>((15*3)+(17.5*1))/4</f>
        <v>15.625</v>
      </c>
      <c r="AE65" s="229">
        <v>4</v>
      </c>
      <c r="AF65" s="229">
        <v>8</v>
      </c>
      <c r="AG65" s="229">
        <v>22.5</v>
      </c>
      <c r="AH65" s="229">
        <v>4</v>
      </c>
      <c r="AI65" s="229">
        <v>8</v>
      </c>
      <c r="AJ65" s="229">
        <v>7.5</v>
      </c>
      <c r="AK65" s="229">
        <v>4</v>
      </c>
      <c r="AL65" s="229">
        <v>8</v>
      </c>
      <c r="AM65" s="229">
        <v>29.5</v>
      </c>
      <c r="AN65" s="233"/>
      <c r="AO65" s="233"/>
      <c r="AP65" s="233"/>
      <c r="AQ65" s="229">
        <f t="shared" ref="AQ65" si="246">(AB65*AC65*AD65)+(AE65*AF65*AG65)+(AH65*AI65*AJ65)+(AK65*AL65*AM65)+(AN65*AO65*AP65)</f>
        <v>2029</v>
      </c>
      <c r="AR65" s="826"/>
      <c r="AT65" s="878"/>
      <c r="AU65" s="233"/>
      <c r="AV65" s="233"/>
      <c r="AW65" s="233"/>
      <c r="AX65" s="233"/>
      <c r="AY65" s="233"/>
      <c r="AZ65" s="233"/>
      <c r="BA65" s="233"/>
      <c r="BB65" s="233"/>
      <c r="BC65" s="233"/>
      <c r="BD65" s="233"/>
      <c r="BE65" s="233"/>
      <c r="BF65" s="233"/>
      <c r="BG65" s="233"/>
      <c r="BH65" s="233"/>
      <c r="BI65" s="233"/>
      <c r="BJ65" s="229">
        <f t="shared" ref="BJ65" si="247">(AU65*AV65*AW65)+(AX65*AY65*AZ65)+(BA65*BB65*BC65)+(BD65*BE65*BF65)+(BG65*BH65*BI65)</f>
        <v>0</v>
      </c>
      <c r="BK65" s="826"/>
      <c r="BL65" s="118"/>
      <c r="BM65" s="872"/>
      <c r="BN65" s="229">
        <v>4</v>
      </c>
      <c r="BO65" s="229">
        <v>10</v>
      </c>
      <c r="BP65" s="229">
        <f>110*$FU$3</f>
        <v>8756</v>
      </c>
      <c r="BQ65" s="229">
        <v>4</v>
      </c>
      <c r="BR65" s="229">
        <f>((10*2)+(8*2))/4</f>
        <v>9</v>
      </c>
      <c r="BS65" s="229">
        <v>12.5</v>
      </c>
      <c r="BT65" s="229">
        <v>4</v>
      </c>
      <c r="BU65" s="229">
        <f>((8*1)+(10*3))/4</f>
        <v>9.5</v>
      </c>
      <c r="BV65" s="229">
        <f>((50*$FU$3*1)+(55*$FU$3*3))/4</f>
        <v>4278.5</v>
      </c>
      <c r="BW65" s="229">
        <v>2</v>
      </c>
      <c r="BX65" s="229">
        <f>((8*3)+(7*1))/4</f>
        <v>7.75</v>
      </c>
      <c r="BY65" s="229">
        <v>15</v>
      </c>
      <c r="BZ65" s="233"/>
      <c r="CA65" s="233"/>
      <c r="CB65" s="233"/>
      <c r="CC65" s="229">
        <f t="shared" ref="CC65" si="248">(BN65*BO65*BP65)+(BQ65*BR65*BS65)+(BT65*BU65*BV65)+(BW65*BX65*BY65)+(BZ65*CA65*CB65)</f>
        <v>513505.5</v>
      </c>
      <c r="CD65" s="826"/>
      <c r="CF65" s="847"/>
      <c r="CG65" s="129">
        <v>4</v>
      </c>
      <c r="CH65" s="129">
        <v>10</v>
      </c>
      <c r="CI65" s="129">
        <v>6.8</v>
      </c>
      <c r="CJ65" s="229">
        <v>4</v>
      </c>
      <c r="CK65" s="229">
        <v>10</v>
      </c>
      <c r="CL65" s="229">
        <v>17.5</v>
      </c>
      <c r="CM65" s="229">
        <v>4</v>
      </c>
      <c r="CN65" s="229">
        <v>12</v>
      </c>
      <c r="CO65" s="229">
        <v>5</v>
      </c>
      <c r="CP65" s="233"/>
      <c r="CQ65" s="233"/>
      <c r="CR65" s="233"/>
      <c r="CS65" s="233"/>
      <c r="CT65" s="233"/>
      <c r="CU65" s="233"/>
      <c r="CV65" s="229">
        <f t="shared" ref="CV65" si="249">(CG65*CH65*CI65)+(CJ65*CK65*CL65)+(CM65*CN65*CO65)+(CP65*CQ65*CR65)+(CS65*CT65*CU65)</f>
        <v>1212</v>
      </c>
      <c r="CW65" s="826"/>
      <c r="CX65" s="118"/>
      <c r="CY65" s="842"/>
      <c r="CZ65" s="233"/>
      <c r="DA65" s="233"/>
      <c r="DB65" s="233"/>
      <c r="DC65" s="233"/>
      <c r="DD65" s="233"/>
      <c r="DE65" s="233"/>
      <c r="DF65" s="233"/>
      <c r="DG65" s="233"/>
      <c r="DH65" s="233"/>
      <c r="DI65" s="233"/>
      <c r="DJ65" s="233"/>
      <c r="DK65" s="233"/>
      <c r="DL65" s="233"/>
      <c r="DM65" s="233"/>
      <c r="DN65" s="233"/>
      <c r="DO65" s="229">
        <f t="shared" ref="DO65" si="250">(CZ65*DA65*DB65)+(DC65*DD65*DE65)+(DF65*DG65*DH65)+(DI65*DJ65*DK65)+(DL65*DM65*DN65)</f>
        <v>0</v>
      </c>
      <c r="DP65" s="826"/>
      <c r="DR65" s="872"/>
      <c r="DS65" s="229">
        <v>3</v>
      </c>
      <c r="DT65" s="229">
        <v>10</v>
      </c>
      <c r="DU65" s="229">
        <v>50</v>
      </c>
      <c r="DV65" s="229">
        <v>3</v>
      </c>
      <c r="DW65" s="126">
        <v>10</v>
      </c>
      <c r="DX65" s="126">
        <v>12.5</v>
      </c>
      <c r="DY65" s="229">
        <v>3</v>
      </c>
      <c r="DZ65" s="126">
        <f>((12*1)+(8*2))/3</f>
        <v>9.3333333333333339</v>
      </c>
      <c r="EA65" s="126">
        <f>((29.5*1)+(31.8*2))/3</f>
        <v>31.033333333333331</v>
      </c>
      <c r="EB65" s="233"/>
      <c r="EC65" s="233"/>
      <c r="ED65" s="233"/>
      <c r="EE65" s="233"/>
      <c r="EF65" s="233"/>
      <c r="EG65" s="233"/>
      <c r="EH65" s="229">
        <f t="shared" ref="EH65" si="251">(DS65*DT65*DU65)+(DV65*DW65*DX65)+(DY65*DZ65*EA65)+(EB65*EC65*ED65)+(EE65*EF65*EG65)</f>
        <v>2743.9333333333334</v>
      </c>
      <c r="EI65" s="826"/>
      <c r="EK65" s="875"/>
      <c r="EL65" s="229">
        <v>1</v>
      </c>
      <c r="EM65" s="229">
        <v>30</v>
      </c>
      <c r="EN65" s="229">
        <f>FB63</f>
        <v>80.3</v>
      </c>
      <c r="EO65" s="233"/>
      <c r="EP65" s="233"/>
      <c r="EQ65" s="233"/>
      <c r="ER65" s="233"/>
      <c r="ES65" s="233"/>
      <c r="ET65" s="233"/>
      <c r="EU65" s="233"/>
      <c r="EV65" s="233"/>
      <c r="EW65" s="233"/>
      <c r="EX65" s="233"/>
      <c r="EY65" s="233"/>
      <c r="EZ65" s="233"/>
      <c r="FA65" s="229">
        <f t="shared" ref="FA65" si="252">(EL65*EM65*EN65)+(EO65*EP65*EQ65)+(ER65*ES65*ET65)+(EU65*EV65*EW65)+(EX65*EY65*EZ65)</f>
        <v>2409</v>
      </c>
      <c r="FB65" s="826"/>
      <c r="FD65" s="866"/>
      <c r="FE65" s="229">
        <v>4</v>
      </c>
      <c r="FF65" s="229">
        <f>((14*1)+(8*2)+(10*1))/4</f>
        <v>10</v>
      </c>
      <c r="FG65" s="229">
        <f>((39*1)+(68*2)+(63*1))/4</f>
        <v>59.5</v>
      </c>
      <c r="FH65" s="229">
        <v>4</v>
      </c>
      <c r="FI65" s="126">
        <f>((10*1)+(12*2))/3</f>
        <v>11.333333333333334</v>
      </c>
      <c r="FJ65" s="126">
        <v>12.5</v>
      </c>
      <c r="FK65" s="229">
        <v>3</v>
      </c>
      <c r="FL65" s="229">
        <v>10</v>
      </c>
      <c r="FM65" s="126">
        <v>22.7</v>
      </c>
      <c r="FN65" s="229">
        <v>3</v>
      </c>
      <c r="FO65" s="229">
        <f>((12*3)+(10*1))/4</f>
        <v>11.5</v>
      </c>
      <c r="FP65" s="126">
        <f>((7*1)+(14.75*3))/4</f>
        <v>12.8125</v>
      </c>
      <c r="FQ65" s="229">
        <v>4</v>
      </c>
      <c r="FR65" s="126">
        <f>((12*1)+(14*2))/3</f>
        <v>13.333333333333334</v>
      </c>
      <c r="FS65" s="126">
        <v>10</v>
      </c>
      <c r="FT65" s="229">
        <f t="shared" ref="FT65" si="253">(FE65*FF65*FG65)+(FH65*FI65*FJ65)+(FK65*FL65*FM65)+(FN65*FO65*FP65)+(FQ65*FR65*FS65)</f>
        <v>4603.03125</v>
      </c>
      <c r="FU65" s="826"/>
      <c r="FW65" s="858"/>
      <c r="FX65" s="229">
        <v>4</v>
      </c>
      <c r="FY65" s="229">
        <f>((20*1)+(8*3))/4</f>
        <v>11</v>
      </c>
      <c r="FZ65" s="229">
        <f>((32*1)+(54*3))/4</f>
        <v>48.5</v>
      </c>
      <c r="GA65" s="229">
        <v>2</v>
      </c>
      <c r="GB65" s="229">
        <v>12</v>
      </c>
      <c r="GC65" s="229">
        <v>15</v>
      </c>
      <c r="GD65" s="229">
        <v>2</v>
      </c>
      <c r="GE65" s="126">
        <f>((10*1)+(12*1)+(14*1))/3</f>
        <v>12</v>
      </c>
      <c r="GF65" s="126">
        <v>15.9</v>
      </c>
      <c r="GG65" s="229">
        <v>3</v>
      </c>
      <c r="GH65" s="229">
        <v>34</v>
      </c>
      <c r="GI65" s="229">
        <f>GQ63*(1/3)</f>
        <v>26.266666666666666</v>
      </c>
      <c r="GJ65" s="233"/>
      <c r="GK65" s="233"/>
      <c r="GL65" s="233"/>
      <c r="GM65" s="233"/>
      <c r="GN65" s="233"/>
      <c r="GO65" s="233"/>
      <c r="GP65" s="229">
        <f>(FX65*FY65*FZ65)+(GA65*GB65*GC65)+(GD65*GE65*GF65)+(GG65*GH65*GI65)+(GJ65*GK65*GL65)+(GM65*GN65*GO65)</f>
        <v>5554.7999999999993</v>
      </c>
      <c r="GQ65" s="826"/>
      <c r="GR65" s="118"/>
      <c r="GS65" s="878"/>
      <c r="GT65" s="233"/>
      <c r="GU65" s="233"/>
      <c r="GV65" s="233"/>
      <c r="GW65" s="233"/>
      <c r="GX65" s="233"/>
      <c r="GY65" s="233"/>
      <c r="GZ65" s="233"/>
      <c r="HA65" s="233"/>
      <c r="HB65" s="233"/>
      <c r="HC65" s="233"/>
      <c r="HD65" s="233"/>
      <c r="HE65" s="233"/>
      <c r="HF65" s="233"/>
      <c r="HG65" s="233"/>
      <c r="HH65" s="233"/>
      <c r="HI65" s="233"/>
      <c r="HJ65" s="233"/>
      <c r="HK65" s="233"/>
      <c r="HL65" s="229">
        <f>(GT65*GU65*GV65)+(GW65*GX65*GY65)+(GZ65*HA65*HB65)+(HC65*HD65*HE65)+(HF65*HG65*HH65)+(HI65*HJ65*HK65)</f>
        <v>0</v>
      </c>
      <c r="HM65" s="826"/>
      <c r="HN65" s="118"/>
      <c r="HO65" s="866"/>
      <c r="HP65" s="229">
        <v>3</v>
      </c>
      <c r="HQ65" s="229">
        <f>((12*2)+(6*1))/3</f>
        <v>10</v>
      </c>
      <c r="HR65" s="229">
        <f>((63*2)+(68*1))/3</f>
        <v>64.666666666666671</v>
      </c>
      <c r="HS65" s="229">
        <v>3</v>
      </c>
      <c r="HT65" s="229">
        <v>10</v>
      </c>
      <c r="HU65" s="229">
        <v>24.9</v>
      </c>
      <c r="HV65" s="229">
        <v>3</v>
      </c>
      <c r="HW65" s="229">
        <v>12</v>
      </c>
      <c r="HX65" s="229">
        <f>((13.6*2)+(15.9*1))/3</f>
        <v>14.366666666666667</v>
      </c>
      <c r="HY65" s="233"/>
      <c r="HZ65" s="233"/>
      <c r="IA65" s="233"/>
      <c r="IB65" s="233"/>
      <c r="IC65" s="233"/>
      <c r="ID65" s="233"/>
      <c r="IE65" s="233"/>
      <c r="IF65" s="233"/>
      <c r="IG65" s="233"/>
      <c r="IH65" s="229">
        <f>(HP65*HQ65*HR65)+(HS65*HT65*HU65)+(HV65*HW65*HX65)+(HY65*HZ65*IA65)+(IB65*IC65*ID65)+(IE65*IF65*IG65)</f>
        <v>3204.2</v>
      </c>
      <c r="II65" s="826"/>
      <c r="IK65" s="847"/>
      <c r="IL65" s="229"/>
      <c r="IM65" s="229"/>
      <c r="IN65" s="229"/>
      <c r="IO65" s="229"/>
      <c r="IP65" s="229"/>
      <c r="IQ65" s="229"/>
      <c r="IR65" s="229"/>
      <c r="IS65" s="229"/>
      <c r="IT65" s="229"/>
      <c r="IU65" s="229"/>
      <c r="IV65" s="229"/>
      <c r="IW65" s="229"/>
      <c r="IX65" s="229"/>
      <c r="IY65" s="229"/>
      <c r="IZ65" s="229"/>
      <c r="JA65" s="229"/>
      <c r="JB65" s="229"/>
      <c r="JC65" s="229"/>
      <c r="JD65" s="949"/>
      <c r="JE65" s="229">
        <f>(IL65*IM65*IN65)+(IO65*IP65*IQ65)+(IR65*IS65*IT65)+(IU65*IV65*IW65)+(IX65*IY65*IZ65)+(JA65*JB65*JC65)</f>
        <v>0</v>
      </c>
      <c r="JF65" s="826"/>
    </row>
    <row r="66" spans="27:268" ht="15">
      <c r="AA66" s="840">
        <v>45710</v>
      </c>
      <c r="AB66" s="859"/>
      <c r="AC66" s="859"/>
      <c r="AD66" s="859"/>
      <c r="AE66" s="860"/>
      <c r="AF66" s="860"/>
      <c r="AG66" s="860"/>
      <c r="AH66" s="843"/>
      <c r="AI66" s="843"/>
      <c r="AJ66" s="843"/>
      <c r="AK66" s="834"/>
      <c r="AL66" s="835"/>
      <c r="AM66" s="836"/>
      <c r="AN66" s="844"/>
      <c r="AO66" s="844"/>
      <c r="AP66" s="844"/>
      <c r="AQ66" s="823">
        <f t="shared" ref="AQ66" si="254">COUNTA(AB66:AP66)</f>
        <v>0</v>
      </c>
      <c r="AR66" s="824">
        <f>AR63</f>
        <v>93.5</v>
      </c>
      <c r="AT66" s="840">
        <v>45738</v>
      </c>
      <c r="AU66" s="849" t="s">
        <v>70</v>
      </c>
      <c r="AV66" s="849"/>
      <c r="AW66" s="849"/>
      <c r="AX66" s="860"/>
      <c r="AY66" s="860"/>
      <c r="AZ66" s="860"/>
      <c r="BA66" s="843"/>
      <c r="BB66" s="843"/>
      <c r="BC66" s="843"/>
      <c r="BD66" s="834"/>
      <c r="BE66" s="835"/>
      <c r="BF66" s="836"/>
      <c r="BG66" s="844"/>
      <c r="BH66" s="844"/>
      <c r="BI66" s="844"/>
      <c r="BJ66" s="823">
        <f t="shared" ref="BJ66" si="255">COUNTA(AU66:BI66)</f>
        <v>1</v>
      </c>
      <c r="BK66" s="824">
        <v>88.3</v>
      </c>
      <c r="BL66" s="118"/>
      <c r="BM66" s="856">
        <v>45769</v>
      </c>
      <c r="BN66" s="849" t="s">
        <v>70</v>
      </c>
      <c r="BO66" s="849"/>
      <c r="BP66" s="849"/>
      <c r="BQ66" s="859"/>
      <c r="BR66" s="859"/>
      <c r="BS66" s="859"/>
      <c r="BT66" s="844"/>
      <c r="BU66" s="844"/>
      <c r="BV66" s="844"/>
      <c r="BW66" s="844"/>
      <c r="BX66" s="844"/>
      <c r="BY66" s="844"/>
      <c r="BZ66" s="844"/>
      <c r="CA66" s="844"/>
      <c r="CB66" s="844"/>
      <c r="CC66" s="823">
        <f t="shared" ref="CC66" si="256">COUNTA(BN66:CB66)</f>
        <v>1</v>
      </c>
      <c r="CD66" s="824">
        <v>85.2</v>
      </c>
      <c r="CF66" s="873">
        <v>45799</v>
      </c>
      <c r="CG66" s="849" t="s">
        <v>70</v>
      </c>
      <c r="CH66" s="849"/>
      <c r="CI66" s="849"/>
      <c r="CJ66" s="849" t="s">
        <v>122</v>
      </c>
      <c r="CK66" s="849"/>
      <c r="CL66" s="849"/>
      <c r="CM66" s="844"/>
      <c r="CN66" s="844"/>
      <c r="CO66" s="844"/>
      <c r="CP66" s="844"/>
      <c r="CQ66" s="844"/>
      <c r="CR66" s="844"/>
      <c r="CS66" s="844"/>
      <c r="CT66" s="844"/>
      <c r="CU66" s="844"/>
      <c r="CV66" s="823">
        <f t="shared" ref="CV66" si="257">COUNTA(CG66:CU66)</f>
        <v>2</v>
      </c>
      <c r="CW66" s="824">
        <v>83.8</v>
      </c>
      <c r="CX66" s="118"/>
      <c r="CY66" s="864">
        <v>45830</v>
      </c>
      <c r="CZ66" s="849" t="s">
        <v>119</v>
      </c>
      <c r="DA66" s="849"/>
      <c r="DB66" s="849"/>
      <c r="DC66" s="849" t="s">
        <v>102</v>
      </c>
      <c r="DD66" s="849"/>
      <c r="DE66" s="849"/>
      <c r="DF66" s="890" t="s">
        <v>93</v>
      </c>
      <c r="DG66" s="890"/>
      <c r="DH66" s="890"/>
      <c r="DI66" s="849" t="s">
        <v>113</v>
      </c>
      <c r="DJ66" s="849"/>
      <c r="DK66" s="849"/>
      <c r="DL66" s="844"/>
      <c r="DM66" s="844"/>
      <c r="DN66" s="844"/>
      <c r="DO66" s="823">
        <f t="shared" ref="DO66" si="258">COUNTA(CZ66:DN66)</f>
        <v>4</v>
      </c>
      <c r="DP66" s="824">
        <v>82.1</v>
      </c>
      <c r="DR66" s="856">
        <v>45860</v>
      </c>
      <c r="DS66" s="859"/>
      <c r="DT66" s="859"/>
      <c r="DU66" s="859"/>
      <c r="DV66" s="859"/>
      <c r="DW66" s="859"/>
      <c r="DX66" s="859"/>
      <c r="DY66" s="844"/>
      <c r="DZ66" s="844"/>
      <c r="EA66" s="844"/>
      <c r="EB66" s="844"/>
      <c r="EC66" s="844"/>
      <c r="ED66" s="844"/>
      <c r="EE66" s="844"/>
      <c r="EF66" s="844"/>
      <c r="EG66" s="844"/>
      <c r="EH66" s="823">
        <f t="shared" ref="EH66" si="259">COUNTA(DS66:EG66)</f>
        <v>0</v>
      </c>
      <c r="EI66" s="824">
        <f>EI63</f>
        <v>80.099999999999994</v>
      </c>
      <c r="EK66" s="876">
        <v>45891</v>
      </c>
      <c r="EL66" s="859"/>
      <c r="EM66" s="859"/>
      <c r="EN66" s="859"/>
      <c r="EO66" s="859"/>
      <c r="EP66" s="859"/>
      <c r="EQ66" s="859"/>
      <c r="ER66" s="844"/>
      <c r="ES66" s="844"/>
      <c r="ET66" s="844"/>
      <c r="EU66" s="844"/>
      <c r="EV66" s="844"/>
      <c r="EW66" s="844"/>
      <c r="EX66" s="844"/>
      <c r="EY66" s="844"/>
      <c r="EZ66" s="844"/>
      <c r="FA66" s="823">
        <f t="shared" ref="FA66" si="260">COUNTA(EL66:EZ66)</f>
        <v>0</v>
      </c>
      <c r="FB66" s="824">
        <f>FB63</f>
        <v>80.3</v>
      </c>
      <c r="FD66" s="870">
        <v>45922</v>
      </c>
      <c r="FE66" s="890" t="s">
        <v>84</v>
      </c>
      <c r="FF66" s="890"/>
      <c r="FG66" s="890"/>
      <c r="FH66" s="849" t="s">
        <v>72</v>
      </c>
      <c r="FI66" s="849"/>
      <c r="FJ66" s="849"/>
      <c r="FK66" s="890" t="s">
        <v>145</v>
      </c>
      <c r="FL66" s="890"/>
      <c r="FM66" s="890"/>
      <c r="FN66" s="834"/>
      <c r="FO66" s="835"/>
      <c r="FP66" s="836"/>
      <c r="FQ66" s="843"/>
      <c r="FR66" s="843"/>
      <c r="FS66" s="843"/>
      <c r="FT66" s="823">
        <f t="shared" ref="FT66" si="261">COUNTA(FE66:FS66)</f>
        <v>3</v>
      </c>
      <c r="FU66" s="824">
        <v>78.7</v>
      </c>
      <c r="FW66" s="845">
        <v>45952</v>
      </c>
      <c r="FX66" s="879" t="s">
        <v>78</v>
      </c>
      <c r="FY66" s="880"/>
      <c r="FZ66" s="881"/>
      <c r="GA66" s="890" t="s">
        <v>150</v>
      </c>
      <c r="GB66" s="890"/>
      <c r="GC66" s="890"/>
      <c r="GD66" s="834"/>
      <c r="GE66" s="835"/>
      <c r="GF66" s="836"/>
      <c r="GG66" s="844"/>
      <c r="GH66" s="844"/>
      <c r="GI66" s="844"/>
      <c r="GJ66" s="844"/>
      <c r="GK66" s="844"/>
      <c r="GL66" s="844"/>
      <c r="GM66" s="844"/>
      <c r="GN66" s="844"/>
      <c r="GO66" s="844"/>
      <c r="GP66" s="823">
        <f>COUNTA(FX66:GO66)</f>
        <v>2</v>
      </c>
      <c r="GQ66" s="824">
        <v>78.900000000000006</v>
      </c>
      <c r="GR66" s="118"/>
      <c r="GS66" s="840">
        <v>45983</v>
      </c>
      <c r="GT66" s="879" t="s">
        <v>78</v>
      </c>
      <c r="GU66" s="880"/>
      <c r="GV66" s="881"/>
      <c r="GW66" s="882" t="s">
        <v>85</v>
      </c>
      <c r="GX66" s="883"/>
      <c r="GY66" s="884"/>
      <c r="GZ66" s="849" t="s">
        <v>72</v>
      </c>
      <c r="HA66" s="849"/>
      <c r="HB66" s="849"/>
      <c r="HC66" s="882" t="s">
        <v>123</v>
      </c>
      <c r="HD66" s="883"/>
      <c r="HE66" s="884"/>
      <c r="HF66" s="882" t="s">
        <v>147</v>
      </c>
      <c r="HG66" s="883"/>
      <c r="HH66" s="884"/>
      <c r="HI66" s="834"/>
      <c r="HJ66" s="835"/>
      <c r="HK66" s="836"/>
      <c r="HL66" s="823">
        <f>COUNTA(GT66:HK66)</f>
        <v>5</v>
      </c>
      <c r="HM66" s="824">
        <v>77.7</v>
      </c>
      <c r="HN66" s="118"/>
      <c r="HO66" s="870">
        <v>46013</v>
      </c>
      <c r="HP66" s="879" t="s">
        <v>78</v>
      </c>
      <c r="HQ66" s="880"/>
      <c r="HR66" s="881"/>
      <c r="HS66" s="882" t="s">
        <v>85</v>
      </c>
      <c r="HT66" s="883"/>
      <c r="HU66" s="884"/>
      <c r="HV66" s="882" t="s">
        <v>123</v>
      </c>
      <c r="HW66" s="883"/>
      <c r="HX66" s="884"/>
      <c r="HY66" s="844"/>
      <c r="HZ66" s="844"/>
      <c r="IA66" s="844"/>
      <c r="IB66" s="844"/>
      <c r="IC66" s="844"/>
      <c r="ID66" s="844"/>
      <c r="IE66" s="834"/>
      <c r="IF66" s="835"/>
      <c r="IG66" s="836"/>
      <c r="IH66" s="823">
        <f>COUNTA(HP66:IG66)</f>
        <v>3</v>
      </c>
      <c r="II66" s="824">
        <v>77.8</v>
      </c>
      <c r="IK66" s="873">
        <v>46044</v>
      </c>
      <c r="IL66" s="848"/>
      <c r="IM66" s="848"/>
      <c r="IN66" s="848"/>
      <c r="IO66" s="848"/>
      <c r="IP66" s="848"/>
      <c r="IQ66" s="848"/>
      <c r="IR66" s="848"/>
      <c r="IS66" s="848"/>
      <c r="IT66" s="848"/>
      <c r="IU66" s="848"/>
      <c r="IV66" s="848"/>
      <c r="IW66" s="848"/>
      <c r="IX66" s="882"/>
      <c r="IY66" s="883"/>
      <c r="IZ66" s="884"/>
      <c r="JA66" s="882"/>
      <c r="JB66" s="883"/>
      <c r="JC66" s="884"/>
      <c r="JD66" s="232" t="s">
        <v>425</v>
      </c>
      <c r="JE66" s="823">
        <f>COUNTA(IL66:JC66)</f>
        <v>0</v>
      </c>
      <c r="JF66" s="824"/>
    </row>
    <row r="67" spans="27:268" ht="15">
      <c r="AA67" s="841"/>
      <c r="AB67" s="107" t="s">
        <v>59</v>
      </c>
      <c r="AC67" s="107" t="s">
        <v>73</v>
      </c>
      <c r="AD67" s="108" t="s">
        <v>4</v>
      </c>
      <c r="AE67" s="107" t="s">
        <v>59</v>
      </c>
      <c r="AF67" s="107" t="s">
        <v>73</v>
      </c>
      <c r="AG67" s="108" t="s">
        <v>4</v>
      </c>
      <c r="AH67" s="107" t="s">
        <v>59</v>
      </c>
      <c r="AI67" s="107" t="s">
        <v>73</v>
      </c>
      <c r="AJ67" s="108" t="s">
        <v>4</v>
      </c>
      <c r="AK67" s="107" t="s">
        <v>59</v>
      </c>
      <c r="AL67" s="107" t="s">
        <v>73</v>
      </c>
      <c r="AM67" s="108" t="s">
        <v>4</v>
      </c>
      <c r="AN67" s="107" t="s">
        <v>59</v>
      </c>
      <c r="AO67" s="107" t="s">
        <v>73</v>
      </c>
      <c r="AP67" s="108" t="s">
        <v>4</v>
      </c>
      <c r="AQ67" s="823"/>
      <c r="AR67" s="825"/>
      <c r="AT67" s="841"/>
      <c r="AU67" s="231" t="s">
        <v>59</v>
      </c>
      <c r="AV67" s="231" t="s">
        <v>73</v>
      </c>
      <c r="AW67" s="102" t="s">
        <v>4</v>
      </c>
      <c r="AX67" s="107" t="s">
        <v>59</v>
      </c>
      <c r="AY67" s="107" t="s">
        <v>73</v>
      </c>
      <c r="AZ67" s="108" t="s">
        <v>4</v>
      </c>
      <c r="BA67" s="107" t="s">
        <v>59</v>
      </c>
      <c r="BB67" s="107" t="s">
        <v>73</v>
      </c>
      <c r="BC67" s="108" t="s">
        <v>4</v>
      </c>
      <c r="BD67" s="107" t="s">
        <v>59</v>
      </c>
      <c r="BE67" s="107" t="s">
        <v>73</v>
      </c>
      <c r="BF67" s="108" t="s">
        <v>4</v>
      </c>
      <c r="BG67" s="107" t="s">
        <v>59</v>
      </c>
      <c r="BH67" s="107" t="s">
        <v>73</v>
      </c>
      <c r="BI67" s="108" t="s">
        <v>4</v>
      </c>
      <c r="BJ67" s="823"/>
      <c r="BK67" s="825"/>
      <c r="BL67" s="118"/>
      <c r="BM67" s="857"/>
      <c r="BN67" s="231" t="s">
        <v>59</v>
      </c>
      <c r="BO67" s="231" t="s">
        <v>73</v>
      </c>
      <c r="BP67" s="102" t="s">
        <v>4</v>
      </c>
      <c r="BQ67" s="107" t="s">
        <v>59</v>
      </c>
      <c r="BR67" s="107" t="s">
        <v>73</v>
      </c>
      <c r="BS67" s="108" t="s">
        <v>4</v>
      </c>
      <c r="BT67" s="107" t="s">
        <v>59</v>
      </c>
      <c r="BU67" s="107" t="s">
        <v>73</v>
      </c>
      <c r="BV67" s="108" t="s">
        <v>4</v>
      </c>
      <c r="BW67" s="107" t="s">
        <v>59</v>
      </c>
      <c r="BX67" s="107" t="s">
        <v>73</v>
      </c>
      <c r="BY67" s="108" t="s">
        <v>4</v>
      </c>
      <c r="BZ67" s="107" t="s">
        <v>59</v>
      </c>
      <c r="CA67" s="107" t="s">
        <v>73</v>
      </c>
      <c r="CB67" s="108" t="s">
        <v>4</v>
      </c>
      <c r="CC67" s="823"/>
      <c r="CD67" s="825"/>
      <c r="CF67" s="874"/>
      <c r="CG67" s="231" t="s">
        <v>59</v>
      </c>
      <c r="CH67" s="231" t="s">
        <v>73</v>
      </c>
      <c r="CI67" s="102" t="s">
        <v>4</v>
      </c>
      <c r="CJ67" s="231" t="s">
        <v>59</v>
      </c>
      <c r="CK67" s="231" t="s">
        <v>73</v>
      </c>
      <c r="CL67" s="102" t="s">
        <v>4</v>
      </c>
      <c r="CM67" s="107" t="s">
        <v>59</v>
      </c>
      <c r="CN67" s="107" t="s">
        <v>73</v>
      </c>
      <c r="CO67" s="108" t="s">
        <v>4</v>
      </c>
      <c r="CP67" s="107" t="s">
        <v>59</v>
      </c>
      <c r="CQ67" s="107" t="s">
        <v>73</v>
      </c>
      <c r="CR67" s="108" t="s">
        <v>4</v>
      </c>
      <c r="CS67" s="107" t="s">
        <v>59</v>
      </c>
      <c r="CT67" s="107" t="s">
        <v>73</v>
      </c>
      <c r="CU67" s="108" t="s">
        <v>4</v>
      </c>
      <c r="CV67" s="823"/>
      <c r="CW67" s="825"/>
      <c r="CX67" s="118"/>
      <c r="CY67" s="865"/>
      <c r="CZ67" s="231" t="s">
        <v>59</v>
      </c>
      <c r="DA67" s="231" t="s">
        <v>73</v>
      </c>
      <c r="DB67" s="102" t="s">
        <v>4</v>
      </c>
      <c r="DC67" s="231" t="s">
        <v>59</v>
      </c>
      <c r="DD67" s="231" t="s">
        <v>73</v>
      </c>
      <c r="DE67" s="102" t="s">
        <v>4</v>
      </c>
      <c r="DF67" s="231" t="s">
        <v>59</v>
      </c>
      <c r="DG67" s="231" t="s">
        <v>73</v>
      </c>
      <c r="DH67" s="102" t="s">
        <v>4</v>
      </c>
      <c r="DI67" s="231" t="s">
        <v>59</v>
      </c>
      <c r="DJ67" s="231" t="s">
        <v>73</v>
      </c>
      <c r="DK67" s="102" t="s">
        <v>4</v>
      </c>
      <c r="DL67" s="107" t="s">
        <v>59</v>
      </c>
      <c r="DM67" s="107" t="s">
        <v>73</v>
      </c>
      <c r="DN67" s="108" t="s">
        <v>4</v>
      </c>
      <c r="DO67" s="823"/>
      <c r="DP67" s="825"/>
      <c r="DR67" s="857"/>
      <c r="DS67" s="107" t="s">
        <v>59</v>
      </c>
      <c r="DT67" s="107" t="s">
        <v>73</v>
      </c>
      <c r="DU67" s="108" t="s">
        <v>4</v>
      </c>
      <c r="DV67" s="107" t="s">
        <v>59</v>
      </c>
      <c r="DW67" s="107" t="s">
        <v>73</v>
      </c>
      <c r="DX67" s="108" t="s">
        <v>4</v>
      </c>
      <c r="DY67" s="107" t="s">
        <v>59</v>
      </c>
      <c r="DZ67" s="107" t="s">
        <v>73</v>
      </c>
      <c r="EA67" s="108" t="s">
        <v>4</v>
      </c>
      <c r="EB67" s="107" t="s">
        <v>59</v>
      </c>
      <c r="EC67" s="107" t="s">
        <v>73</v>
      </c>
      <c r="ED67" s="108" t="s">
        <v>4</v>
      </c>
      <c r="EE67" s="107" t="s">
        <v>59</v>
      </c>
      <c r="EF67" s="107" t="s">
        <v>73</v>
      </c>
      <c r="EG67" s="108" t="s">
        <v>4</v>
      </c>
      <c r="EH67" s="823"/>
      <c r="EI67" s="825"/>
      <c r="EK67" s="877"/>
      <c r="EL67" s="107" t="s">
        <v>59</v>
      </c>
      <c r="EM67" s="107" t="s">
        <v>73</v>
      </c>
      <c r="EN67" s="108" t="s">
        <v>4</v>
      </c>
      <c r="EO67" s="107" t="s">
        <v>59</v>
      </c>
      <c r="EP67" s="107" t="s">
        <v>73</v>
      </c>
      <c r="EQ67" s="108" t="s">
        <v>4</v>
      </c>
      <c r="ER67" s="107" t="s">
        <v>59</v>
      </c>
      <c r="ES67" s="107" t="s">
        <v>73</v>
      </c>
      <c r="ET67" s="108" t="s">
        <v>4</v>
      </c>
      <c r="EU67" s="107" t="s">
        <v>59</v>
      </c>
      <c r="EV67" s="107" t="s">
        <v>73</v>
      </c>
      <c r="EW67" s="108" t="s">
        <v>4</v>
      </c>
      <c r="EX67" s="107" t="s">
        <v>59</v>
      </c>
      <c r="EY67" s="107" t="s">
        <v>73</v>
      </c>
      <c r="EZ67" s="108" t="s">
        <v>4</v>
      </c>
      <c r="FA67" s="823"/>
      <c r="FB67" s="825"/>
      <c r="FD67" s="871"/>
      <c r="FE67" s="231" t="s">
        <v>59</v>
      </c>
      <c r="FF67" s="231" t="s">
        <v>73</v>
      </c>
      <c r="FG67" s="102" t="s">
        <v>4</v>
      </c>
      <c r="FH67" s="231" t="s">
        <v>59</v>
      </c>
      <c r="FI67" s="231" t="s">
        <v>73</v>
      </c>
      <c r="FJ67" s="102" t="s">
        <v>4</v>
      </c>
      <c r="FK67" s="231" t="s">
        <v>59</v>
      </c>
      <c r="FL67" s="231" t="s">
        <v>73</v>
      </c>
      <c r="FM67" s="102" t="s">
        <v>4</v>
      </c>
      <c r="FN67" s="107" t="s">
        <v>59</v>
      </c>
      <c r="FO67" s="107" t="s">
        <v>73</v>
      </c>
      <c r="FP67" s="108" t="s">
        <v>4</v>
      </c>
      <c r="FQ67" s="107" t="s">
        <v>59</v>
      </c>
      <c r="FR67" s="107" t="s">
        <v>73</v>
      </c>
      <c r="FS67" s="108" t="s">
        <v>4</v>
      </c>
      <c r="FT67" s="823"/>
      <c r="FU67" s="825"/>
      <c r="FW67" s="846"/>
      <c r="FX67" s="231" t="s">
        <v>59</v>
      </c>
      <c r="FY67" s="231" t="s">
        <v>73</v>
      </c>
      <c r="FZ67" s="102" t="s">
        <v>4</v>
      </c>
      <c r="GA67" s="231" t="s">
        <v>59</v>
      </c>
      <c r="GB67" s="231" t="s">
        <v>73</v>
      </c>
      <c r="GC67" s="102" t="s">
        <v>4</v>
      </c>
      <c r="GD67" s="107" t="s">
        <v>59</v>
      </c>
      <c r="GE67" s="107" t="s">
        <v>73</v>
      </c>
      <c r="GF67" s="108" t="s">
        <v>4</v>
      </c>
      <c r="GG67" s="107" t="s">
        <v>59</v>
      </c>
      <c r="GH67" s="107" t="s">
        <v>73</v>
      </c>
      <c r="GI67" s="108" t="s">
        <v>4</v>
      </c>
      <c r="GJ67" s="107" t="s">
        <v>59</v>
      </c>
      <c r="GK67" s="107" t="s">
        <v>73</v>
      </c>
      <c r="GL67" s="108" t="s">
        <v>4</v>
      </c>
      <c r="GM67" s="107" t="s">
        <v>59</v>
      </c>
      <c r="GN67" s="107" t="s">
        <v>73</v>
      </c>
      <c r="GO67" s="108" t="s">
        <v>4</v>
      </c>
      <c r="GP67" s="823"/>
      <c r="GQ67" s="825"/>
      <c r="GR67" s="118"/>
      <c r="GS67" s="841"/>
      <c r="GT67" s="231" t="s">
        <v>59</v>
      </c>
      <c r="GU67" s="231" t="s">
        <v>73</v>
      </c>
      <c r="GV67" s="102" t="s">
        <v>4</v>
      </c>
      <c r="GW67" s="231" t="s">
        <v>59</v>
      </c>
      <c r="GX67" s="231" t="s">
        <v>73</v>
      </c>
      <c r="GY67" s="102" t="s">
        <v>4</v>
      </c>
      <c r="GZ67" s="231" t="s">
        <v>59</v>
      </c>
      <c r="HA67" s="231" t="s">
        <v>73</v>
      </c>
      <c r="HB67" s="102" t="s">
        <v>4</v>
      </c>
      <c r="HC67" s="231" t="s">
        <v>59</v>
      </c>
      <c r="HD67" s="231" t="s">
        <v>73</v>
      </c>
      <c r="HE67" s="102" t="s">
        <v>4</v>
      </c>
      <c r="HF67" s="231" t="s">
        <v>59</v>
      </c>
      <c r="HG67" s="231" t="s">
        <v>73</v>
      </c>
      <c r="HH67" s="102" t="s">
        <v>4</v>
      </c>
      <c r="HI67" s="107" t="s">
        <v>59</v>
      </c>
      <c r="HJ67" s="107" t="s">
        <v>73</v>
      </c>
      <c r="HK67" s="108" t="s">
        <v>4</v>
      </c>
      <c r="HL67" s="823"/>
      <c r="HM67" s="825"/>
      <c r="HN67" s="118"/>
      <c r="HO67" s="871"/>
      <c r="HP67" s="231" t="s">
        <v>59</v>
      </c>
      <c r="HQ67" s="231" t="s">
        <v>73</v>
      </c>
      <c r="HR67" s="102" t="s">
        <v>4</v>
      </c>
      <c r="HS67" s="231" t="s">
        <v>59</v>
      </c>
      <c r="HT67" s="231" t="s">
        <v>73</v>
      </c>
      <c r="HU67" s="102" t="s">
        <v>4</v>
      </c>
      <c r="HV67" s="231" t="s">
        <v>59</v>
      </c>
      <c r="HW67" s="231" t="s">
        <v>73</v>
      </c>
      <c r="HX67" s="102" t="s">
        <v>4</v>
      </c>
      <c r="HY67" s="107" t="s">
        <v>59</v>
      </c>
      <c r="HZ67" s="107" t="s">
        <v>73</v>
      </c>
      <c r="IA67" s="108" t="s">
        <v>4</v>
      </c>
      <c r="IB67" s="107" t="s">
        <v>59</v>
      </c>
      <c r="IC67" s="107" t="s">
        <v>73</v>
      </c>
      <c r="ID67" s="108" t="s">
        <v>4</v>
      </c>
      <c r="IE67" s="107" t="s">
        <v>59</v>
      </c>
      <c r="IF67" s="107" t="s">
        <v>73</v>
      </c>
      <c r="IG67" s="108" t="s">
        <v>4</v>
      </c>
      <c r="IH67" s="823"/>
      <c r="II67" s="825"/>
      <c r="IK67" s="874"/>
      <c r="IL67" s="231" t="s">
        <v>59</v>
      </c>
      <c r="IM67" s="231" t="s">
        <v>73</v>
      </c>
      <c r="IN67" s="102" t="s">
        <v>4</v>
      </c>
      <c r="IO67" s="231" t="s">
        <v>59</v>
      </c>
      <c r="IP67" s="231" t="s">
        <v>73</v>
      </c>
      <c r="IQ67" s="102" t="s">
        <v>4</v>
      </c>
      <c r="IR67" s="231" t="s">
        <v>59</v>
      </c>
      <c r="IS67" s="231" t="s">
        <v>73</v>
      </c>
      <c r="IT67" s="102" t="s">
        <v>4</v>
      </c>
      <c r="IU67" s="231" t="s">
        <v>59</v>
      </c>
      <c r="IV67" s="231" t="s">
        <v>73</v>
      </c>
      <c r="IW67" s="102" t="s">
        <v>4</v>
      </c>
      <c r="IX67" s="231" t="s">
        <v>59</v>
      </c>
      <c r="IY67" s="231" t="s">
        <v>73</v>
      </c>
      <c r="IZ67" s="102" t="s">
        <v>4</v>
      </c>
      <c r="JA67" s="231" t="s">
        <v>59</v>
      </c>
      <c r="JB67" s="231" t="s">
        <v>73</v>
      </c>
      <c r="JC67" s="102" t="s">
        <v>4</v>
      </c>
      <c r="JD67" s="948"/>
      <c r="JE67" s="823"/>
      <c r="JF67" s="825"/>
    </row>
    <row r="68" spans="27:268" ht="15">
      <c r="AA68" s="842"/>
      <c r="AB68" s="233"/>
      <c r="AC68" s="233"/>
      <c r="AD68" s="233"/>
      <c r="AE68" s="233"/>
      <c r="AF68" s="233"/>
      <c r="AG68" s="233"/>
      <c r="AH68" s="233"/>
      <c r="AI68" s="233"/>
      <c r="AJ68" s="233"/>
      <c r="AK68" s="233"/>
      <c r="AL68" s="233"/>
      <c r="AM68" s="233"/>
      <c r="AN68" s="233"/>
      <c r="AO68" s="233"/>
      <c r="AP68" s="233"/>
      <c r="AQ68" s="229">
        <f t="shared" ref="AQ68" si="262">(AB68*AC68*AD68)+(AE68*AF68*AG68)+(AH68*AI68*AJ68)+(AK68*AL68*AM68)+(AN68*AO68*AP68)</f>
        <v>0</v>
      </c>
      <c r="AR68" s="826"/>
      <c r="AT68" s="842"/>
      <c r="AU68" s="229">
        <v>1</v>
      </c>
      <c r="AV68" s="229">
        <v>30</v>
      </c>
      <c r="AW68" s="229">
        <f>BK66</f>
        <v>88.3</v>
      </c>
      <c r="AX68" s="233"/>
      <c r="AY68" s="233"/>
      <c r="AZ68" s="233"/>
      <c r="BA68" s="233"/>
      <c r="BB68" s="233"/>
      <c r="BC68" s="233"/>
      <c r="BD68" s="233"/>
      <c r="BE68" s="233"/>
      <c r="BF68" s="233"/>
      <c r="BG68" s="233"/>
      <c r="BH68" s="233"/>
      <c r="BI68" s="233"/>
      <c r="BJ68" s="229">
        <f t="shared" ref="BJ68" si="263">(AU68*AV68*AW68)+(AX68*AY68*AZ68)+(BA68*BB68*BC68)+(BD68*BE68*BF68)+(BG68*BH68*BI68)</f>
        <v>2649</v>
      </c>
      <c r="BK68" s="826"/>
      <c r="BL68" s="118"/>
      <c r="BM68" s="858"/>
      <c r="BN68" s="229">
        <v>1</v>
      </c>
      <c r="BO68" s="229">
        <v>20</v>
      </c>
      <c r="BP68" s="229">
        <f>CD66</f>
        <v>85.2</v>
      </c>
      <c r="BQ68" s="233"/>
      <c r="BR68" s="233"/>
      <c r="BS68" s="233"/>
      <c r="BT68" s="233"/>
      <c r="BU68" s="233"/>
      <c r="BV68" s="233"/>
      <c r="BW68" s="233"/>
      <c r="BX68" s="233"/>
      <c r="BY68" s="233"/>
      <c r="BZ68" s="233"/>
      <c r="CA68" s="233"/>
      <c r="CB68" s="233"/>
      <c r="CC68" s="229">
        <f t="shared" ref="CC68" si="264">(BN68*BO68*BP68)+(BQ68*BR68*BS68)+(BT68*BU68*BV68)+(BW68*BX68*BY68)+(BZ68*CA68*CB68)</f>
        <v>1704</v>
      </c>
      <c r="CD68" s="826"/>
      <c r="CF68" s="875"/>
      <c r="CG68" s="229">
        <v>1</v>
      </c>
      <c r="CH68" s="229">
        <v>30</v>
      </c>
      <c r="CI68" s="229">
        <f>CW66+10</f>
        <v>93.8</v>
      </c>
      <c r="CJ68" s="229">
        <v>1</v>
      </c>
      <c r="CK68" s="229">
        <v>40</v>
      </c>
      <c r="CL68" s="229">
        <f>$CW66</f>
        <v>83.8</v>
      </c>
      <c r="CM68" s="233"/>
      <c r="CN68" s="233"/>
      <c r="CO68" s="233"/>
      <c r="CP68" s="233"/>
      <c r="CQ68" s="233"/>
      <c r="CR68" s="233"/>
      <c r="CS68" s="233"/>
      <c r="CT68" s="233"/>
      <c r="CU68" s="233"/>
      <c r="CV68" s="229">
        <f t="shared" ref="CV68" si="265">(CG68*CH68*CI68)+(CJ68*CK68*CL68)+(CM68*CN68*CO68)+(CP68*CQ68*CR68)+(CS68*CT68*CU68)</f>
        <v>6166</v>
      </c>
      <c r="CW68" s="826"/>
      <c r="CX68" s="118"/>
      <c r="CY68" s="866"/>
      <c r="CZ68" s="229">
        <v>3</v>
      </c>
      <c r="DA68" s="126">
        <v>10</v>
      </c>
      <c r="DB68" s="229">
        <v>22.5</v>
      </c>
      <c r="DC68" s="229">
        <v>3</v>
      </c>
      <c r="DD68" s="126">
        <v>10</v>
      </c>
      <c r="DE68" s="126">
        <v>11.3</v>
      </c>
      <c r="DF68" s="229">
        <v>3</v>
      </c>
      <c r="DG68" s="126">
        <v>10</v>
      </c>
      <c r="DH68" s="126">
        <v>20</v>
      </c>
      <c r="DI68" s="229">
        <v>3</v>
      </c>
      <c r="DJ68" s="126">
        <v>10</v>
      </c>
      <c r="DK68" s="126">
        <v>7.5</v>
      </c>
      <c r="DL68" s="233"/>
      <c r="DM68" s="233"/>
      <c r="DN68" s="233"/>
      <c r="DO68" s="229">
        <f t="shared" ref="DO68" si="266">(CZ68*DA68*DB68)+(DC68*DD68*DE68)+(DF68*DG68*DH68)+(DI68*DJ68*DK68)+(DL68*DM68*DN68)</f>
        <v>1839</v>
      </c>
      <c r="DP68" s="826"/>
      <c r="DR68" s="858"/>
      <c r="DS68" s="233"/>
      <c r="DT68" s="233"/>
      <c r="DU68" s="233"/>
      <c r="DV68" s="233"/>
      <c r="DW68" s="233"/>
      <c r="DX68" s="233"/>
      <c r="DY68" s="233"/>
      <c r="DZ68" s="233"/>
      <c r="EA68" s="233"/>
      <c r="EB68" s="233"/>
      <c r="EC68" s="233"/>
      <c r="ED68" s="233"/>
      <c r="EE68" s="233"/>
      <c r="EF68" s="233"/>
      <c r="EG68" s="233"/>
      <c r="EH68" s="229">
        <f t="shared" ref="EH68" si="267">(DS68*DT68*DU68)+(DV68*DW68*DX68)+(DY68*DZ68*EA68)+(EB68*EC68*ED68)+(EE68*EF68*EG68)</f>
        <v>0</v>
      </c>
      <c r="EI68" s="826"/>
      <c r="EK68" s="878"/>
      <c r="EL68" s="233"/>
      <c r="EM68" s="233"/>
      <c r="EN68" s="233"/>
      <c r="EO68" s="233"/>
      <c r="EP68" s="233"/>
      <c r="EQ68" s="233"/>
      <c r="ER68" s="233"/>
      <c r="ES68" s="233"/>
      <c r="ET68" s="233"/>
      <c r="EU68" s="233"/>
      <c r="EV68" s="233"/>
      <c r="EW68" s="233"/>
      <c r="EX68" s="233"/>
      <c r="EY68" s="233"/>
      <c r="EZ68" s="233"/>
      <c r="FA68" s="229">
        <f t="shared" ref="FA68" si="268">(EL68*EM68*EN68)+(EO68*EP68*EQ68)+(ER68*ES68*ET68)+(EU68*EV68*EW68)+(EX68*EY68*EZ68)</f>
        <v>0</v>
      </c>
      <c r="FB68" s="826"/>
      <c r="FD68" s="872"/>
      <c r="FE68" s="229">
        <v>3</v>
      </c>
      <c r="FF68" s="229">
        <v>8</v>
      </c>
      <c r="FG68" s="229">
        <v>15</v>
      </c>
      <c r="FH68" s="229">
        <v>3</v>
      </c>
      <c r="FI68" s="229">
        <f>((12*1)+(8*3))/4</f>
        <v>9</v>
      </c>
      <c r="FJ68" s="126">
        <f>((27*1)+(54*3))/4</f>
        <v>47.25</v>
      </c>
      <c r="FK68" s="229">
        <v>2</v>
      </c>
      <c r="FL68" s="229">
        <v>8</v>
      </c>
      <c r="FM68" s="229">
        <v>15</v>
      </c>
      <c r="FN68" s="233"/>
      <c r="FO68" s="233"/>
      <c r="FP68" s="233"/>
      <c r="FQ68" s="233"/>
      <c r="FR68" s="233"/>
      <c r="FS68" s="233"/>
      <c r="FT68" s="229">
        <f t="shared" ref="FT68" si="269">(FE68*FF68*FG68)+(FH68*FI68*FJ68)+(FK68*FL68*FM68)+(FN68*FO68*FP68)+(FQ68*FR68*FS68)</f>
        <v>1875.75</v>
      </c>
      <c r="FU68" s="826"/>
      <c r="FW68" s="847"/>
      <c r="FX68" s="229">
        <v>2</v>
      </c>
      <c r="FY68" s="229">
        <f>((12*1)+(8*2))/3</f>
        <v>9.3333333333333339</v>
      </c>
      <c r="FZ68" s="229">
        <f>((15*1)+(17.5*2))/3</f>
        <v>16.666666666666668</v>
      </c>
      <c r="GA68" s="229">
        <v>3</v>
      </c>
      <c r="GB68" s="229">
        <v>8</v>
      </c>
      <c r="GC68" s="229">
        <v>18.5</v>
      </c>
      <c r="GD68" s="233"/>
      <c r="GE68" s="233"/>
      <c r="GF68" s="233"/>
      <c r="GG68" s="233"/>
      <c r="GH68" s="233"/>
      <c r="GI68" s="233"/>
      <c r="GJ68" s="233"/>
      <c r="GK68" s="233"/>
      <c r="GL68" s="233"/>
      <c r="GM68" s="233"/>
      <c r="GN68" s="233"/>
      <c r="GO68" s="233"/>
      <c r="GP68" s="229">
        <f>(FX68*FY68*FZ68)+(GA68*GB68*GC68)+(GD68*GE68*GF68)+(GG68*GH68*GI68)+(GJ68*GK68*GL68)+(GM68*GN68*GO68)</f>
        <v>755.11111111111109</v>
      </c>
      <c r="GQ68" s="826"/>
      <c r="GR68" s="118"/>
      <c r="GS68" s="842"/>
      <c r="GT68" s="229">
        <v>4</v>
      </c>
      <c r="GU68" s="229">
        <v>8</v>
      </c>
      <c r="GV68" s="229">
        <f>((20*1)+(17.5*3))/4</f>
        <v>18.125</v>
      </c>
      <c r="GW68" s="229">
        <v>3</v>
      </c>
      <c r="GX68" s="229">
        <v>40</v>
      </c>
      <c r="GY68" s="229">
        <f>HM66*(1/3)</f>
        <v>25.9</v>
      </c>
      <c r="GZ68" s="229">
        <v>4</v>
      </c>
      <c r="HA68" s="229">
        <v>12</v>
      </c>
      <c r="HB68" s="229">
        <v>54</v>
      </c>
      <c r="HC68" s="229">
        <v>3</v>
      </c>
      <c r="HD68" s="126">
        <v>12</v>
      </c>
      <c r="HE68" s="229">
        <v>20.399999999999999</v>
      </c>
      <c r="HF68" s="229">
        <v>3</v>
      </c>
      <c r="HG68" s="229">
        <v>2</v>
      </c>
      <c r="HH68" s="229">
        <f>HM$48</f>
        <v>77.5</v>
      </c>
      <c r="HI68" s="233"/>
      <c r="HJ68" s="233"/>
      <c r="HK68" s="233"/>
      <c r="HL68" s="229">
        <f>(GT68*GU68*GV68)+(GW68*GX68*GY68)+(GZ68*HA68*HB68)+(HC68*HD68*HE68)+(HF68*HG68*HH68)+(HI68*HJ68*HK68)</f>
        <v>7479.4</v>
      </c>
      <c r="HM68" s="826"/>
      <c r="HN68" s="118"/>
      <c r="HO68" s="872"/>
      <c r="HP68" s="229">
        <v>3</v>
      </c>
      <c r="HQ68" s="229">
        <v>8</v>
      </c>
      <c r="HR68" s="229">
        <v>20</v>
      </c>
      <c r="HS68" s="229">
        <v>3</v>
      </c>
      <c r="HT68" s="229">
        <v>34</v>
      </c>
      <c r="HU68" s="229">
        <f>II66*(1.2/3)</f>
        <v>31.119999999999997</v>
      </c>
      <c r="HV68" s="229">
        <v>2</v>
      </c>
      <c r="HW68" s="229">
        <v>8</v>
      </c>
      <c r="HX68" s="229">
        <v>24.9</v>
      </c>
      <c r="HY68" s="233"/>
      <c r="HZ68" s="233"/>
      <c r="IA68" s="233"/>
      <c r="IB68" s="233"/>
      <c r="IC68" s="233"/>
      <c r="ID68" s="233"/>
      <c r="IE68" s="233"/>
      <c r="IF68" s="233"/>
      <c r="IG68" s="233"/>
      <c r="IH68" s="229">
        <f>(HP68*HQ68*HR68)+(HS68*HT68*HU68)+(HV68*HW68*HX68)+(HY68*HZ68*IA68)+(IB68*IC68*ID68)+(IE68*IF68*IG68)</f>
        <v>4052.64</v>
      </c>
      <c r="II68" s="826"/>
      <c r="IK68" s="875"/>
      <c r="IL68" s="229"/>
      <c r="IM68" s="229"/>
      <c r="IN68" s="229"/>
      <c r="IO68" s="229"/>
      <c r="IP68" s="229"/>
      <c r="IQ68" s="229"/>
      <c r="IR68" s="229"/>
      <c r="IS68" s="229"/>
      <c r="IT68" s="229"/>
      <c r="IU68" s="229"/>
      <c r="IV68" s="229"/>
      <c r="IW68" s="229"/>
      <c r="IX68" s="229"/>
      <c r="IY68" s="229"/>
      <c r="IZ68" s="229"/>
      <c r="JA68" s="229"/>
      <c r="JB68" s="229"/>
      <c r="JC68" s="229"/>
      <c r="JD68" s="949"/>
      <c r="JE68" s="229">
        <f>(IL68*IM68*IN68)+(IO68*IP68*IQ68)+(IR68*IS68*IT68)+(IU68*IV68*IW68)+(IX68*IY68*IZ68)+(JA68*JB68*JC68)</f>
        <v>0</v>
      </c>
      <c r="JF68" s="826"/>
    </row>
    <row r="69" spans="27:268" ht="15">
      <c r="AA69" s="864">
        <v>45711</v>
      </c>
      <c r="AB69" s="849" t="s">
        <v>72</v>
      </c>
      <c r="AC69" s="849"/>
      <c r="AD69" s="849"/>
      <c r="AE69" s="848" t="s">
        <v>77</v>
      </c>
      <c r="AF69" s="848"/>
      <c r="AG69" s="848"/>
      <c r="AH69" s="849" t="s">
        <v>119</v>
      </c>
      <c r="AI69" s="849"/>
      <c r="AJ69" s="849"/>
      <c r="AK69" s="882" t="s">
        <v>14</v>
      </c>
      <c r="AL69" s="883"/>
      <c r="AM69" s="884"/>
      <c r="AN69" s="890" t="s">
        <v>93</v>
      </c>
      <c r="AO69" s="890"/>
      <c r="AP69" s="890"/>
      <c r="AQ69" s="823">
        <f t="shared" ref="AQ69" si="270">COUNTA(AB69:AP69)</f>
        <v>5</v>
      </c>
      <c r="AR69" s="824">
        <v>91.9</v>
      </c>
      <c r="AT69" s="864">
        <v>45739</v>
      </c>
      <c r="AU69" s="849" t="s">
        <v>119</v>
      </c>
      <c r="AV69" s="849"/>
      <c r="AW69" s="849"/>
      <c r="AX69" s="849" t="s">
        <v>79</v>
      </c>
      <c r="AY69" s="849"/>
      <c r="AZ69" s="849"/>
      <c r="BA69" s="886" t="s">
        <v>82</v>
      </c>
      <c r="BB69" s="886"/>
      <c r="BC69" s="886"/>
      <c r="BD69" s="890" t="s">
        <v>93</v>
      </c>
      <c r="BE69" s="890"/>
      <c r="BF69" s="890"/>
      <c r="BG69" s="843"/>
      <c r="BH69" s="843"/>
      <c r="BI69" s="843"/>
      <c r="BJ69" s="823">
        <f t="shared" ref="BJ69" si="271">COUNTA(AU69:BI69)</f>
        <v>4</v>
      </c>
      <c r="BK69" s="824">
        <v>89.2</v>
      </c>
      <c r="BL69" s="118"/>
      <c r="BM69" s="845">
        <v>45770</v>
      </c>
      <c r="BN69" s="859"/>
      <c r="BO69" s="859"/>
      <c r="BP69" s="859"/>
      <c r="BQ69" s="859"/>
      <c r="BR69" s="859"/>
      <c r="BS69" s="859"/>
      <c r="BT69" s="844"/>
      <c r="BU69" s="844"/>
      <c r="BV69" s="844"/>
      <c r="BW69" s="844"/>
      <c r="BX69" s="844"/>
      <c r="BY69" s="844"/>
      <c r="BZ69" s="844"/>
      <c r="CA69" s="844"/>
      <c r="CB69" s="844"/>
      <c r="CC69" s="823">
        <f t="shared" ref="CC69" si="272">COUNTA(BN69:CB69)</f>
        <v>0</v>
      </c>
      <c r="CD69" s="824">
        <f>CD66</f>
        <v>85.2</v>
      </c>
      <c r="CF69" s="876">
        <v>45800</v>
      </c>
      <c r="CG69" s="849" t="s">
        <v>122</v>
      </c>
      <c r="CH69" s="849"/>
      <c r="CI69" s="849"/>
      <c r="CJ69" s="859"/>
      <c r="CK69" s="859"/>
      <c r="CL69" s="859"/>
      <c r="CM69" s="844"/>
      <c r="CN69" s="844"/>
      <c r="CO69" s="844"/>
      <c r="CP69" s="844"/>
      <c r="CQ69" s="844"/>
      <c r="CR69" s="844"/>
      <c r="CS69" s="844"/>
      <c r="CT69" s="844"/>
      <c r="CU69" s="844"/>
      <c r="CV69" s="823">
        <f t="shared" ref="CV69" si="273">COUNTA(CG69:CU69)</f>
        <v>1</v>
      </c>
      <c r="CW69" s="824">
        <f>CW66</f>
        <v>83.8</v>
      </c>
      <c r="CX69" s="118"/>
      <c r="CY69" s="870">
        <v>45831</v>
      </c>
      <c r="CZ69" s="849" t="s">
        <v>72</v>
      </c>
      <c r="DA69" s="849"/>
      <c r="DB69" s="849"/>
      <c r="DC69" s="848" t="s">
        <v>104</v>
      </c>
      <c r="DD69" s="848"/>
      <c r="DE69" s="848"/>
      <c r="DF69" s="882" t="s">
        <v>101</v>
      </c>
      <c r="DG69" s="883"/>
      <c r="DH69" s="884"/>
      <c r="DI69" s="882" t="s">
        <v>14</v>
      </c>
      <c r="DJ69" s="883"/>
      <c r="DK69" s="884"/>
      <c r="DL69" s="844"/>
      <c r="DM69" s="844"/>
      <c r="DN69" s="844"/>
      <c r="DO69" s="823">
        <f t="shared" ref="DO69" si="274">COUNTA(CZ69:DN69)</f>
        <v>4</v>
      </c>
      <c r="DP69" s="824">
        <v>81.8</v>
      </c>
      <c r="DR69" s="845">
        <v>45861</v>
      </c>
      <c r="DS69" s="859"/>
      <c r="DT69" s="859"/>
      <c r="DU69" s="859"/>
      <c r="DV69" s="859"/>
      <c r="DW69" s="859"/>
      <c r="DX69" s="859"/>
      <c r="DY69" s="844"/>
      <c r="DZ69" s="844"/>
      <c r="EA69" s="844"/>
      <c r="EB69" s="844"/>
      <c r="EC69" s="844"/>
      <c r="ED69" s="844"/>
      <c r="EE69" s="844"/>
      <c r="EF69" s="844"/>
      <c r="EG69" s="844"/>
      <c r="EH69" s="823">
        <f t="shared" ref="EH69" si="275">COUNTA(DS69:EG69)</f>
        <v>0</v>
      </c>
      <c r="EI69" s="824">
        <f>EI66</f>
        <v>80.099999999999994</v>
      </c>
      <c r="EK69" s="840">
        <v>45892</v>
      </c>
      <c r="EL69" s="848" t="s">
        <v>151</v>
      </c>
      <c r="EM69" s="848"/>
      <c r="EN69" s="848"/>
      <c r="EO69" s="848" t="s">
        <v>152</v>
      </c>
      <c r="EP69" s="848"/>
      <c r="EQ69" s="848"/>
      <c r="ER69" s="844"/>
      <c r="ES69" s="844"/>
      <c r="ET69" s="844"/>
      <c r="EU69" s="844"/>
      <c r="EV69" s="844"/>
      <c r="EW69" s="844"/>
      <c r="EX69" s="844"/>
      <c r="EY69" s="844"/>
      <c r="EZ69" s="844"/>
      <c r="FA69" s="823">
        <f t="shared" ref="FA69" si="276">COUNTA(EL69:EZ69)</f>
        <v>2</v>
      </c>
      <c r="FB69" s="824">
        <f>FB66</f>
        <v>80.3</v>
      </c>
      <c r="FD69" s="856">
        <v>45923</v>
      </c>
      <c r="FE69" s="848" t="s">
        <v>70</v>
      </c>
      <c r="FF69" s="848"/>
      <c r="FG69" s="848"/>
      <c r="FH69" s="859"/>
      <c r="FI69" s="859"/>
      <c r="FJ69" s="859"/>
      <c r="FK69" s="834"/>
      <c r="FL69" s="835"/>
      <c r="FM69" s="836"/>
      <c r="FN69" s="867"/>
      <c r="FO69" s="868"/>
      <c r="FP69" s="869"/>
      <c r="FQ69" s="834"/>
      <c r="FR69" s="835"/>
      <c r="FS69" s="836"/>
      <c r="FT69" s="823">
        <f t="shared" ref="FT69" si="277">COUNTA(FE69:FS69)</f>
        <v>1</v>
      </c>
      <c r="FU69" s="824">
        <v>79.5</v>
      </c>
      <c r="FW69" s="873">
        <v>45953</v>
      </c>
      <c r="FX69" s="844"/>
      <c r="FY69" s="844"/>
      <c r="FZ69" s="844"/>
      <c r="GA69" s="859"/>
      <c r="GB69" s="859"/>
      <c r="GC69" s="859"/>
      <c r="GD69" s="834"/>
      <c r="GE69" s="835"/>
      <c r="GF69" s="836"/>
      <c r="GG69" s="867"/>
      <c r="GH69" s="868"/>
      <c r="GI69" s="869"/>
      <c r="GJ69" s="834"/>
      <c r="GK69" s="835"/>
      <c r="GL69" s="836"/>
      <c r="GM69" s="834"/>
      <c r="GN69" s="835"/>
      <c r="GO69" s="836"/>
      <c r="GP69" s="823">
        <f>COUNTA(FX69:GO69)</f>
        <v>0</v>
      </c>
      <c r="GQ69" s="824">
        <f>GQ66</f>
        <v>78.900000000000006</v>
      </c>
      <c r="GR69" s="118"/>
      <c r="GS69" s="864">
        <v>45984</v>
      </c>
      <c r="GT69" s="849" t="s">
        <v>153</v>
      </c>
      <c r="GU69" s="849"/>
      <c r="GV69" s="849"/>
      <c r="GW69" s="849" t="s">
        <v>80</v>
      </c>
      <c r="GX69" s="849"/>
      <c r="GY69" s="849"/>
      <c r="GZ69" s="849" t="s">
        <v>115</v>
      </c>
      <c r="HA69" s="849"/>
      <c r="HB69" s="849"/>
      <c r="HC69" s="890" t="s">
        <v>131</v>
      </c>
      <c r="HD69" s="890"/>
      <c r="HE69" s="890"/>
      <c r="HF69" s="879" t="s">
        <v>154</v>
      </c>
      <c r="HG69" s="880"/>
      <c r="HH69" s="881"/>
      <c r="HI69" s="834"/>
      <c r="HJ69" s="835"/>
      <c r="HK69" s="836"/>
      <c r="HL69" s="823">
        <f>COUNTA(GT69:HK69)</f>
        <v>5</v>
      </c>
      <c r="HM69" s="824">
        <v>77.099999999999994</v>
      </c>
      <c r="HN69" s="118"/>
      <c r="HO69" s="856">
        <v>46014</v>
      </c>
      <c r="HP69" s="848" t="s">
        <v>70</v>
      </c>
      <c r="HQ69" s="848"/>
      <c r="HR69" s="848"/>
      <c r="HS69" s="859"/>
      <c r="HT69" s="859"/>
      <c r="HU69" s="859"/>
      <c r="HV69" s="834"/>
      <c r="HW69" s="835"/>
      <c r="HX69" s="836"/>
      <c r="HY69" s="867"/>
      <c r="HZ69" s="868"/>
      <c r="IA69" s="869"/>
      <c r="IB69" s="834"/>
      <c r="IC69" s="835"/>
      <c r="ID69" s="836"/>
      <c r="IE69" s="834"/>
      <c r="IF69" s="835"/>
      <c r="IG69" s="836"/>
      <c r="IH69" s="823">
        <f>COUNTA(HP69:IG69)</f>
        <v>1</v>
      </c>
      <c r="II69" s="824">
        <v>76.5</v>
      </c>
      <c r="IK69" s="876">
        <v>46045</v>
      </c>
      <c r="IL69" s="848"/>
      <c r="IM69" s="848"/>
      <c r="IN69" s="848"/>
      <c r="IO69" s="848"/>
      <c r="IP69" s="848"/>
      <c r="IQ69" s="848"/>
      <c r="IR69" s="848"/>
      <c r="IS69" s="848"/>
      <c r="IT69" s="848"/>
      <c r="IU69" s="848"/>
      <c r="IV69" s="848"/>
      <c r="IW69" s="848"/>
      <c r="IX69" s="882"/>
      <c r="IY69" s="883"/>
      <c r="IZ69" s="884"/>
      <c r="JA69" s="882"/>
      <c r="JB69" s="883"/>
      <c r="JC69" s="884"/>
      <c r="JD69" s="232" t="s">
        <v>425</v>
      </c>
      <c r="JE69" s="823">
        <f>COUNTA(IL69:JC69)</f>
        <v>0</v>
      </c>
      <c r="JF69" s="824"/>
    </row>
    <row r="70" spans="27:268" ht="15">
      <c r="AA70" s="865"/>
      <c r="AB70" s="231" t="s">
        <v>59</v>
      </c>
      <c r="AC70" s="231" t="s">
        <v>73</v>
      </c>
      <c r="AD70" s="102" t="s">
        <v>4</v>
      </c>
      <c r="AE70" s="231" t="s">
        <v>59</v>
      </c>
      <c r="AF70" s="231" t="s">
        <v>73</v>
      </c>
      <c r="AG70" s="102" t="s">
        <v>4</v>
      </c>
      <c r="AH70" s="231" t="s">
        <v>59</v>
      </c>
      <c r="AI70" s="231" t="s">
        <v>73</v>
      </c>
      <c r="AJ70" s="102" t="s">
        <v>4</v>
      </c>
      <c r="AK70" s="231" t="s">
        <v>59</v>
      </c>
      <c r="AL70" s="231" t="s">
        <v>73</v>
      </c>
      <c r="AM70" s="102" t="s">
        <v>4</v>
      </c>
      <c r="AN70" s="231" t="s">
        <v>59</v>
      </c>
      <c r="AO70" s="231" t="s">
        <v>73</v>
      </c>
      <c r="AP70" s="102" t="s">
        <v>4</v>
      </c>
      <c r="AQ70" s="823"/>
      <c r="AR70" s="825"/>
      <c r="AT70" s="865"/>
      <c r="AU70" s="231" t="s">
        <v>59</v>
      </c>
      <c r="AV70" s="231" t="s">
        <v>73</v>
      </c>
      <c r="AW70" s="102" t="s">
        <v>4</v>
      </c>
      <c r="AX70" s="231" t="s">
        <v>59</v>
      </c>
      <c r="AY70" s="231" t="s">
        <v>73</v>
      </c>
      <c r="AZ70" s="102" t="s">
        <v>4</v>
      </c>
      <c r="BA70" s="231" t="s">
        <v>59</v>
      </c>
      <c r="BB70" s="231" t="s">
        <v>73</v>
      </c>
      <c r="BC70" s="102" t="s">
        <v>4</v>
      </c>
      <c r="BD70" s="231" t="s">
        <v>59</v>
      </c>
      <c r="BE70" s="231" t="s">
        <v>73</v>
      </c>
      <c r="BF70" s="102" t="s">
        <v>4</v>
      </c>
      <c r="BG70" s="107" t="s">
        <v>59</v>
      </c>
      <c r="BH70" s="107" t="s">
        <v>73</v>
      </c>
      <c r="BI70" s="108" t="s">
        <v>4</v>
      </c>
      <c r="BJ70" s="823"/>
      <c r="BK70" s="825"/>
      <c r="BL70" s="118"/>
      <c r="BM70" s="846"/>
      <c r="BN70" s="107" t="s">
        <v>59</v>
      </c>
      <c r="BO70" s="107" t="s">
        <v>73</v>
      </c>
      <c r="BP70" s="108" t="s">
        <v>4</v>
      </c>
      <c r="BQ70" s="107" t="s">
        <v>59</v>
      </c>
      <c r="BR70" s="107" t="s">
        <v>73</v>
      </c>
      <c r="BS70" s="108" t="s">
        <v>4</v>
      </c>
      <c r="BT70" s="107" t="s">
        <v>59</v>
      </c>
      <c r="BU70" s="107" t="s">
        <v>73</v>
      </c>
      <c r="BV70" s="108" t="s">
        <v>4</v>
      </c>
      <c r="BW70" s="107" t="s">
        <v>59</v>
      </c>
      <c r="BX70" s="107" t="s">
        <v>73</v>
      </c>
      <c r="BY70" s="108" t="s">
        <v>4</v>
      </c>
      <c r="BZ70" s="107" t="s">
        <v>59</v>
      </c>
      <c r="CA70" s="107" t="s">
        <v>73</v>
      </c>
      <c r="CB70" s="108" t="s">
        <v>4</v>
      </c>
      <c r="CC70" s="823"/>
      <c r="CD70" s="825"/>
      <c r="CF70" s="877"/>
      <c r="CG70" s="231" t="s">
        <v>59</v>
      </c>
      <c r="CH70" s="231" t="s">
        <v>73</v>
      </c>
      <c r="CI70" s="102" t="s">
        <v>4</v>
      </c>
      <c r="CJ70" s="107" t="s">
        <v>59</v>
      </c>
      <c r="CK70" s="107" t="s">
        <v>73</v>
      </c>
      <c r="CL70" s="108" t="s">
        <v>4</v>
      </c>
      <c r="CM70" s="107" t="s">
        <v>59</v>
      </c>
      <c r="CN70" s="107" t="s">
        <v>73</v>
      </c>
      <c r="CO70" s="108" t="s">
        <v>4</v>
      </c>
      <c r="CP70" s="107" t="s">
        <v>59</v>
      </c>
      <c r="CQ70" s="107" t="s">
        <v>73</v>
      </c>
      <c r="CR70" s="108" t="s">
        <v>4</v>
      </c>
      <c r="CS70" s="107" t="s">
        <v>59</v>
      </c>
      <c r="CT70" s="107" t="s">
        <v>73</v>
      </c>
      <c r="CU70" s="108" t="s">
        <v>4</v>
      </c>
      <c r="CV70" s="823"/>
      <c r="CW70" s="825"/>
      <c r="CX70" s="118"/>
      <c r="CY70" s="871"/>
      <c r="CZ70" s="231" t="s">
        <v>59</v>
      </c>
      <c r="DA70" s="231" t="s">
        <v>73</v>
      </c>
      <c r="DB70" s="102" t="s">
        <v>4</v>
      </c>
      <c r="DC70" s="231" t="s">
        <v>59</v>
      </c>
      <c r="DD70" s="231" t="s">
        <v>73</v>
      </c>
      <c r="DE70" s="102" t="s">
        <v>4</v>
      </c>
      <c r="DF70" s="231" t="s">
        <v>59</v>
      </c>
      <c r="DG70" s="231" t="s">
        <v>73</v>
      </c>
      <c r="DH70" s="102" t="s">
        <v>4</v>
      </c>
      <c r="DI70" s="231" t="s">
        <v>59</v>
      </c>
      <c r="DJ70" s="231" t="s">
        <v>73</v>
      </c>
      <c r="DK70" s="102" t="s">
        <v>4</v>
      </c>
      <c r="DL70" s="107" t="s">
        <v>59</v>
      </c>
      <c r="DM70" s="107" t="s">
        <v>73</v>
      </c>
      <c r="DN70" s="108" t="s">
        <v>4</v>
      </c>
      <c r="DO70" s="823"/>
      <c r="DP70" s="825"/>
      <c r="DR70" s="846"/>
      <c r="DS70" s="107" t="s">
        <v>59</v>
      </c>
      <c r="DT70" s="107" t="s">
        <v>73</v>
      </c>
      <c r="DU70" s="108" t="s">
        <v>4</v>
      </c>
      <c r="DV70" s="107" t="s">
        <v>59</v>
      </c>
      <c r="DW70" s="107" t="s">
        <v>73</v>
      </c>
      <c r="DX70" s="108" t="s">
        <v>4</v>
      </c>
      <c r="DY70" s="107" t="s">
        <v>59</v>
      </c>
      <c r="DZ70" s="107" t="s">
        <v>73</v>
      </c>
      <c r="EA70" s="108" t="s">
        <v>4</v>
      </c>
      <c r="EB70" s="107" t="s">
        <v>59</v>
      </c>
      <c r="EC70" s="107" t="s">
        <v>73</v>
      </c>
      <c r="ED70" s="108" t="s">
        <v>4</v>
      </c>
      <c r="EE70" s="107" t="s">
        <v>59</v>
      </c>
      <c r="EF70" s="107" t="s">
        <v>73</v>
      </c>
      <c r="EG70" s="108" t="s">
        <v>4</v>
      </c>
      <c r="EH70" s="823"/>
      <c r="EI70" s="825"/>
      <c r="EK70" s="841"/>
      <c r="EL70" s="231" t="s">
        <v>59</v>
      </c>
      <c r="EM70" s="231" t="s">
        <v>73</v>
      </c>
      <c r="EN70" s="102" t="s">
        <v>4</v>
      </c>
      <c r="EO70" s="231" t="s">
        <v>59</v>
      </c>
      <c r="EP70" s="231" t="s">
        <v>73</v>
      </c>
      <c r="EQ70" s="102" t="s">
        <v>4</v>
      </c>
      <c r="ER70" s="107" t="s">
        <v>59</v>
      </c>
      <c r="ES70" s="107" t="s">
        <v>73</v>
      </c>
      <c r="ET70" s="108" t="s">
        <v>4</v>
      </c>
      <c r="EU70" s="107" t="s">
        <v>59</v>
      </c>
      <c r="EV70" s="107" t="s">
        <v>73</v>
      </c>
      <c r="EW70" s="108" t="s">
        <v>4</v>
      </c>
      <c r="EX70" s="107" t="s">
        <v>59</v>
      </c>
      <c r="EY70" s="107" t="s">
        <v>73</v>
      </c>
      <c r="EZ70" s="108" t="s">
        <v>4</v>
      </c>
      <c r="FA70" s="823"/>
      <c r="FB70" s="825"/>
      <c r="FD70" s="857"/>
      <c r="FE70" s="231" t="s">
        <v>59</v>
      </c>
      <c r="FF70" s="231" t="s">
        <v>73</v>
      </c>
      <c r="FG70" s="102" t="s">
        <v>4</v>
      </c>
      <c r="FH70" s="107" t="s">
        <v>59</v>
      </c>
      <c r="FI70" s="107" t="s">
        <v>73</v>
      </c>
      <c r="FJ70" s="108" t="s">
        <v>4</v>
      </c>
      <c r="FK70" s="107" t="s">
        <v>59</v>
      </c>
      <c r="FL70" s="107" t="s">
        <v>73</v>
      </c>
      <c r="FM70" s="108" t="s">
        <v>4</v>
      </c>
      <c r="FN70" s="107" t="s">
        <v>59</v>
      </c>
      <c r="FO70" s="107" t="s">
        <v>73</v>
      </c>
      <c r="FP70" s="108" t="s">
        <v>4</v>
      </c>
      <c r="FQ70" s="107" t="s">
        <v>59</v>
      </c>
      <c r="FR70" s="107" t="s">
        <v>73</v>
      </c>
      <c r="FS70" s="108" t="s">
        <v>4</v>
      </c>
      <c r="FT70" s="823"/>
      <c r="FU70" s="825"/>
      <c r="FW70" s="874"/>
      <c r="FX70" s="107" t="s">
        <v>59</v>
      </c>
      <c r="FY70" s="107" t="s">
        <v>73</v>
      </c>
      <c r="FZ70" s="108" t="s">
        <v>4</v>
      </c>
      <c r="GA70" s="107" t="s">
        <v>59</v>
      </c>
      <c r="GB70" s="107" t="s">
        <v>73</v>
      </c>
      <c r="GC70" s="108" t="s">
        <v>4</v>
      </c>
      <c r="GD70" s="107" t="s">
        <v>59</v>
      </c>
      <c r="GE70" s="107" t="s">
        <v>73</v>
      </c>
      <c r="GF70" s="108" t="s">
        <v>4</v>
      </c>
      <c r="GG70" s="107" t="s">
        <v>59</v>
      </c>
      <c r="GH70" s="107" t="s">
        <v>73</v>
      </c>
      <c r="GI70" s="108" t="s">
        <v>4</v>
      </c>
      <c r="GJ70" s="107" t="s">
        <v>59</v>
      </c>
      <c r="GK70" s="107" t="s">
        <v>73</v>
      </c>
      <c r="GL70" s="108" t="s">
        <v>4</v>
      </c>
      <c r="GM70" s="107" t="s">
        <v>59</v>
      </c>
      <c r="GN70" s="107" t="s">
        <v>73</v>
      </c>
      <c r="GO70" s="108" t="s">
        <v>4</v>
      </c>
      <c r="GP70" s="823"/>
      <c r="GQ70" s="825"/>
      <c r="GR70" s="118"/>
      <c r="GS70" s="865"/>
      <c r="GT70" s="231" t="s">
        <v>59</v>
      </c>
      <c r="GU70" s="231" t="s">
        <v>73</v>
      </c>
      <c r="GV70" s="102" t="s">
        <v>4</v>
      </c>
      <c r="GW70" s="231" t="s">
        <v>59</v>
      </c>
      <c r="GX70" s="231" t="s">
        <v>73</v>
      </c>
      <c r="GY70" s="102" t="s">
        <v>4</v>
      </c>
      <c r="GZ70" s="231" t="s">
        <v>59</v>
      </c>
      <c r="HA70" s="231" t="s">
        <v>73</v>
      </c>
      <c r="HB70" s="102" t="s">
        <v>4</v>
      </c>
      <c r="HC70" s="231" t="s">
        <v>59</v>
      </c>
      <c r="HD70" s="231" t="s">
        <v>73</v>
      </c>
      <c r="HE70" s="102" t="s">
        <v>4</v>
      </c>
      <c r="HF70" s="231" t="s">
        <v>59</v>
      </c>
      <c r="HG70" s="231" t="s">
        <v>73</v>
      </c>
      <c r="HH70" s="102" t="s">
        <v>4</v>
      </c>
      <c r="HI70" s="107" t="s">
        <v>59</v>
      </c>
      <c r="HJ70" s="107" t="s">
        <v>73</v>
      </c>
      <c r="HK70" s="108" t="s">
        <v>4</v>
      </c>
      <c r="HL70" s="823"/>
      <c r="HM70" s="825"/>
      <c r="HN70" s="118"/>
      <c r="HO70" s="857"/>
      <c r="HP70" s="231" t="s">
        <v>59</v>
      </c>
      <c r="HQ70" s="231" t="s">
        <v>73</v>
      </c>
      <c r="HR70" s="102" t="s">
        <v>4</v>
      </c>
      <c r="HS70" s="107" t="s">
        <v>59</v>
      </c>
      <c r="HT70" s="107" t="s">
        <v>73</v>
      </c>
      <c r="HU70" s="108" t="s">
        <v>4</v>
      </c>
      <c r="HV70" s="107" t="s">
        <v>59</v>
      </c>
      <c r="HW70" s="107" t="s">
        <v>73</v>
      </c>
      <c r="HX70" s="108" t="s">
        <v>4</v>
      </c>
      <c r="HY70" s="107" t="s">
        <v>59</v>
      </c>
      <c r="HZ70" s="107" t="s">
        <v>73</v>
      </c>
      <c r="IA70" s="108" t="s">
        <v>4</v>
      </c>
      <c r="IB70" s="107" t="s">
        <v>59</v>
      </c>
      <c r="IC70" s="107" t="s">
        <v>73</v>
      </c>
      <c r="ID70" s="108" t="s">
        <v>4</v>
      </c>
      <c r="IE70" s="107" t="s">
        <v>59</v>
      </c>
      <c r="IF70" s="107" t="s">
        <v>73</v>
      </c>
      <c r="IG70" s="108" t="s">
        <v>4</v>
      </c>
      <c r="IH70" s="823"/>
      <c r="II70" s="825"/>
      <c r="IK70" s="877"/>
      <c r="IL70" s="231" t="s">
        <v>59</v>
      </c>
      <c r="IM70" s="231" t="s">
        <v>73</v>
      </c>
      <c r="IN70" s="102" t="s">
        <v>4</v>
      </c>
      <c r="IO70" s="231" t="s">
        <v>59</v>
      </c>
      <c r="IP70" s="231" t="s">
        <v>73</v>
      </c>
      <c r="IQ70" s="102" t="s">
        <v>4</v>
      </c>
      <c r="IR70" s="231" t="s">
        <v>59</v>
      </c>
      <c r="IS70" s="231" t="s">
        <v>73</v>
      </c>
      <c r="IT70" s="102" t="s">
        <v>4</v>
      </c>
      <c r="IU70" s="231" t="s">
        <v>59</v>
      </c>
      <c r="IV70" s="231" t="s">
        <v>73</v>
      </c>
      <c r="IW70" s="102" t="s">
        <v>4</v>
      </c>
      <c r="IX70" s="231" t="s">
        <v>59</v>
      </c>
      <c r="IY70" s="231" t="s">
        <v>73</v>
      </c>
      <c r="IZ70" s="102" t="s">
        <v>4</v>
      </c>
      <c r="JA70" s="231" t="s">
        <v>59</v>
      </c>
      <c r="JB70" s="231" t="s">
        <v>73</v>
      </c>
      <c r="JC70" s="102" t="s">
        <v>4</v>
      </c>
      <c r="JD70" s="948"/>
      <c r="JE70" s="823"/>
      <c r="JF70" s="825"/>
    </row>
    <row r="71" spans="27:268" ht="15">
      <c r="AA71" s="866"/>
      <c r="AB71" s="229">
        <v>4</v>
      </c>
      <c r="AC71" s="229">
        <v>8</v>
      </c>
      <c r="AD71" s="229">
        <v>59</v>
      </c>
      <c r="AE71" s="229">
        <v>4</v>
      </c>
      <c r="AF71" s="229">
        <v>8</v>
      </c>
      <c r="AG71" s="229">
        <f>((22.5*1)+(25*3))/4</f>
        <v>24.375</v>
      </c>
      <c r="AH71" s="229">
        <v>4</v>
      </c>
      <c r="AI71" s="229">
        <v>8</v>
      </c>
      <c r="AJ71" s="229">
        <v>22.5</v>
      </c>
      <c r="AK71" s="229">
        <v>2</v>
      </c>
      <c r="AL71" s="229">
        <v>4</v>
      </c>
      <c r="AM71" s="229">
        <v>17.5</v>
      </c>
      <c r="AN71" s="229">
        <v>4</v>
      </c>
      <c r="AO71" s="229">
        <v>8</v>
      </c>
      <c r="AP71" s="229">
        <v>17.5</v>
      </c>
      <c r="AQ71" s="229">
        <f t="shared" ref="AQ71" si="278">(AB71*AC71*AD71)+(AE71*AF71*AG71)+(AH71*AI71*AJ71)+(AK71*AL71*AM71)+(AN71*AO71*AP71)</f>
        <v>4088</v>
      </c>
      <c r="AR71" s="826"/>
      <c r="AT71" s="866"/>
      <c r="AU71" s="229">
        <v>4</v>
      </c>
      <c r="AV71" s="229">
        <f>((8*2)+(10*2))/4</f>
        <v>9</v>
      </c>
      <c r="AW71" s="229">
        <v>22.5</v>
      </c>
      <c r="AX71" s="229">
        <v>4</v>
      </c>
      <c r="AY71" s="229">
        <v>8</v>
      </c>
      <c r="AZ71" s="229">
        <v>12.5</v>
      </c>
      <c r="BA71" s="229">
        <v>4</v>
      </c>
      <c r="BB71" s="229">
        <v>8</v>
      </c>
      <c r="BC71" s="229">
        <v>31.8</v>
      </c>
      <c r="BD71" s="229">
        <v>4</v>
      </c>
      <c r="BE71" s="229">
        <v>8</v>
      </c>
      <c r="BF71" s="229">
        <v>20</v>
      </c>
      <c r="BG71" s="233"/>
      <c r="BH71" s="233"/>
      <c r="BI71" s="233"/>
      <c r="BJ71" s="229">
        <f t="shared" ref="BJ71" si="279">(AU71*AV71*AW71)+(AX71*AY71*AZ71)+(BA71*BB71*BC71)+(BD71*BE71*BF71)+(BG71*BH71*BI71)</f>
        <v>2867.6</v>
      </c>
      <c r="BK71" s="826"/>
      <c r="BL71" s="118"/>
      <c r="BM71" s="847"/>
      <c r="BN71" s="233"/>
      <c r="BO71" s="233"/>
      <c r="BP71" s="233"/>
      <c r="BQ71" s="233"/>
      <c r="BR71" s="233"/>
      <c r="BS71" s="233"/>
      <c r="BT71" s="233"/>
      <c r="BU71" s="233"/>
      <c r="BV71" s="233"/>
      <c r="BW71" s="233"/>
      <c r="BX71" s="233"/>
      <c r="BY71" s="233"/>
      <c r="BZ71" s="233"/>
      <c r="CA71" s="233"/>
      <c r="CB71" s="233"/>
      <c r="CC71" s="229">
        <f t="shared" ref="CC71" si="280">(BN71*BO71*BP71)+(BQ71*BR71*BS71)+(BT71*BU71*BV71)+(BW71*BX71*BY71)+(BZ71*CA71*CB71)</f>
        <v>0</v>
      </c>
      <c r="CD71" s="826"/>
      <c r="CF71" s="878"/>
      <c r="CG71" s="229">
        <v>1</v>
      </c>
      <c r="CH71" s="229">
        <v>40</v>
      </c>
      <c r="CI71" s="229">
        <f>$CW69</f>
        <v>83.8</v>
      </c>
      <c r="CJ71" s="233"/>
      <c r="CK71" s="233"/>
      <c r="CL71" s="233"/>
      <c r="CM71" s="233"/>
      <c r="CN71" s="233"/>
      <c r="CO71" s="233"/>
      <c r="CP71" s="233"/>
      <c r="CQ71" s="233"/>
      <c r="CR71" s="233"/>
      <c r="CS71" s="233"/>
      <c r="CT71" s="233"/>
      <c r="CU71" s="233"/>
      <c r="CV71" s="229">
        <f t="shared" ref="CV71" si="281">(CG71*CH71*CI71)+(CJ71*CK71*CL71)+(CM71*CN71*CO71)+(CP71*CQ71*CR71)+(CS71*CT71*CU71)</f>
        <v>3352</v>
      </c>
      <c r="CW71" s="826"/>
      <c r="CX71" s="118"/>
      <c r="CY71" s="872"/>
      <c r="CZ71" s="229">
        <v>3</v>
      </c>
      <c r="DA71" s="229">
        <v>10</v>
      </c>
      <c r="DB71" s="229">
        <v>45</v>
      </c>
      <c r="DC71" s="229">
        <v>3</v>
      </c>
      <c r="DD71" s="229">
        <v>10</v>
      </c>
      <c r="DE71" s="229">
        <v>10</v>
      </c>
      <c r="DF71" s="229">
        <v>3</v>
      </c>
      <c r="DG71" s="126">
        <v>10</v>
      </c>
      <c r="DH71" s="126">
        <f>((27.2*3)+(29.5*1))/4</f>
        <v>27.774999999999999</v>
      </c>
      <c r="DI71" s="229">
        <v>3</v>
      </c>
      <c r="DJ71" s="229">
        <v>10</v>
      </c>
      <c r="DK71" s="229">
        <v>12.5</v>
      </c>
      <c r="DL71" s="233"/>
      <c r="DM71" s="233"/>
      <c r="DN71" s="233"/>
      <c r="DO71" s="229">
        <f t="shared" ref="DO71" si="282">(CZ71*DA71*DB71)+(DC71*DD71*DE71)+(DF71*DG71*DH71)+(DI71*DJ71*DK71)+(DL71*DM71*DN71)</f>
        <v>2858.25</v>
      </c>
      <c r="DP71" s="826"/>
      <c r="DR71" s="847"/>
      <c r="DS71" s="233"/>
      <c r="DT71" s="233"/>
      <c r="DU71" s="233"/>
      <c r="DV71" s="233"/>
      <c r="DW71" s="233"/>
      <c r="DX71" s="233"/>
      <c r="DY71" s="233"/>
      <c r="DZ71" s="233"/>
      <c r="EA71" s="233"/>
      <c r="EB71" s="233"/>
      <c r="EC71" s="233"/>
      <c r="ED71" s="233"/>
      <c r="EE71" s="233"/>
      <c r="EF71" s="233"/>
      <c r="EG71" s="233"/>
      <c r="EH71" s="229">
        <f t="shared" ref="EH71" si="283">(DS71*DT71*DU71)+(DV71*DW71*DX71)+(DY71*DZ71*EA71)+(EB71*EC71*ED71)+(EE71*EF71*EG71)</f>
        <v>0</v>
      </c>
      <c r="EI71" s="826"/>
      <c r="EK71" s="842"/>
      <c r="EL71" s="229">
        <v>1</v>
      </c>
      <c r="EM71" s="229">
        <v>30</v>
      </c>
      <c r="EN71" s="229">
        <f>FB69</f>
        <v>80.3</v>
      </c>
      <c r="EO71" s="229">
        <v>1</v>
      </c>
      <c r="EP71" s="229">
        <v>60</v>
      </c>
      <c r="EQ71" s="229">
        <f>FB69</f>
        <v>80.3</v>
      </c>
      <c r="ER71" s="233"/>
      <c r="ES71" s="233"/>
      <c r="ET71" s="233"/>
      <c r="EU71" s="233"/>
      <c r="EV71" s="233"/>
      <c r="EW71" s="233"/>
      <c r="EX71" s="233"/>
      <c r="EY71" s="233"/>
      <c r="EZ71" s="233"/>
      <c r="FA71" s="229">
        <f t="shared" ref="FA71" si="284">(EL71*EM71*EN71)+(EO71*EP71*EQ71)+(ER71*ES71*ET71)+(EU71*EV71*EW71)+(EX71*EY71*EZ71)</f>
        <v>7227</v>
      </c>
      <c r="FB71" s="826"/>
      <c r="FD71" s="858"/>
      <c r="FE71" s="229">
        <v>1</v>
      </c>
      <c r="FF71" s="229">
        <v>30</v>
      </c>
      <c r="FG71" s="229">
        <f>FU69</f>
        <v>79.5</v>
      </c>
      <c r="FH71" s="233"/>
      <c r="FI71" s="233"/>
      <c r="FJ71" s="233"/>
      <c r="FK71" s="233"/>
      <c r="FL71" s="233"/>
      <c r="FM71" s="233"/>
      <c r="FN71" s="233"/>
      <c r="FO71" s="233"/>
      <c r="FP71" s="233"/>
      <c r="FQ71" s="233"/>
      <c r="FR71" s="233"/>
      <c r="FS71" s="233"/>
      <c r="FT71" s="229">
        <f t="shared" ref="FT71" si="285">(FE71*FF71*FG71)+(FH71*FI71*FJ71)+(FK71*FL71*FM71)+(FN71*FO71*FP71)+(FQ71*FR71*FS71)</f>
        <v>2385</v>
      </c>
      <c r="FU71" s="826"/>
      <c r="FW71" s="875"/>
      <c r="FX71" s="233"/>
      <c r="FY71" s="233"/>
      <c r="FZ71" s="233"/>
      <c r="GA71" s="233"/>
      <c r="GB71" s="233"/>
      <c r="GC71" s="233"/>
      <c r="GD71" s="233"/>
      <c r="GE71" s="233"/>
      <c r="GF71" s="233"/>
      <c r="GG71" s="233"/>
      <c r="GH71" s="233"/>
      <c r="GI71" s="233"/>
      <c r="GJ71" s="233"/>
      <c r="GK71" s="233"/>
      <c r="GL71" s="233"/>
      <c r="GM71" s="233"/>
      <c r="GN71" s="233"/>
      <c r="GO71" s="233"/>
      <c r="GP71" s="229">
        <f>(FX71*FY71*FZ71)+(GA71*GB71*GC71)+(GD71*GE71*GF71)+(GG71*GH71*GI71)+(GJ71*GK71*GL71)+(GM71*GN71*GO71)</f>
        <v>0</v>
      </c>
      <c r="GQ71" s="826"/>
      <c r="GR71" s="118"/>
      <c r="GS71" s="866"/>
      <c r="GT71" s="229">
        <v>3</v>
      </c>
      <c r="GU71" s="229">
        <f>((8*1)+(10*1)+(12*1))/3</f>
        <v>10</v>
      </c>
      <c r="GV71" s="229">
        <v>25</v>
      </c>
      <c r="GW71" s="229">
        <v>3</v>
      </c>
      <c r="GX71" s="229">
        <f>((8*1)+(10*1)+(12*1))/3</f>
        <v>10</v>
      </c>
      <c r="GY71" s="229">
        <v>20</v>
      </c>
      <c r="GZ71" s="229">
        <v>3</v>
      </c>
      <c r="HA71" s="229">
        <f>((12*1)+(8*1)+(10*1))/3</f>
        <v>10</v>
      </c>
      <c r="HB71" s="229">
        <f>((20.4*1)+(22.7*2))/3</f>
        <v>21.933333333333334</v>
      </c>
      <c r="HC71" s="229">
        <v>3</v>
      </c>
      <c r="HD71" s="126">
        <v>6</v>
      </c>
      <c r="HE71" s="126">
        <v>19.75</v>
      </c>
      <c r="HF71" s="229">
        <v>3</v>
      </c>
      <c r="HG71" s="126">
        <f>((12*2)+(6*1))/3</f>
        <v>10</v>
      </c>
      <c r="HH71" s="229">
        <f>((12.5*2)+(15+1))/3</f>
        <v>13.666666666666666</v>
      </c>
      <c r="HI71" s="233"/>
      <c r="HJ71" s="233"/>
      <c r="HK71" s="233"/>
      <c r="HL71" s="229">
        <f>(GT71*GU71*GV71)+(GW71*GX71*GY71)+(GZ71*HA71*HB71)+(HC71*HD71*HE71)+(HF71*HG71*HH71)+(HI71*HJ71*HK71)</f>
        <v>2773.5</v>
      </c>
      <c r="HM71" s="826"/>
      <c r="HN71" s="118"/>
      <c r="HO71" s="858"/>
      <c r="HP71" s="229">
        <v>1</v>
      </c>
      <c r="HQ71" s="229">
        <v>30</v>
      </c>
      <c r="HR71" s="229">
        <f>II69</f>
        <v>76.5</v>
      </c>
      <c r="HS71" s="233"/>
      <c r="HT71" s="233"/>
      <c r="HU71" s="233"/>
      <c r="HV71" s="233"/>
      <c r="HW71" s="233"/>
      <c r="HX71" s="233"/>
      <c r="HY71" s="233"/>
      <c r="HZ71" s="233"/>
      <c r="IA71" s="233"/>
      <c r="IB71" s="233"/>
      <c r="IC71" s="233"/>
      <c r="ID71" s="233"/>
      <c r="IE71" s="233"/>
      <c r="IF71" s="233"/>
      <c r="IG71" s="233"/>
      <c r="IH71" s="229">
        <f>(HP71*HQ71*HR71)+(HS71*HT71*HU71)+(HV71*HW71*HX71)+(HY71*HZ71*IA71)+(IB71*IC71*ID71)+(IE71*IF71*IG71)</f>
        <v>2295</v>
      </c>
      <c r="II71" s="826"/>
      <c r="IK71" s="878"/>
      <c r="IL71" s="229"/>
      <c r="IM71" s="229"/>
      <c r="IN71" s="229"/>
      <c r="IO71" s="229"/>
      <c r="IP71" s="229"/>
      <c r="IQ71" s="229"/>
      <c r="IR71" s="229"/>
      <c r="IS71" s="229"/>
      <c r="IT71" s="229"/>
      <c r="IU71" s="229"/>
      <c r="IV71" s="229"/>
      <c r="IW71" s="229"/>
      <c r="IX71" s="229"/>
      <c r="IY71" s="229"/>
      <c r="IZ71" s="229"/>
      <c r="JA71" s="229"/>
      <c r="JB71" s="229"/>
      <c r="JC71" s="229"/>
      <c r="JD71" s="949"/>
      <c r="JE71" s="229">
        <f>(IL71*IM71*IN71)+(IO71*IP71*IQ71)+(IR71*IS71*IT71)+(IU71*IV71*IW71)+(IX71*IY71*IZ71)+(JA71*JB71*JC71)</f>
        <v>0</v>
      </c>
      <c r="JF71" s="826"/>
    </row>
    <row r="72" spans="27:268" ht="15">
      <c r="AA72" s="870">
        <v>45712</v>
      </c>
      <c r="AB72" s="848" t="s">
        <v>92</v>
      </c>
      <c r="AC72" s="848"/>
      <c r="AD72" s="848"/>
      <c r="AE72" s="848" t="s">
        <v>96</v>
      </c>
      <c r="AF72" s="848"/>
      <c r="AG72" s="848"/>
      <c r="AH72" s="882" t="s">
        <v>95</v>
      </c>
      <c r="AI72" s="883"/>
      <c r="AJ72" s="884"/>
      <c r="AK72" s="882" t="s">
        <v>14</v>
      </c>
      <c r="AL72" s="883"/>
      <c r="AM72" s="884"/>
      <c r="AN72" s="844"/>
      <c r="AO72" s="844"/>
      <c r="AP72" s="844"/>
      <c r="AQ72" s="823">
        <f t="shared" ref="AQ72" si="286">COUNTA(AB72:AP72)</f>
        <v>4</v>
      </c>
      <c r="AR72" s="824">
        <v>93</v>
      </c>
      <c r="AT72" s="870">
        <v>45740</v>
      </c>
      <c r="AU72" s="849" t="s">
        <v>72</v>
      </c>
      <c r="AV72" s="849"/>
      <c r="AW72" s="849"/>
      <c r="AX72" s="848" t="s">
        <v>128</v>
      </c>
      <c r="AY72" s="848"/>
      <c r="AZ72" s="848"/>
      <c r="BA72" s="882" t="s">
        <v>101</v>
      </c>
      <c r="BB72" s="883"/>
      <c r="BC72" s="884"/>
      <c r="BD72" s="879" t="s">
        <v>78</v>
      </c>
      <c r="BE72" s="880"/>
      <c r="BF72" s="881"/>
      <c r="BG72" s="848" t="s">
        <v>129</v>
      </c>
      <c r="BH72" s="848"/>
      <c r="BI72" s="848"/>
      <c r="BJ72" s="823">
        <f t="shared" ref="BJ72" si="287">COUNTA(AU72:BI72)</f>
        <v>5</v>
      </c>
      <c r="BK72" s="824">
        <v>89</v>
      </c>
      <c r="BL72" s="118"/>
      <c r="BM72" s="873">
        <v>45771</v>
      </c>
      <c r="BN72" s="848" t="s">
        <v>100</v>
      </c>
      <c r="BO72" s="848"/>
      <c r="BP72" s="848"/>
      <c r="BQ72" s="859"/>
      <c r="BR72" s="859"/>
      <c r="BS72" s="859"/>
      <c r="BT72" s="844"/>
      <c r="BU72" s="844"/>
      <c r="BV72" s="844"/>
      <c r="BW72" s="844"/>
      <c r="BX72" s="844"/>
      <c r="BY72" s="844"/>
      <c r="BZ72" s="844"/>
      <c r="CA72" s="844"/>
      <c r="CB72" s="844"/>
      <c r="CC72" s="823">
        <f t="shared" ref="CC72" si="288">COUNTA(BN72:CB72)</f>
        <v>1</v>
      </c>
      <c r="CD72" s="824">
        <v>86</v>
      </c>
      <c r="CF72" s="840">
        <v>45801</v>
      </c>
      <c r="CG72" s="859"/>
      <c r="CH72" s="859"/>
      <c r="CI72" s="859"/>
      <c r="CJ72" s="859"/>
      <c r="CK72" s="859"/>
      <c r="CL72" s="859"/>
      <c r="CM72" s="844"/>
      <c r="CN72" s="844"/>
      <c r="CO72" s="844"/>
      <c r="CP72" s="844"/>
      <c r="CQ72" s="844"/>
      <c r="CR72" s="844"/>
      <c r="CS72" s="844"/>
      <c r="CT72" s="844"/>
      <c r="CU72" s="844"/>
      <c r="CV72" s="823">
        <f t="shared" ref="CV72" si="289">COUNTA(CG72:CU72)</f>
        <v>0</v>
      </c>
      <c r="CW72" s="824">
        <f>CW69</f>
        <v>83.8</v>
      </c>
      <c r="CX72" s="118"/>
      <c r="CY72" s="856">
        <v>45832</v>
      </c>
      <c r="CZ72" s="859"/>
      <c r="DA72" s="859"/>
      <c r="DB72" s="859"/>
      <c r="DC72" s="859"/>
      <c r="DD72" s="859"/>
      <c r="DE72" s="859"/>
      <c r="DF72" s="844"/>
      <c r="DG72" s="844"/>
      <c r="DH72" s="844"/>
      <c r="DI72" s="844"/>
      <c r="DJ72" s="844"/>
      <c r="DK72" s="844"/>
      <c r="DL72" s="844"/>
      <c r="DM72" s="844"/>
      <c r="DN72" s="844"/>
      <c r="DO72" s="823">
        <f t="shared" ref="DO72" si="290">COUNTA(CZ72:DN72)</f>
        <v>0</v>
      </c>
      <c r="DP72" s="824">
        <f>DP69</f>
        <v>81.8</v>
      </c>
      <c r="DR72" s="873">
        <v>45862</v>
      </c>
      <c r="DS72" s="848" t="s">
        <v>102</v>
      </c>
      <c r="DT72" s="848"/>
      <c r="DU72" s="848"/>
      <c r="DV72" s="886" t="s">
        <v>80</v>
      </c>
      <c r="DW72" s="886"/>
      <c r="DX72" s="886"/>
      <c r="DY72" s="886" t="s">
        <v>81</v>
      </c>
      <c r="DZ72" s="886"/>
      <c r="EA72" s="886"/>
      <c r="EB72" s="849" t="s">
        <v>113</v>
      </c>
      <c r="EC72" s="849"/>
      <c r="ED72" s="849"/>
      <c r="EE72" s="844"/>
      <c r="EF72" s="844"/>
      <c r="EG72" s="844"/>
      <c r="EH72" s="823">
        <f t="shared" ref="EH72" si="291">COUNTA(DS72:EG72)</f>
        <v>4</v>
      </c>
      <c r="EI72" s="824">
        <v>81.3</v>
      </c>
      <c r="EK72" s="864">
        <v>45893</v>
      </c>
      <c r="EL72" s="849" t="s">
        <v>89</v>
      </c>
      <c r="EM72" s="849"/>
      <c r="EN72" s="849"/>
      <c r="EO72" s="849" t="s">
        <v>113</v>
      </c>
      <c r="EP72" s="849"/>
      <c r="EQ72" s="849"/>
      <c r="ER72" s="890" t="s">
        <v>93</v>
      </c>
      <c r="ES72" s="890"/>
      <c r="ET72" s="890"/>
      <c r="EU72" s="882" t="s">
        <v>85</v>
      </c>
      <c r="EV72" s="883"/>
      <c r="EW72" s="884"/>
      <c r="EX72" s="844"/>
      <c r="EY72" s="844"/>
      <c r="EZ72" s="844"/>
      <c r="FA72" s="823">
        <f t="shared" ref="FA72" si="292">COUNTA(EL72:EZ72)</f>
        <v>4</v>
      </c>
      <c r="FB72" s="824">
        <v>78.099999999999994</v>
      </c>
      <c r="FD72" s="845">
        <v>45924</v>
      </c>
      <c r="FE72" s="859"/>
      <c r="FF72" s="859"/>
      <c r="FG72" s="859"/>
      <c r="FH72" s="859"/>
      <c r="FI72" s="859"/>
      <c r="FJ72" s="859"/>
      <c r="FK72" s="844"/>
      <c r="FL72" s="844"/>
      <c r="FM72" s="844"/>
      <c r="FN72" s="844"/>
      <c r="FO72" s="844"/>
      <c r="FP72" s="844"/>
      <c r="FQ72" s="844"/>
      <c r="FR72" s="844"/>
      <c r="FS72" s="844"/>
      <c r="FT72" s="823">
        <f t="shared" ref="FT72" si="293">COUNTA(FE72:FS72)</f>
        <v>0</v>
      </c>
      <c r="FU72" s="824">
        <f>FU69</f>
        <v>79.5</v>
      </c>
      <c r="FW72" s="876">
        <v>45954</v>
      </c>
      <c r="FX72" s="879" t="s">
        <v>78</v>
      </c>
      <c r="FY72" s="880"/>
      <c r="FZ72" s="881"/>
      <c r="GA72" s="882" t="s">
        <v>85</v>
      </c>
      <c r="GB72" s="883"/>
      <c r="GC72" s="884"/>
      <c r="GD72" s="844"/>
      <c r="GE72" s="844"/>
      <c r="GF72" s="844"/>
      <c r="GG72" s="844"/>
      <c r="GH72" s="844"/>
      <c r="GI72" s="844"/>
      <c r="GJ72" s="844"/>
      <c r="GK72" s="844"/>
      <c r="GL72" s="844"/>
      <c r="GM72" s="844"/>
      <c r="GN72" s="844"/>
      <c r="GO72" s="844"/>
      <c r="GP72" s="823">
        <f>COUNTA(FX72:GO72)</f>
        <v>2</v>
      </c>
      <c r="GQ72" s="824">
        <v>78.900000000000006</v>
      </c>
      <c r="GR72" s="118"/>
      <c r="GS72" s="870">
        <v>45985</v>
      </c>
      <c r="GT72" s="844"/>
      <c r="GU72" s="844"/>
      <c r="GV72" s="844"/>
      <c r="GW72" s="859"/>
      <c r="GX72" s="859"/>
      <c r="GY72" s="859"/>
      <c r="GZ72" s="834"/>
      <c r="HA72" s="835"/>
      <c r="HB72" s="836"/>
      <c r="HC72" s="867"/>
      <c r="HD72" s="868"/>
      <c r="HE72" s="869"/>
      <c r="HF72" s="834"/>
      <c r="HG72" s="835"/>
      <c r="HH72" s="836"/>
      <c r="HI72" s="834"/>
      <c r="HJ72" s="835"/>
      <c r="HK72" s="836"/>
      <c r="HL72" s="823">
        <f>COUNTA(GT72:HK72)</f>
        <v>0</v>
      </c>
      <c r="HM72" s="824">
        <f>HM69</f>
        <v>77.099999999999994</v>
      </c>
      <c r="HN72" s="118"/>
      <c r="HO72" s="845">
        <v>46015</v>
      </c>
      <c r="HP72" s="848" t="s">
        <v>373</v>
      </c>
      <c r="HQ72" s="848"/>
      <c r="HR72" s="848"/>
      <c r="HS72" s="849" t="s">
        <v>114</v>
      </c>
      <c r="HT72" s="849"/>
      <c r="HU72" s="849"/>
      <c r="HV72" s="844"/>
      <c r="HW72" s="844"/>
      <c r="HX72" s="844"/>
      <c r="HY72" s="844"/>
      <c r="HZ72" s="844"/>
      <c r="IA72" s="844"/>
      <c r="IB72" s="844"/>
      <c r="IC72" s="844"/>
      <c r="ID72" s="844"/>
      <c r="IE72" s="834"/>
      <c r="IF72" s="835"/>
      <c r="IG72" s="836"/>
      <c r="IH72" s="823">
        <f>COUNTA(HP72:IG72)</f>
        <v>2</v>
      </c>
      <c r="II72" s="824">
        <v>76.900000000000006</v>
      </c>
      <c r="IK72" s="840">
        <v>46046</v>
      </c>
      <c r="IL72" s="848"/>
      <c r="IM72" s="848"/>
      <c r="IN72" s="848"/>
      <c r="IO72" s="848"/>
      <c r="IP72" s="848"/>
      <c r="IQ72" s="848"/>
      <c r="IR72" s="848"/>
      <c r="IS72" s="848"/>
      <c r="IT72" s="848"/>
      <c r="IU72" s="848"/>
      <c r="IV72" s="848"/>
      <c r="IW72" s="848"/>
      <c r="IX72" s="882"/>
      <c r="IY72" s="883"/>
      <c r="IZ72" s="884"/>
      <c r="JA72" s="882"/>
      <c r="JB72" s="883"/>
      <c r="JC72" s="884"/>
      <c r="JD72" s="232" t="s">
        <v>425</v>
      </c>
      <c r="JE72" s="823">
        <f>COUNTA(IL72:JC72)</f>
        <v>0</v>
      </c>
      <c r="JF72" s="824"/>
    </row>
    <row r="73" spans="27:268" ht="15">
      <c r="AA73" s="871"/>
      <c r="AB73" s="231" t="s">
        <v>59</v>
      </c>
      <c r="AC73" s="231" t="s">
        <v>73</v>
      </c>
      <c r="AD73" s="102" t="s">
        <v>4</v>
      </c>
      <c r="AE73" s="231" t="s">
        <v>59</v>
      </c>
      <c r="AF73" s="231" t="s">
        <v>73</v>
      </c>
      <c r="AG73" s="102" t="s">
        <v>4</v>
      </c>
      <c r="AH73" s="231" t="s">
        <v>59</v>
      </c>
      <c r="AI73" s="231" t="s">
        <v>73</v>
      </c>
      <c r="AJ73" s="102" t="s">
        <v>4</v>
      </c>
      <c r="AK73" s="231" t="s">
        <v>59</v>
      </c>
      <c r="AL73" s="231" t="s">
        <v>73</v>
      </c>
      <c r="AM73" s="102" t="s">
        <v>4</v>
      </c>
      <c r="AN73" s="107" t="s">
        <v>59</v>
      </c>
      <c r="AO73" s="107" t="s">
        <v>73</v>
      </c>
      <c r="AP73" s="108" t="s">
        <v>4</v>
      </c>
      <c r="AQ73" s="823"/>
      <c r="AR73" s="825"/>
      <c r="AT73" s="871"/>
      <c r="AU73" s="231" t="s">
        <v>59</v>
      </c>
      <c r="AV73" s="231" t="s">
        <v>73</v>
      </c>
      <c r="AW73" s="102" t="s">
        <v>4</v>
      </c>
      <c r="AX73" s="231" t="s">
        <v>59</v>
      </c>
      <c r="AY73" s="231" t="s">
        <v>73</v>
      </c>
      <c r="AZ73" s="102" t="s">
        <v>4</v>
      </c>
      <c r="BA73" s="231" t="s">
        <v>59</v>
      </c>
      <c r="BB73" s="231" t="s">
        <v>73</v>
      </c>
      <c r="BC73" s="102" t="s">
        <v>4</v>
      </c>
      <c r="BD73" s="231" t="s">
        <v>59</v>
      </c>
      <c r="BE73" s="231" t="s">
        <v>73</v>
      </c>
      <c r="BF73" s="102" t="s">
        <v>4</v>
      </c>
      <c r="BG73" s="231" t="s">
        <v>59</v>
      </c>
      <c r="BH73" s="231" t="s">
        <v>73</v>
      </c>
      <c r="BI73" s="102" t="s">
        <v>4</v>
      </c>
      <c r="BJ73" s="823"/>
      <c r="BK73" s="825"/>
      <c r="BL73" s="118"/>
      <c r="BM73" s="874"/>
      <c r="BN73" s="231" t="s">
        <v>59</v>
      </c>
      <c r="BO73" s="231" t="s">
        <v>73</v>
      </c>
      <c r="BP73" s="102" t="s">
        <v>4</v>
      </c>
      <c r="BQ73" s="107" t="s">
        <v>59</v>
      </c>
      <c r="BR73" s="107" t="s">
        <v>73</v>
      </c>
      <c r="BS73" s="108" t="s">
        <v>4</v>
      </c>
      <c r="BT73" s="107" t="s">
        <v>59</v>
      </c>
      <c r="BU73" s="107" t="s">
        <v>73</v>
      </c>
      <c r="BV73" s="108" t="s">
        <v>4</v>
      </c>
      <c r="BW73" s="107" t="s">
        <v>59</v>
      </c>
      <c r="BX73" s="107" t="s">
        <v>73</v>
      </c>
      <c r="BY73" s="108" t="s">
        <v>4</v>
      </c>
      <c r="BZ73" s="107" t="s">
        <v>59</v>
      </c>
      <c r="CA73" s="107" t="s">
        <v>73</v>
      </c>
      <c r="CB73" s="108" t="s">
        <v>4</v>
      </c>
      <c r="CC73" s="823"/>
      <c r="CD73" s="825"/>
      <c r="CF73" s="841"/>
      <c r="CG73" s="107" t="s">
        <v>59</v>
      </c>
      <c r="CH73" s="107" t="s">
        <v>73</v>
      </c>
      <c r="CI73" s="108" t="s">
        <v>4</v>
      </c>
      <c r="CJ73" s="107" t="s">
        <v>59</v>
      </c>
      <c r="CK73" s="107" t="s">
        <v>73</v>
      </c>
      <c r="CL73" s="108" t="s">
        <v>4</v>
      </c>
      <c r="CM73" s="107" t="s">
        <v>59</v>
      </c>
      <c r="CN73" s="107" t="s">
        <v>73</v>
      </c>
      <c r="CO73" s="108" t="s">
        <v>4</v>
      </c>
      <c r="CP73" s="107" t="s">
        <v>59</v>
      </c>
      <c r="CQ73" s="107" t="s">
        <v>73</v>
      </c>
      <c r="CR73" s="108" t="s">
        <v>4</v>
      </c>
      <c r="CS73" s="107" t="s">
        <v>59</v>
      </c>
      <c r="CT73" s="107" t="s">
        <v>73</v>
      </c>
      <c r="CU73" s="108" t="s">
        <v>4</v>
      </c>
      <c r="CV73" s="823"/>
      <c r="CW73" s="825"/>
      <c r="CX73" s="118"/>
      <c r="CY73" s="857"/>
      <c r="CZ73" s="107" t="s">
        <v>59</v>
      </c>
      <c r="DA73" s="107" t="s">
        <v>73</v>
      </c>
      <c r="DB73" s="108" t="s">
        <v>4</v>
      </c>
      <c r="DC73" s="107" t="s">
        <v>59</v>
      </c>
      <c r="DD73" s="107" t="s">
        <v>73</v>
      </c>
      <c r="DE73" s="108" t="s">
        <v>4</v>
      </c>
      <c r="DF73" s="107" t="s">
        <v>59</v>
      </c>
      <c r="DG73" s="107" t="s">
        <v>73</v>
      </c>
      <c r="DH73" s="108" t="s">
        <v>4</v>
      </c>
      <c r="DI73" s="107" t="s">
        <v>59</v>
      </c>
      <c r="DJ73" s="107" t="s">
        <v>73</v>
      </c>
      <c r="DK73" s="108" t="s">
        <v>4</v>
      </c>
      <c r="DL73" s="107" t="s">
        <v>59</v>
      </c>
      <c r="DM73" s="107" t="s">
        <v>73</v>
      </c>
      <c r="DN73" s="108" t="s">
        <v>4</v>
      </c>
      <c r="DO73" s="823"/>
      <c r="DP73" s="825"/>
      <c r="DR73" s="874"/>
      <c r="DS73" s="231" t="s">
        <v>59</v>
      </c>
      <c r="DT73" s="231" t="s">
        <v>73</v>
      </c>
      <c r="DU73" s="102" t="s">
        <v>4</v>
      </c>
      <c r="DV73" s="231" t="s">
        <v>59</v>
      </c>
      <c r="DW73" s="231" t="s">
        <v>73</v>
      </c>
      <c r="DX73" s="102" t="s">
        <v>4</v>
      </c>
      <c r="DY73" s="231" t="s">
        <v>59</v>
      </c>
      <c r="DZ73" s="231" t="s">
        <v>73</v>
      </c>
      <c r="EA73" s="102" t="s">
        <v>4</v>
      </c>
      <c r="EB73" s="231" t="s">
        <v>59</v>
      </c>
      <c r="EC73" s="231" t="s">
        <v>73</v>
      </c>
      <c r="ED73" s="102" t="s">
        <v>4</v>
      </c>
      <c r="EE73" s="107" t="s">
        <v>59</v>
      </c>
      <c r="EF73" s="107" t="s">
        <v>73</v>
      </c>
      <c r="EG73" s="108" t="s">
        <v>4</v>
      </c>
      <c r="EH73" s="823"/>
      <c r="EI73" s="825"/>
      <c r="EK73" s="865"/>
      <c r="EL73" s="231" t="s">
        <v>59</v>
      </c>
      <c r="EM73" s="231" t="s">
        <v>73</v>
      </c>
      <c r="EN73" s="102" t="s">
        <v>4</v>
      </c>
      <c r="EO73" s="231" t="s">
        <v>59</v>
      </c>
      <c r="EP73" s="231" t="s">
        <v>73</v>
      </c>
      <c r="EQ73" s="102" t="s">
        <v>4</v>
      </c>
      <c r="ER73" s="231" t="s">
        <v>59</v>
      </c>
      <c r="ES73" s="231" t="s">
        <v>73</v>
      </c>
      <c r="ET73" s="102" t="s">
        <v>4</v>
      </c>
      <c r="EU73" s="231" t="s">
        <v>59</v>
      </c>
      <c r="EV73" s="231" t="s">
        <v>73</v>
      </c>
      <c r="EW73" s="102" t="s">
        <v>4</v>
      </c>
      <c r="EX73" s="107" t="s">
        <v>59</v>
      </c>
      <c r="EY73" s="107" t="s">
        <v>73</v>
      </c>
      <c r="EZ73" s="108" t="s">
        <v>4</v>
      </c>
      <c r="FA73" s="823"/>
      <c r="FB73" s="825"/>
      <c r="FD73" s="846"/>
      <c r="FE73" s="107" t="s">
        <v>59</v>
      </c>
      <c r="FF73" s="107" t="s">
        <v>73</v>
      </c>
      <c r="FG73" s="108" t="s">
        <v>4</v>
      </c>
      <c r="FH73" s="107" t="s">
        <v>59</v>
      </c>
      <c r="FI73" s="107" t="s">
        <v>73</v>
      </c>
      <c r="FJ73" s="108" t="s">
        <v>4</v>
      </c>
      <c r="FK73" s="107" t="s">
        <v>59</v>
      </c>
      <c r="FL73" s="107" t="s">
        <v>73</v>
      </c>
      <c r="FM73" s="108" t="s">
        <v>4</v>
      </c>
      <c r="FN73" s="107" t="s">
        <v>59</v>
      </c>
      <c r="FO73" s="107" t="s">
        <v>73</v>
      </c>
      <c r="FP73" s="108" t="s">
        <v>4</v>
      </c>
      <c r="FQ73" s="107" t="s">
        <v>59</v>
      </c>
      <c r="FR73" s="107" t="s">
        <v>73</v>
      </c>
      <c r="FS73" s="108" t="s">
        <v>4</v>
      </c>
      <c r="FT73" s="823"/>
      <c r="FU73" s="825"/>
      <c r="FW73" s="877"/>
      <c r="FX73" s="231" t="s">
        <v>59</v>
      </c>
      <c r="FY73" s="231" t="s">
        <v>73</v>
      </c>
      <c r="FZ73" s="102" t="s">
        <v>4</v>
      </c>
      <c r="GA73" s="231" t="s">
        <v>59</v>
      </c>
      <c r="GB73" s="231" t="s">
        <v>73</v>
      </c>
      <c r="GC73" s="102" t="s">
        <v>4</v>
      </c>
      <c r="GD73" s="107" t="s">
        <v>59</v>
      </c>
      <c r="GE73" s="107" t="s">
        <v>73</v>
      </c>
      <c r="GF73" s="108" t="s">
        <v>4</v>
      </c>
      <c r="GG73" s="107" t="s">
        <v>59</v>
      </c>
      <c r="GH73" s="107" t="s">
        <v>73</v>
      </c>
      <c r="GI73" s="108" t="s">
        <v>4</v>
      </c>
      <c r="GJ73" s="107" t="s">
        <v>59</v>
      </c>
      <c r="GK73" s="107" t="s">
        <v>73</v>
      </c>
      <c r="GL73" s="108" t="s">
        <v>4</v>
      </c>
      <c r="GM73" s="107" t="s">
        <v>59</v>
      </c>
      <c r="GN73" s="107" t="s">
        <v>73</v>
      </c>
      <c r="GO73" s="108" t="s">
        <v>4</v>
      </c>
      <c r="GP73" s="823"/>
      <c r="GQ73" s="825"/>
      <c r="GR73" s="118"/>
      <c r="GS73" s="871"/>
      <c r="GT73" s="107" t="s">
        <v>59</v>
      </c>
      <c r="GU73" s="107" t="s">
        <v>73</v>
      </c>
      <c r="GV73" s="108" t="s">
        <v>4</v>
      </c>
      <c r="GW73" s="107" t="s">
        <v>59</v>
      </c>
      <c r="GX73" s="107" t="s">
        <v>73</v>
      </c>
      <c r="GY73" s="108" t="s">
        <v>4</v>
      </c>
      <c r="GZ73" s="107" t="s">
        <v>59</v>
      </c>
      <c r="HA73" s="107" t="s">
        <v>73</v>
      </c>
      <c r="HB73" s="108" t="s">
        <v>4</v>
      </c>
      <c r="HC73" s="107" t="s">
        <v>59</v>
      </c>
      <c r="HD73" s="107" t="s">
        <v>73</v>
      </c>
      <c r="HE73" s="108" t="s">
        <v>4</v>
      </c>
      <c r="HF73" s="107" t="s">
        <v>59</v>
      </c>
      <c r="HG73" s="107" t="s">
        <v>73</v>
      </c>
      <c r="HH73" s="108" t="s">
        <v>4</v>
      </c>
      <c r="HI73" s="107" t="s">
        <v>59</v>
      </c>
      <c r="HJ73" s="107" t="s">
        <v>73</v>
      </c>
      <c r="HK73" s="108" t="s">
        <v>4</v>
      </c>
      <c r="HL73" s="823"/>
      <c r="HM73" s="825"/>
      <c r="HN73" s="118"/>
      <c r="HO73" s="846"/>
      <c r="HP73" s="231" t="s">
        <v>59</v>
      </c>
      <c r="HQ73" s="231" t="s">
        <v>73</v>
      </c>
      <c r="HR73" s="102" t="s">
        <v>4</v>
      </c>
      <c r="HS73" s="231" t="s">
        <v>59</v>
      </c>
      <c r="HT73" s="231" t="s">
        <v>73</v>
      </c>
      <c r="HU73" s="102" t="s">
        <v>4</v>
      </c>
      <c r="HV73" s="107" t="s">
        <v>59</v>
      </c>
      <c r="HW73" s="107" t="s">
        <v>73</v>
      </c>
      <c r="HX73" s="108" t="s">
        <v>4</v>
      </c>
      <c r="HY73" s="107" t="s">
        <v>59</v>
      </c>
      <c r="HZ73" s="107" t="s">
        <v>73</v>
      </c>
      <c r="IA73" s="108" t="s">
        <v>4</v>
      </c>
      <c r="IB73" s="107" t="s">
        <v>59</v>
      </c>
      <c r="IC73" s="107" t="s">
        <v>73</v>
      </c>
      <c r="ID73" s="108" t="s">
        <v>4</v>
      </c>
      <c r="IE73" s="107" t="s">
        <v>59</v>
      </c>
      <c r="IF73" s="107" t="s">
        <v>73</v>
      </c>
      <c r="IG73" s="108" t="s">
        <v>4</v>
      </c>
      <c r="IH73" s="823"/>
      <c r="II73" s="825"/>
      <c r="IK73" s="841"/>
      <c r="IL73" s="231" t="s">
        <v>59</v>
      </c>
      <c r="IM73" s="231" t="s">
        <v>73</v>
      </c>
      <c r="IN73" s="102" t="s">
        <v>4</v>
      </c>
      <c r="IO73" s="231" t="s">
        <v>59</v>
      </c>
      <c r="IP73" s="231" t="s">
        <v>73</v>
      </c>
      <c r="IQ73" s="102" t="s">
        <v>4</v>
      </c>
      <c r="IR73" s="231" t="s">
        <v>59</v>
      </c>
      <c r="IS73" s="231" t="s">
        <v>73</v>
      </c>
      <c r="IT73" s="102" t="s">
        <v>4</v>
      </c>
      <c r="IU73" s="231" t="s">
        <v>59</v>
      </c>
      <c r="IV73" s="231" t="s">
        <v>73</v>
      </c>
      <c r="IW73" s="102" t="s">
        <v>4</v>
      </c>
      <c r="IX73" s="231" t="s">
        <v>59</v>
      </c>
      <c r="IY73" s="231" t="s">
        <v>73</v>
      </c>
      <c r="IZ73" s="102" t="s">
        <v>4</v>
      </c>
      <c r="JA73" s="231" t="s">
        <v>59</v>
      </c>
      <c r="JB73" s="231" t="s">
        <v>73</v>
      </c>
      <c r="JC73" s="102" t="s">
        <v>4</v>
      </c>
      <c r="JD73" s="948"/>
      <c r="JE73" s="823"/>
      <c r="JF73" s="825"/>
    </row>
    <row r="74" spans="27:268" ht="15">
      <c r="AA74" s="872"/>
      <c r="AB74" s="229">
        <v>4</v>
      </c>
      <c r="AC74" s="229">
        <v>8</v>
      </c>
      <c r="AD74" s="229">
        <f>((12.5*3)+(15*1))/4</f>
        <v>13.125</v>
      </c>
      <c r="AE74" s="229">
        <v>4</v>
      </c>
      <c r="AF74" s="229">
        <v>8</v>
      </c>
      <c r="AG74" s="229">
        <f>((6.8*1)+(9.1*3))/4</f>
        <v>8.5249999999999986</v>
      </c>
      <c r="AH74" s="229">
        <v>4</v>
      </c>
      <c r="AI74" s="229">
        <v>8</v>
      </c>
      <c r="AJ74" s="229">
        <f>((6.8*1)+(9.1*3))/4</f>
        <v>8.5249999999999986</v>
      </c>
      <c r="AK74" s="229">
        <v>4</v>
      </c>
      <c r="AL74" s="229">
        <v>4</v>
      </c>
      <c r="AM74" s="229">
        <v>15</v>
      </c>
      <c r="AN74" s="233"/>
      <c r="AO74" s="233"/>
      <c r="AP74" s="233"/>
      <c r="AQ74" s="229">
        <f t="shared" ref="AQ74" si="294">(AB74*AC74*AD74)+(AE74*AF74*AG74)+(AH74*AI74*AJ74)+(AK74*AL74*AM74)+(AN74*AO74*AP74)</f>
        <v>1205.5999999999999</v>
      </c>
      <c r="AR74" s="826"/>
      <c r="AT74" s="872"/>
      <c r="AU74" s="229">
        <v>4</v>
      </c>
      <c r="AV74" s="229">
        <f>(10+9)/2</f>
        <v>9.5</v>
      </c>
      <c r="AW74" s="229">
        <f>((27.2*1)+(40.8*1)+(49.9*2))/4</f>
        <v>41.95</v>
      </c>
      <c r="AX74" s="229">
        <v>4</v>
      </c>
      <c r="AY74" s="229">
        <v>8</v>
      </c>
      <c r="AZ74" s="229">
        <v>12.5</v>
      </c>
      <c r="BA74" s="229">
        <v>4</v>
      </c>
      <c r="BB74" s="229">
        <v>8</v>
      </c>
      <c r="BC74" s="229">
        <f>((20.4*2)+(22.7*2))/4</f>
        <v>21.549999999999997</v>
      </c>
      <c r="BD74" s="229">
        <v>4</v>
      </c>
      <c r="BE74" s="229">
        <f>(4+5)/2</f>
        <v>4.5</v>
      </c>
      <c r="BF74" s="229">
        <f>((17.5*2)+(15*2))/4</f>
        <v>16.25</v>
      </c>
      <c r="BG74" s="229">
        <v>4</v>
      </c>
      <c r="BH74" s="229">
        <v>8</v>
      </c>
      <c r="BI74" s="229">
        <f>((13.6*2)+(15.9*2))/4</f>
        <v>14.75</v>
      </c>
      <c r="BJ74" s="229">
        <f t="shared" ref="BJ74" si="295">(AU74*AV74*AW74)+(AX74*AY74*AZ74)+(BA74*BB74*BC74)+(BD74*BE74*BF74)+(BG74*BH74*BI74)</f>
        <v>3448.2</v>
      </c>
      <c r="BK74" s="826"/>
      <c r="BL74" s="118"/>
      <c r="BM74" s="875"/>
      <c r="BN74" s="229">
        <v>1</v>
      </c>
      <c r="BO74" s="229">
        <v>30</v>
      </c>
      <c r="BP74" s="229">
        <f>CD72</f>
        <v>86</v>
      </c>
      <c r="BQ74" s="233"/>
      <c r="BR74" s="233"/>
      <c r="BS74" s="233"/>
      <c r="BT74" s="233"/>
      <c r="BU74" s="233"/>
      <c r="BV74" s="233"/>
      <c r="BW74" s="233"/>
      <c r="BX74" s="233"/>
      <c r="BY74" s="233"/>
      <c r="BZ74" s="233"/>
      <c r="CA74" s="233"/>
      <c r="CB74" s="233"/>
      <c r="CC74" s="229">
        <f t="shared" ref="CC74" si="296">(BN74*BO74*BP74)+(BQ74*BR74*BS74)+(BT74*BU74*BV74)+(BW74*BX74*BY74)+(BZ74*CA74*CB74)</f>
        <v>2580</v>
      </c>
      <c r="CD74" s="826"/>
      <c r="CF74" s="842"/>
      <c r="CG74" s="233"/>
      <c r="CH74" s="233"/>
      <c r="CI74" s="233"/>
      <c r="CJ74" s="233"/>
      <c r="CK74" s="233"/>
      <c r="CL74" s="233"/>
      <c r="CM74" s="233"/>
      <c r="CN74" s="233"/>
      <c r="CO74" s="233"/>
      <c r="CP74" s="233"/>
      <c r="CQ74" s="233"/>
      <c r="CR74" s="233"/>
      <c r="CS74" s="233"/>
      <c r="CT74" s="233"/>
      <c r="CU74" s="233"/>
      <c r="CV74" s="229">
        <f t="shared" ref="CV74" si="297">(CG74*CH74*CI74)+(CJ74*CK74*CL74)+(CM74*CN74*CO74)+(CP74*CQ74*CR74)+(CS74*CT74*CU74)</f>
        <v>0</v>
      </c>
      <c r="CW74" s="826"/>
      <c r="CX74" s="118"/>
      <c r="CY74" s="858"/>
      <c r="CZ74" s="233"/>
      <c r="DA74" s="233"/>
      <c r="DB74" s="233"/>
      <c r="DC74" s="233"/>
      <c r="DD74" s="233"/>
      <c r="DE74" s="233"/>
      <c r="DF74" s="233"/>
      <c r="DG74" s="233"/>
      <c r="DH74" s="233"/>
      <c r="DI74" s="233"/>
      <c r="DJ74" s="233"/>
      <c r="DK74" s="233"/>
      <c r="DL74" s="233"/>
      <c r="DM74" s="233"/>
      <c r="DN74" s="233"/>
      <c r="DO74" s="229">
        <f t="shared" ref="DO74" si="298">(CZ74*DA74*DB74)+(DC74*DD74*DE74)+(DF74*DG74*DH74)+(DI74*DJ74*DK74)+(DL74*DM74*DN74)</f>
        <v>0</v>
      </c>
      <c r="DP74" s="826"/>
      <c r="DR74" s="875"/>
      <c r="DS74" s="229">
        <v>3</v>
      </c>
      <c r="DT74" s="126">
        <f>((8*1)+(10*2))/3</f>
        <v>9.3333333333333339</v>
      </c>
      <c r="DU74" s="229">
        <v>13.6</v>
      </c>
      <c r="DV74" s="229">
        <v>3</v>
      </c>
      <c r="DW74" s="229">
        <v>8</v>
      </c>
      <c r="DX74" s="126">
        <v>20</v>
      </c>
      <c r="DY74" s="229">
        <v>3</v>
      </c>
      <c r="DZ74" s="229">
        <v>6</v>
      </c>
      <c r="EA74" s="126">
        <v>7.5</v>
      </c>
      <c r="EB74" s="229">
        <v>3</v>
      </c>
      <c r="EC74" s="229">
        <v>12</v>
      </c>
      <c r="ED74" s="229">
        <v>7.5</v>
      </c>
      <c r="EE74" s="233"/>
      <c r="EF74" s="233"/>
      <c r="EG74" s="233"/>
      <c r="EH74" s="229">
        <f t="shared" ref="EH74" si="299">(DS74*DT74*DU74)+(DV74*DW74*DX74)+(DY74*DZ74*EA74)+(EB74*EC74*ED74)+(EE74*EF74*EG74)</f>
        <v>1265.8</v>
      </c>
      <c r="EI74" s="826"/>
      <c r="EK74" s="866"/>
      <c r="EL74" s="229">
        <v>4</v>
      </c>
      <c r="EM74" s="229">
        <v>12</v>
      </c>
      <c r="EN74" s="229">
        <f>((32*1)+(54*3))/4</f>
        <v>48.5</v>
      </c>
      <c r="EO74" s="229">
        <v>3</v>
      </c>
      <c r="EP74" s="126">
        <f>((12*1)+(10*2))/3</f>
        <v>10.666666666666666</v>
      </c>
      <c r="EQ74" s="229">
        <v>10</v>
      </c>
      <c r="ER74" s="229">
        <v>3</v>
      </c>
      <c r="ES74" s="126">
        <v>12</v>
      </c>
      <c r="ET74" s="229">
        <v>20</v>
      </c>
      <c r="EU74" s="229">
        <v>3</v>
      </c>
      <c r="EV74" s="229">
        <v>24</v>
      </c>
      <c r="EW74" s="229">
        <f>(1/3)*$FB72</f>
        <v>26.033333333333331</v>
      </c>
      <c r="EX74" s="233"/>
      <c r="EY74" s="233"/>
      <c r="EZ74" s="233"/>
      <c r="FA74" s="229">
        <f t="shared" ref="FA74" si="300">(EL74*EM74*EN74)+(EO74*EP74*EQ74)+(ER74*ES74*ET74)+(EU74*EV74*EW74)+(EX74*EY74*EZ74)</f>
        <v>5242.3999999999996</v>
      </c>
      <c r="FB74" s="826"/>
      <c r="FD74" s="847"/>
      <c r="FE74" s="233"/>
      <c r="FF74" s="233"/>
      <c r="FG74" s="233"/>
      <c r="FH74" s="233"/>
      <c r="FI74" s="233"/>
      <c r="FJ74" s="233"/>
      <c r="FK74" s="233"/>
      <c r="FL74" s="233"/>
      <c r="FM74" s="233"/>
      <c r="FN74" s="233"/>
      <c r="FO74" s="233"/>
      <c r="FP74" s="233"/>
      <c r="FQ74" s="233"/>
      <c r="FR74" s="233"/>
      <c r="FS74" s="233"/>
      <c r="FT74" s="229">
        <f t="shared" ref="FT74" si="301">(FE74*FF74*FG74)+(FH74*FI74*FJ74)+(FK74*FL74*FM74)+(FN74*FO74*FP74)+(FQ74*FR74*FS74)</f>
        <v>0</v>
      </c>
      <c r="FU74" s="826"/>
      <c r="FW74" s="878"/>
      <c r="FX74" s="229">
        <v>2</v>
      </c>
      <c r="FY74" s="229">
        <f>((8*2)+(10*1))/3</f>
        <v>8.6666666666666661</v>
      </c>
      <c r="FZ74" s="229">
        <v>17.5</v>
      </c>
      <c r="GA74" s="229">
        <v>3</v>
      </c>
      <c r="GB74" s="229">
        <v>34</v>
      </c>
      <c r="GC74" s="229">
        <f>GQ72*(1/3)</f>
        <v>26.3</v>
      </c>
      <c r="GD74" s="233"/>
      <c r="GE74" s="233"/>
      <c r="GF74" s="233"/>
      <c r="GG74" s="233"/>
      <c r="GH74" s="233"/>
      <c r="GI74" s="233"/>
      <c r="GJ74" s="233"/>
      <c r="GK74" s="233"/>
      <c r="GL74" s="233"/>
      <c r="GM74" s="233"/>
      <c r="GN74" s="233"/>
      <c r="GO74" s="233"/>
      <c r="GP74" s="229">
        <f>(FX74*FY74*FZ74)+(GA74*GB74*GC74)+(GD74*GE74*GF74)+(GG74*GH74*GI74)+(GJ74*GK74*GL74)+(GM74*GN74*GO74)</f>
        <v>2985.9333333333334</v>
      </c>
      <c r="GQ74" s="826"/>
      <c r="GR74" s="118"/>
      <c r="GS74" s="872"/>
      <c r="GT74" s="233"/>
      <c r="GU74" s="233"/>
      <c r="GV74" s="233"/>
      <c r="GW74" s="233"/>
      <c r="GX74" s="233"/>
      <c r="GY74" s="233"/>
      <c r="GZ74" s="233"/>
      <c r="HA74" s="233"/>
      <c r="HB74" s="233"/>
      <c r="HC74" s="233"/>
      <c r="HD74" s="233"/>
      <c r="HE74" s="233"/>
      <c r="HF74" s="233"/>
      <c r="HG74" s="233"/>
      <c r="HH74" s="233"/>
      <c r="HI74" s="233"/>
      <c r="HJ74" s="233"/>
      <c r="HK74" s="233"/>
      <c r="HL74" s="229">
        <f>(GT74*GU74*GV74)+(GW74*GX74*GY74)+(GZ74*HA74*HB74)+(HC74*HD74*HE74)+(HF74*HG74*HH74)+(HI74*HJ74*HK74)</f>
        <v>0</v>
      </c>
      <c r="HM74" s="826"/>
      <c r="HN74" s="118"/>
      <c r="HO74" s="847"/>
      <c r="HP74" s="229">
        <v>3</v>
      </c>
      <c r="HQ74" s="229">
        <v>8</v>
      </c>
      <c r="HR74" s="229">
        <v>59</v>
      </c>
      <c r="HS74" s="229">
        <v>3</v>
      </c>
      <c r="HT74" s="229">
        <f>((10*2)+(12*1))/3</f>
        <v>10.666666666666666</v>
      </c>
      <c r="HU74" s="229">
        <v>7.5</v>
      </c>
      <c r="HV74" s="233"/>
      <c r="HW74" s="233"/>
      <c r="HX74" s="233"/>
      <c r="HY74" s="233"/>
      <c r="HZ74" s="233"/>
      <c r="IA74" s="233"/>
      <c r="IB74" s="233"/>
      <c r="IC74" s="233"/>
      <c r="ID74" s="233"/>
      <c r="IE74" s="233"/>
      <c r="IF74" s="233"/>
      <c r="IG74" s="233"/>
      <c r="IH74" s="229">
        <f>(HP74*HQ74*HR74)+(HS74*HT74*HU74)+(HV74*HW74*HX74)+(HY74*HZ74*IA74)+(IB74*IC74*ID74)+(IE74*IF74*IG74)</f>
        <v>1656</v>
      </c>
      <c r="II74" s="826"/>
      <c r="IK74" s="842"/>
      <c r="IL74" s="229"/>
      <c r="IM74" s="229"/>
      <c r="IN74" s="229"/>
      <c r="IO74" s="229"/>
      <c r="IP74" s="229"/>
      <c r="IQ74" s="229"/>
      <c r="IR74" s="229"/>
      <c r="IS74" s="229"/>
      <c r="IT74" s="229"/>
      <c r="IU74" s="229"/>
      <c r="IV74" s="229"/>
      <c r="IW74" s="229"/>
      <c r="IX74" s="229"/>
      <c r="IY74" s="229"/>
      <c r="IZ74" s="229"/>
      <c r="JA74" s="229"/>
      <c r="JB74" s="229"/>
      <c r="JC74" s="229"/>
      <c r="JD74" s="949"/>
      <c r="JE74" s="229">
        <f>(IL74*IM74*IN74)+(IO74*IP74*IQ74)+(IR74*IS74*IT74)+(IU74*IV74*IW74)+(IX74*IY74*IZ74)+(JA74*JB74*JC74)</f>
        <v>0</v>
      </c>
      <c r="JF74" s="826"/>
    </row>
    <row r="75" spans="27:268" ht="15">
      <c r="AA75" s="856">
        <v>45713</v>
      </c>
      <c r="AB75" s="859"/>
      <c r="AC75" s="859"/>
      <c r="AD75" s="859"/>
      <c r="AE75" s="860"/>
      <c r="AF75" s="860"/>
      <c r="AG75" s="860"/>
      <c r="AH75" s="843"/>
      <c r="AI75" s="843"/>
      <c r="AJ75" s="843"/>
      <c r="AK75" s="834"/>
      <c r="AL75" s="835"/>
      <c r="AM75" s="836"/>
      <c r="AN75" s="844"/>
      <c r="AO75" s="844"/>
      <c r="AP75" s="844"/>
      <c r="AQ75" s="823">
        <f t="shared" ref="AQ75" si="302">COUNTA(AB75:AP75)</f>
        <v>0</v>
      </c>
      <c r="AR75" s="824">
        <f>AR72</f>
        <v>93</v>
      </c>
      <c r="AT75" s="856">
        <v>45741</v>
      </c>
      <c r="AU75" s="849" t="s">
        <v>70</v>
      </c>
      <c r="AV75" s="849"/>
      <c r="AW75" s="849"/>
      <c r="AX75" s="860"/>
      <c r="AY75" s="860"/>
      <c r="AZ75" s="860"/>
      <c r="BA75" s="843"/>
      <c r="BB75" s="843"/>
      <c r="BC75" s="843"/>
      <c r="BD75" s="834"/>
      <c r="BE75" s="835"/>
      <c r="BF75" s="836"/>
      <c r="BG75" s="844"/>
      <c r="BH75" s="844"/>
      <c r="BI75" s="844"/>
      <c r="BJ75" s="823">
        <f t="shared" ref="BJ75" si="303">COUNTA(AU75:BI75)</f>
        <v>1</v>
      </c>
      <c r="BK75" s="824">
        <v>88.5</v>
      </c>
      <c r="BL75" s="118"/>
      <c r="BM75" s="876">
        <v>45772</v>
      </c>
      <c r="BN75" s="859"/>
      <c r="BO75" s="859"/>
      <c r="BP75" s="859"/>
      <c r="BQ75" s="859"/>
      <c r="BR75" s="859"/>
      <c r="BS75" s="859"/>
      <c r="BT75" s="844"/>
      <c r="BU75" s="844"/>
      <c r="BV75" s="844"/>
      <c r="BW75" s="844"/>
      <c r="BX75" s="844"/>
      <c r="BY75" s="844"/>
      <c r="BZ75" s="844"/>
      <c r="CA75" s="844"/>
      <c r="CB75" s="844"/>
      <c r="CC75" s="823">
        <f t="shared" ref="CC75" si="304">COUNTA(BN75:CB75)</f>
        <v>0</v>
      </c>
      <c r="CD75" s="824">
        <f>CD72</f>
        <v>86</v>
      </c>
      <c r="CF75" s="864">
        <v>45802</v>
      </c>
      <c r="CG75" s="859"/>
      <c r="CH75" s="859"/>
      <c r="CI75" s="859"/>
      <c r="CJ75" s="859"/>
      <c r="CK75" s="859"/>
      <c r="CL75" s="859"/>
      <c r="CM75" s="844"/>
      <c r="CN75" s="844"/>
      <c r="CO75" s="844"/>
      <c r="CP75" s="844"/>
      <c r="CQ75" s="844"/>
      <c r="CR75" s="844"/>
      <c r="CS75" s="844"/>
      <c r="CT75" s="844"/>
      <c r="CU75" s="844"/>
      <c r="CV75" s="823">
        <f t="shared" ref="CV75" si="305">COUNTA(CG75:CU75)</f>
        <v>0</v>
      </c>
      <c r="CW75" s="824">
        <f>CW72</f>
        <v>83.8</v>
      </c>
      <c r="CX75" s="118"/>
      <c r="CY75" s="845">
        <v>45833</v>
      </c>
      <c r="CZ75" s="849" t="s">
        <v>70</v>
      </c>
      <c r="DA75" s="849"/>
      <c r="DB75" s="849"/>
      <c r="DC75" s="844"/>
      <c r="DD75" s="844"/>
      <c r="DE75" s="844"/>
      <c r="DF75" s="844"/>
      <c r="DG75" s="844"/>
      <c r="DH75" s="844"/>
      <c r="DI75" s="844"/>
      <c r="DJ75" s="844"/>
      <c r="DK75" s="844"/>
      <c r="DL75" s="844"/>
      <c r="DM75" s="844"/>
      <c r="DN75" s="844"/>
      <c r="DO75" s="823">
        <f t="shared" ref="DO75" si="306">COUNTA(CZ75:DN75)</f>
        <v>1</v>
      </c>
      <c r="DP75" s="824">
        <v>82.2</v>
      </c>
      <c r="DR75" s="876">
        <v>45863</v>
      </c>
      <c r="DS75" s="848" t="s">
        <v>68</v>
      </c>
      <c r="DT75" s="848"/>
      <c r="DU75" s="848"/>
      <c r="DV75" s="890" t="s">
        <v>71</v>
      </c>
      <c r="DW75" s="890"/>
      <c r="DX75" s="890"/>
      <c r="DY75" s="882" t="s">
        <v>111</v>
      </c>
      <c r="DZ75" s="883"/>
      <c r="EA75" s="884"/>
      <c r="EB75" s="834"/>
      <c r="EC75" s="835"/>
      <c r="ED75" s="836"/>
      <c r="EE75" s="844"/>
      <c r="EF75" s="844"/>
      <c r="EG75" s="844"/>
      <c r="EH75" s="823">
        <f t="shared" ref="EH75" si="307">COUNTA(DS75:EG75)</f>
        <v>3</v>
      </c>
      <c r="EI75" s="824">
        <v>81.099999999999994</v>
      </c>
      <c r="EK75" s="870">
        <v>45894</v>
      </c>
      <c r="EL75" s="859"/>
      <c r="EM75" s="859"/>
      <c r="EN75" s="859"/>
      <c r="EO75" s="859"/>
      <c r="EP75" s="859"/>
      <c r="EQ75" s="859"/>
      <c r="ER75" s="844"/>
      <c r="ES75" s="844"/>
      <c r="ET75" s="844"/>
      <c r="EU75" s="844"/>
      <c r="EV75" s="844"/>
      <c r="EW75" s="844"/>
      <c r="EX75" s="844"/>
      <c r="EY75" s="844"/>
      <c r="EZ75" s="844"/>
      <c r="FA75" s="823">
        <f t="shared" ref="FA75" si="308">COUNTA(EL75:EZ75)</f>
        <v>0</v>
      </c>
      <c r="FB75" s="824">
        <f>FB72</f>
        <v>78.099999999999994</v>
      </c>
      <c r="FD75" s="873">
        <v>45925</v>
      </c>
      <c r="FE75" s="859"/>
      <c r="FF75" s="859"/>
      <c r="FG75" s="859"/>
      <c r="FH75" s="859"/>
      <c r="FI75" s="859"/>
      <c r="FJ75" s="859"/>
      <c r="FK75" s="844"/>
      <c r="FL75" s="844"/>
      <c r="FM75" s="844"/>
      <c r="FN75" s="844"/>
      <c r="FO75" s="844"/>
      <c r="FP75" s="844"/>
      <c r="FQ75" s="844"/>
      <c r="FR75" s="844"/>
      <c r="FS75" s="844"/>
      <c r="FT75" s="823">
        <f t="shared" ref="FT75" si="309">COUNTA(FE75:FS75)</f>
        <v>0</v>
      </c>
      <c r="FU75" s="824">
        <f t="shared" ref="FU75" si="310">FU72</f>
        <v>79.5</v>
      </c>
      <c r="FW75" s="840">
        <v>45955</v>
      </c>
      <c r="FX75" s="859"/>
      <c r="FY75" s="859"/>
      <c r="FZ75" s="859"/>
      <c r="GA75" s="860"/>
      <c r="GB75" s="860"/>
      <c r="GC75" s="860"/>
      <c r="GD75" s="859"/>
      <c r="GE75" s="859"/>
      <c r="GF75" s="859"/>
      <c r="GG75" s="859"/>
      <c r="GH75" s="859"/>
      <c r="GI75" s="859"/>
      <c r="GJ75" s="844"/>
      <c r="GK75" s="844"/>
      <c r="GL75" s="844"/>
      <c r="GM75" s="844"/>
      <c r="GN75" s="844"/>
      <c r="GO75" s="844"/>
      <c r="GP75" s="823">
        <f>COUNTA(FX75:GO75)</f>
        <v>0</v>
      </c>
      <c r="GQ75" s="824">
        <f>GQ72</f>
        <v>78.900000000000006</v>
      </c>
      <c r="GR75" s="118"/>
      <c r="GS75" s="856">
        <v>45986</v>
      </c>
      <c r="GT75" s="879" t="s">
        <v>78</v>
      </c>
      <c r="GU75" s="880"/>
      <c r="GV75" s="881"/>
      <c r="GW75" s="882" t="s">
        <v>85</v>
      </c>
      <c r="GX75" s="883"/>
      <c r="GY75" s="884"/>
      <c r="GZ75" s="882" t="s">
        <v>123</v>
      </c>
      <c r="HA75" s="883"/>
      <c r="HB75" s="884"/>
      <c r="HC75" s="867"/>
      <c r="HD75" s="868"/>
      <c r="HE75" s="869"/>
      <c r="HF75" s="834"/>
      <c r="HG75" s="835"/>
      <c r="HH75" s="836"/>
      <c r="HI75" s="834"/>
      <c r="HJ75" s="835"/>
      <c r="HK75" s="836"/>
      <c r="HL75" s="823">
        <f>COUNTA(GT75:HK75)</f>
        <v>3</v>
      </c>
      <c r="HM75" s="824">
        <v>78.099999999999994</v>
      </c>
      <c r="HN75" s="118"/>
      <c r="HO75" s="873">
        <v>46016</v>
      </c>
      <c r="HP75" s="867"/>
      <c r="HQ75" s="868"/>
      <c r="HR75" s="869"/>
      <c r="HS75" s="834"/>
      <c r="HT75" s="835"/>
      <c r="HU75" s="836"/>
      <c r="HV75" s="834"/>
      <c r="HW75" s="835"/>
      <c r="HX75" s="836"/>
      <c r="HY75" s="843"/>
      <c r="HZ75" s="843"/>
      <c r="IA75" s="843"/>
      <c r="IB75" s="844"/>
      <c r="IC75" s="844"/>
      <c r="ID75" s="844"/>
      <c r="IE75" s="834"/>
      <c r="IF75" s="835"/>
      <c r="IG75" s="836"/>
      <c r="IH75" s="823">
        <f>COUNTA(HP75:IG75)</f>
        <v>0</v>
      </c>
      <c r="II75" s="824">
        <f>II72</f>
        <v>76.900000000000006</v>
      </c>
      <c r="IK75" s="864">
        <v>46047</v>
      </c>
      <c r="IL75" s="848"/>
      <c r="IM75" s="848"/>
      <c r="IN75" s="848"/>
      <c r="IO75" s="848"/>
      <c r="IP75" s="848"/>
      <c r="IQ75" s="848"/>
      <c r="IR75" s="848"/>
      <c r="IS75" s="848"/>
      <c r="IT75" s="848"/>
      <c r="IU75" s="848"/>
      <c r="IV75" s="848"/>
      <c r="IW75" s="848"/>
      <c r="IX75" s="882"/>
      <c r="IY75" s="883"/>
      <c r="IZ75" s="884"/>
      <c r="JA75" s="882"/>
      <c r="JB75" s="883"/>
      <c r="JC75" s="884"/>
      <c r="JD75" s="232" t="s">
        <v>425</v>
      </c>
      <c r="JE75" s="823">
        <f>COUNTA(IL75:JC75)</f>
        <v>0</v>
      </c>
      <c r="JF75" s="824"/>
    </row>
    <row r="76" spans="27:268" ht="15">
      <c r="AA76" s="857"/>
      <c r="AB76" s="107" t="s">
        <v>59</v>
      </c>
      <c r="AC76" s="107" t="s">
        <v>73</v>
      </c>
      <c r="AD76" s="108" t="s">
        <v>4</v>
      </c>
      <c r="AE76" s="107" t="s">
        <v>59</v>
      </c>
      <c r="AF76" s="107" t="s">
        <v>73</v>
      </c>
      <c r="AG76" s="108" t="s">
        <v>4</v>
      </c>
      <c r="AH76" s="107" t="s">
        <v>59</v>
      </c>
      <c r="AI76" s="107" t="s">
        <v>73</v>
      </c>
      <c r="AJ76" s="108" t="s">
        <v>4</v>
      </c>
      <c r="AK76" s="107" t="s">
        <v>59</v>
      </c>
      <c r="AL76" s="107" t="s">
        <v>73</v>
      </c>
      <c r="AM76" s="108" t="s">
        <v>4</v>
      </c>
      <c r="AN76" s="107" t="s">
        <v>59</v>
      </c>
      <c r="AO76" s="107" t="s">
        <v>73</v>
      </c>
      <c r="AP76" s="108" t="s">
        <v>4</v>
      </c>
      <c r="AQ76" s="823"/>
      <c r="AR76" s="825"/>
      <c r="AT76" s="857"/>
      <c r="AU76" s="231" t="s">
        <v>59</v>
      </c>
      <c r="AV76" s="231" t="s">
        <v>73</v>
      </c>
      <c r="AW76" s="102" t="s">
        <v>4</v>
      </c>
      <c r="AX76" s="107" t="s">
        <v>59</v>
      </c>
      <c r="AY76" s="107" t="s">
        <v>73</v>
      </c>
      <c r="AZ76" s="108" t="s">
        <v>4</v>
      </c>
      <c r="BA76" s="107" t="s">
        <v>59</v>
      </c>
      <c r="BB76" s="107" t="s">
        <v>73</v>
      </c>
      <c r="BC76" s="108" t="s">
        <v>4</v>
      </c>
      <c r="BD76" s="107" t="s">
        <v>59</v>
      </c>
      <c r="BE76" s="107" t="s">
        <v>73</v>
      </c>
      <c r="BF76" s="108" t="s">
        <v>4</v>
      </c>
      <c r="BG76" s="107" t="s">
        <v>59</v>
      </c>
      <c r="BH76" s="107" t="s">
        <v>73</v>
      </c>
      <c r="BI76" s="108" t="s">
        <v>4</v>
      </c>
      <c r="BJ76" s="823"/>
      <c r="BK76" s="825"/>
      <c r="BL76" s="118"/>
      <c r="BM76" s="877"/>
      <c r="BN76" s="107" t="s">
        <v>59</v>
      </c>
      <c r="BO76" s="107" t="s">
        <v>73</v>
      </c>
      <c r="BP76" s="108" t="s">
        <v>4</v>
      </c>
      <c r="BQ76" s="107" t="s">
        <v>59</v>
      </c>
      <c r="BR76" s="107" t="s">
        <v>73</v>
      </c>
      <c r="BS76" s="108" t="s">
        <v>4</v>
      </c>
      <c r="BT76" s="107" t="s">
        <v>59</v>
      </c>
      <c r="BU76" s="107" t="s">
        <v>73</v>
      </c>
      <c r="BV76" s="108" t="s">
        <v>4</v>
      </c>
      <c r="BW76" s="107" t="s">
        <v>59</v>
      </c>
      <c r="BX76" s="107" t="s">
        <v>73</v>
      </c>
      <c r="BY76" s="108" t="s">
        <v>4</v>
      </c>
      <c r="BZ76" s="107" t="s">
        <v>59</v>
      </c>
      <c r="CA76" s="107" t="s">
        <v>73</v>
      </c>
      <c r="CB76" s="108" t="s">
        <v>4</v>
      </c>
      <c r="CC76" s="823"/>
      <c r="CD76" s="825"/>
      <c r="CF76" s="865"/>
      <c r="CG76" s="107" t="s">
        <v>59</v>
      </c>
      <c r="CH76" s="107" t="s">
        <v>73</v>
      </c>
      <c r="CI76" s="108" t="s">
        <v>4</v>
      </c>
      <c r="CJ76" s="107" t="s">
        <v>59</v>
      </c>
      <c r="CK76" s="107" t="s">
        <v>73</v>
      </c>
      <c r="CL76" s="108" t="s">
        <v>4</v>
      </c>
      <c r="CM76" s="107" t="s">
        <v>59</v>
      </c>
      <c r="CN76" s="107" t="s">
        <v>73</v>
      </c>
      <c r="CO76" s="108" t="s">
        <v>4</v>
      </c>
      <c r="CP76" s="107" t="s">
        <v>59</v>
      </c>
      <c r="CQ76" s="107" t="s">
        <v>73</v>
      </c>
      <c r="CR76" s="108" t="s">
        <v>4</v>
      </c>
      <c r="CS76" s="107" t="s">
        <v>59</v>
      </c>
      <c r="CT76" s="107" t="s">
        <v>73</v>
      </c>
      <c r="CU76" s="108" t="s">
        <v>4</v>
      </c>
      <c r="CV76" s="823"/>
      <c r="CW76" s="825"/>
      <c r="CX76" s="118"/>
      <c r="CY76" s="846"/>
      <c r="CZ76" s="231" t="s">
        <v>59</v>
      </c>
      <c r="DA76" s="231" t="s">
        <v>73</v>
      </c>
      <c r="DB76" s="102" t="s">
        <v>4</v>
      </c>
      <c r="DC76" s="107" t="s">
        <v>59</v>
      </c>
      <c r="DD76" s="107" t="s">
        <v>73</v>
      </c>
      <c r="DE76" s="108" t="s">
        <v>4</v>
      </c>
      <c r="DF76" s="107" t="s">
        <v>59</v>
      </c>
      <c r="DG76" s="107" t="s">
        <v>73</v>
      </c>
      <c r="DH76" s="108" t="s">
        <v>4</v>
      </c>
      <c r="DI76" s="107" t="s">
        <v>59</v>
      </c>
      <c r="DJ76" s="107" t="s">
        <v>73</v>
      </c>
      <c r="DK76" s="108" t="s">
        <v>4</v>
      </c>
      <c r="DL76" s="107" t="s">
        <v>59</v>
      </c>
      <c r="DM76" s="107" t="s">
        <v>73</v>
      </c>
      <c r="DN76" s="108" t="s">
        <v>4</v>
      </c>
      <c r="DO76" s="823"/>
      <c r="DP76" s="825"/>
      <c r="DR76" s="877"/>
      <c r="DS76" s="231" t="s">
        <v>59</v>
      </c>
      <c r="DT76" s="231" t="s">
        <v>73</v>
      </c>
      <c r="DU76" s="102" t="s">
        <v>4</v>
      </c>
      <c r="DV76" s="231" t="s">
        <v>59</v>
      </c>
      <c r="DW76" s="231" t="s">
        <v>73</v>
      </c>
      <c r="DX76" s="102" t="s">
        <v>4</v>
      </c>
      <c r="DY76" s="231" t="s">
        <v>59</v>
      </c>
      <c r="DZ76" s="231" t="s">
        <v>73</v>
      </c>
      <c r="EA76" s="102" t="s">
        <v>4</v>
      </c>
      <c r="EB76" s="107" t="s">
        <v>59</v>
      </c>
      <c r="EC76" s="107" t="s">
        <v>73</v>
      </c>
      <c r="ED76" s="108" t="s">
        <v>4</v>
      </c>
      <c r="EE76" s="107" t="s">
        <v>59</v>
      </c>
      <c r="EF76" s="107" t="s">
        <v>73</v>
      </c>
      <c r="EG76" s="108" t="s">
        <v>4</v>
      </c>
      <c r="EH76" s="823"/>
      <c r="EI76" s="825"/>
      <c r="EK76" s="871"/>
      <c r="EL76" s="107" t="s">
        <v>59</v>
      </c>
      <c r="EM76" s="107" t="s">
        <v>73</v>
      </c>
      <c r="EN76" s="108" t="s">
        <v>4</v>
      </c>
      <c r="EO76" s="107" t="s">
        <v>59</v>
      </c>
      <c r="EP76" s="107" t="s">
        <v>73</v>
      </c>
      <c r="EQ76" s="108" t="s">
        <v>4</v>
      </c>
      <c r="ER76" s="107" t="s">
        <v>59</v>
      </c>
      <c r="ES76" s="107" t="s">
        <v>73</v>
      </c>
      <c r="ET76" s="108" t="s">
        <v>4</v>
      </c>
      <c r="EU76" s="107" t="s">
        <v>59</v>
      </c>
      <c r="EV76" s="107" t="s">
        <v>73</v>
      </c>
      <c r="EW76" s="108" t="s">
        <v>4</v>
      </c>
      <c r="EX76" s="107" t="s">
        <v>59</v>
      </c>
      <c r="EY76" s="107" t="s">
        <v>73</v>
      </c>
      <c r="EZ76" s="108" t="s">
        <v>4</v>
      </c>
      <c r="FA76" s="823"/>
      <c r="FB76" s="825"/>
      <c r="FD76" s="874"/>
      <c r="FE76" s="107" t="s">
        <v>59</v>
      </c>
      <c r="FF76" s="107" t="s">
        <v>73</v>
      </c>
      <c r="FG76" s="108" t="s">
        <v>4</v>
      </c>
      <c r="FH76" s="107" t="s">
        <v>59</v>
      </c>
      <c r="FI76" s="107" t="s">
        <v>73</v>
      </c>
      <c r="FJ76" s="108" t="s">
        <v>4</v>
      </c>
      <c r="FK76" s="107" t="s">
        <v>59</v>
      </c>
      <c r="FL76" s="107" t="s">
        <v>73</v>
      </c>
      <c r="FM76" s="108" t="s">
        <v>4</v>
      </c>
      <c r="FN76" s="107" t="s">
        <v>59</v>
      </c>
      <c r="FO76" s="107" t="s">
        <v>73</v>
      </c>
      <c r="FP76" s="108" t="s">
        <v>4</v>
      </c>
      <c r="FQ76" s="107" t="s">
        <v>59</v>
      </c>
      <c r="FR76" s="107" t="s">
        <v>73</v>
      </c>
      <c r="FS76" s="108" t="s">
        <v>4</v>
      </c>
      <c r="FT76" s="823"/>
      <c r="FU76" s="825"/>
      <c r="FW76" s="841"/>
      <c r="FX76" s="107" t="s">
        <v>59</v>
      </c>
      <c r="FY76" s="107" t="s">
        <v>73</v>
      </c>
      <c r="FZ76" s="108" t="s">
        <v>4</v>
      </c>
      <c r="GA76" s="107" t="s">
        <v>59</v>
      </c>
      <c r="GB76" s="107" t="s">
        <v>73</v>
      </c>
      <c r="GC76" s="108" t="s">
        <v>4</v>
      </c>
      <c r="GD76" s="107" t="s">
        <v>59</v>
      </c>
      <c r="GE76" s="107" t="s">
        <v>73</v>
      </c>
      <c r="GF76" s="108" t="s">
        <v>4</v>
      </c>
      <c r="GG76" s="107" t="s">
        <v>59</v>
      </c>
      <c r="GH76" s="107" t="s">
        <v>73</v>
      </c>
      <c r="GI76" s="108" t="s">
        <v>4</v>
      </c>
      <c r="GJ76" s="107" t="s">
        <v>59</v>
      </c>
      <c r="GK76" s="107" t="s">
        <v>73</v>
      </c>
      <c r="GL76" s="108" t="s">
        <v>4</v>
      </c>
      <c r="GM76" s="107" t="s">
        <v>59</v>
      </c>
      <c r="GN76" s="107" t="s">
        <v>73</v>
      </c>
      <c r="GO76" s="108" t="s">
        <v>4</v>
      </c>
      <c r="GP76" s="823"/>
      <c r="GQ76" s="825"/>
      <c r="GR76" s="118"/>
      <c r="GS76" s="857"/>
      <c r="GT76" s="231" t="s">
        <v>59</v>
      </c>
      <c r="GU76" s="231" t="s">
        <v>73</v>
      </c>
      <c r="GV76" s="102" t="s">
        <v>4</v>
      </c>
      <c r="GW76" s="231" t="s">
        <v>59</v>
      </c>
      <c r="GX76" s="231" t="s">
        <v>73</v>
      </c>
      <c r="GY76" s="102" t="s">
        <v>4</v>
      </c>
      <c r="GZ76" s="231" t="s">
        <v>59</v>
      </c>
      <c r="HA76" s="231" t="s">
        <v>73</v>
      </c>
      <c r="HB76" s="102" t="s">
        <v>4</v>
      </c>
      <c r="HC76" s="107" t="s">
        <v>59</v>
      </c>
      <c r="HD76" s="107" t="s">
        <v>73</v>
      </c>
      <c r="HE76" s="108" t="s">
        <v>4</v>
      </c>
      <c r="HF76" s="107" t="s">
        <v>59</v>
      </c>
      <c r="HG76" s="107" t="s">
        <v>73</v>
      </c>
      <c r="HH76" s="108" t="s">
        <v>4</v>
      </c>
      <c r="HI76" s="107" t="s">
        <v>59</v>
      </c>
      <c r="HJ76" s="107" t="s">
        <v>73</v>
      </c>
      <c r="HK76" s="108" t="s">
        <v>4</v>
      </c>
      <c r="HL76" s="823"/>
      <c r="HM76" s="825"/>
      <c r="HN76" s="118"/>
      <c r="HO76" s="874"/>
      <c r="HP76" s="107" t="s">
        <v>59</v>
      </c>
      <c r="HQ76" s="107" t="s">
        <v>73</v>
      </c>
      <c r="HR76" s="108" t="s">
        <v>4</v>
      </c>
      <c r="HS76" s="107" t="s">
        <v>59</v>
      </c>
      <c r="HT76" s="107" t="s">
        <v>73</v>
      </c>
      <c r="HU76" s="108" t="s">
        <v>4</v>
      </c>
      <c r="HV76" s="107" t="s">
        <v>59</v>
      </c>
      <c r="HW76" s="107" t="s">
        <v>73</v>
      </c>
      <c r="HX76" s="108" t="s">
        <v>4</v>
      </c>
      <c r="HY76" s="107" t="s">
        <v>59</v>
      </c>
      <c r="HZ76" s="107" t="s">
        <v>73</v>
      </c>
      <c r="IA76" s="108" t="s">
        <v>4</v>
      </c>
      <c r="IB76" s="107" t="s">
        <v>59</v>
      </c>
      <c r="IC76" s="107" t="s">
        <v>73</v>
      </c>
      <c r="ID76" s="108" t="s">
        <v>4</v>
      </c>
      <c r="IE76" s="107" t="s">
        <v>59</v>
      </c>
      <c r="IF76" s="107" t="s">
        <v>73</v>
      </c>
      <c r="IG76" s="108" t="s">
        <v>4</v>
      </c>
      <c r="IH76" s="823"/>
      <c r="II76" s="825"/>
      <c r="IK76" s="865"/>
      <c r="IL76" s="231" t="s">
        <v>59</v>
      </c>
      <c r="IM76" s="231" t="s">
        <v>73</v>
      </c>
      <c r="IN76" s="102" t="s">
        <v>4</v>
      </c>
      <c r="IO76" s="231" t="s">
        <v>59</v>
      </c>
      <c r="IP76" s="231" t="s">
        <v>73</v>
      </c>
      <c r="IQ76" s="102" t="s">
        <v>4</v>
      </c>
      <c r="IR76" s="231" t="s">
        <v>59</v>
      </c>
      <c r="IS76" s="231" t="s">
        <v>73</v>
      </c>
      <c r="IT76" s="102" t="s">
        <v>4</v>
      </c>
      <c r="IU76" s="231" t="s">
        <v>59</v>
      </c>
      <c r="IV76" s="231" t="s">
        <v>73</v>
      </c>
      <c r="IW76" s="102" t="s">
        <v>4</v>
      </c>
      <c r="IX76" s="231" t="s">
        <v>59</v>
      </c>
      <c r="IY76" s="231" t="s">
        <v>73</v>
      </c>
      <c r="IZ76" s="102" t="s">
        <v>4</v>
      </c>
      <c r="JA76" s="231" t="s">
        <v>59</v>
      </c>
      <c r="JB76" s="231" t="s">
        <v>73</v>
      </c>
      <c r="JC76" s="102" t="s">
        <v>4</v>
      </c>
      <c r="JD76" s="948"/>
      <c r="JE76" s="823"/>
      <c r="JF76" s="825"/>
      <c r="JH76" s="112"/>
    </row>
    <row r="77" spans="27:268" ht="15">
      <c r="AA77" s="858"/>
      <c r="AB77" s="233"/>
      <c r="AC77" s="233"/>
      <c r="AD77" s="233"/>
      <c r="AE77" s="233"/>
      <c r="AF77" s="233"/>
      <c r="AG77" s="233"/>
      <c r="AH77" s="233"/>
      <c r="AI77" s="233"/>
      <c r="AJ77" s="233"/>
      <c r="AK77" s="233"/>
      <c r="AL77" s="233"/>
      <c r="AM77" s="233"/>
      <c r="AN77" s="233"/>
      <c r="AO77" s="233"/>
      <c r="AP77" s="233"/>
      <c r="AQ77" s="229">
        <f t="shared" ref="AQ77" si="311">(AB77*AC77*AD77)+(AE77*AF77*AG77)+(AH77*AI77*AJ77)+(AK77*AL77*AM77)+(AN77*AO77*AP77)</f>
        <v>0</v>
      </c>
      <c r="AR77" s="826"/>
      <c r="AT77" s="858"/>
      <c r="AU77" s="229">
        <v>1</v>
      </c>
      <c r="AV77" s="229">
        <v>30</v>
      </c>
      <c r="AW77" s="229">
        <f>BK75</f>
        <v>88.5</v>
      </c>
      <c r="AX77" s="233"/>
      <c r="AY77" s="233"/>
      <c r="AZ77" s="233"/>
      <c r="BA77" s="233"/>
      <c r="BB77" s="233"/>
      <c r="BC77" s="233"/>
      <c r="BD77" s="233"/>
      <c r="BE77" s="233"/>
      <c r="BF77" s="233"/>
      <c r="BG77" s="233"/>
      <c r="BH77" s="233"/>
      <c r="BI77" s="233"/>
      <c r="BJ77" s="229">
        <f t="shared" ref="BJ77" si="312">(AU77*AV77*AW77)+(AX77*AY77*AZ77)+(BA77*BB77*BC77)+(BD77*BE77*BF77)+(BG77*BH77*BI77)</f>
        <v>2655</v>
      </c>
      <c r="BK77" s="826"/>
      <c r="BL77" s="118"/>
      <c r="BM77" s="878"/>
      <c r="BN77" s="233"/>
      <c r="BO77" s="233"/>
      <c r="BP77" s="233"/>
      <c r="BQ77" s="233"/>
      <c r="BR77" s="233"/>
      <c r="BS77" s="233"/>
      <c r="BT77" s="233"/>
      <c r="BU77" s="233"/>
      <c r="BV77" s="233"/>
      <c r="BW77" s="233"/>
      <c r="BX77" s="233"/>
      <c r="BY77" s="233"/>
      <c r="BZ77" s="233"/>
      <c r="CA77" s="233"/>
      <c r="CB77" s="233"/>
      <c r="CC77" s="229">
        <f t="shared" ref="CC77" si="313">(BN77*BO77*BP77)+(BQ77*BR77*BS77)+(BT77*BU77*BV77)+(BW77*BX77*BY77)+(BZ77*CA77*CB77)</f>
        <v>0</v>
      </c>
      <c r="CD77" s="826"/>
      <c r="CF77" s="866"/>
      <c r="CG77" s="233"/>
      <c r="CH77" s="233"/>
      <c r="CI77" s="233"/>
      <c r="CJ77" s="233"/>
      <c r="CK77" s="233"/>
      <c r="CL77" s="233"/>
      <c r="CM77" s="233"/>
      <c r="CN77" s="233"/>
      <c r="CO77" s="233"/>
      <c r="CP77" s="233"/>
      <c r="CQ77" s="233"/>
      <c r="CR77" s="233"/>
      <c r="CS77" s="233"/>
      <c r="CT77" s="233"/>
      <c r="CU77" s="233"/>
      <c r="CV77" s="229">
        <f t="shared" ref="CV77" si="314">(CG77*CH77*CI77)+(CJ77*CK77*CL77)+(CM77*CN77*CO77)+(CP77*CQ77*CR77)+(CS77*CT77*CU77)</f>
        <v>0</v>
      </c>
      <c r="CW77" s="826"/>
      <c r="CX77" s="118"/>
      <c r="CY77" s="847"/>
      <c r="CZ77" s="229">
        <v>1</v>
      </c>
      <c r="DA77" s="229">
        <v>30</v>
      </c>
      <c r="DB77" s="229">
        <f>DP$75+10</f>
        <v>92.2</v>
      </c>
      <c r="DC77" s="233"/>
      <c r="DD77" s="233"/>
      <c r="DE77" s="233"/>
      <c r="DF77" s="233"/>
      <c r="DG77" s="233"/>
      <c r="DH77" s="233"/>
      <c r="DI77" s="233"/>
      <c r="DJ77" s="233"/>
      <c r="DK77" s="233"/>
      <c r="DL77" s="233"/>
      <c r="DM77" s="233"/>
      <c r="DN77" s="233"/>
      <c r="DO77" s="229">
        <f t="shared" ref="DO77" si="315">(CZ77*DA77*DB77)+(DC77*DD77*DE77)+(DF77*DG77*DH77)+(DI77*DJ77*DK77)+(DL77*DM77*DN77)</f>
        <v>2766</v>
      </c>
      <c r="DP77" s="826"/>
      <c r="DR77" s="878"/>
      <c r="DS77" s="229">
        <v>3</v>
      </c>
      <c r="DT77" s="126">
        <f>((8*1)+(10*1)+(12*1))/3</f>
        <v>10</v>
      </c>
      <c r="DU77" s="229">
        <v>59</v>
      </c>
      <c r="DV77" s="229">
        <v>3</v>
      </c>
      <c r="DW77" s="229">
        <v>12</v>
      </c>
      <c r="DX77" s="229">
        <v>25</v>
      </c>
      <c r="DY77" s="229">
        <v>4</v>
      </c>
      <c r="DZ77" s="126">
        <f>((8*1)+(10*1)+(12*1))/3</f>
        <v>10</v>
      </c>
      <c r="EA77" s="229">
        <v>20</v>
      </c>
      <c r="EB77" s="233"/>
      <c r="EC77" s="233"/>
      <c r="ED77" s="233"/>
      <c r="EE77" s="233"/>
      <c r="EF77" s="233"/>
      <c r="EG77" s="233"/>
      <c r="EH77" s="229">
        <f t="shared" ref="EH77" si="316">(DS77*DT77*DU77)+(DV77*DW77*DX77)+(DY77*DZ77*EA77)+(EB77*EC77*ED77)+(EE77*EF77*EG77)</f>
        <v>3470</v>
      </c>
      <c r="EI77" s="826"/>
      <c r="EK77" s="872"/>
      <c r="EL77" s="233"/>
      <c r="EM77" s="233"/>
      <c r="EN77" s="233"/>
      <c r="EO77" s="233"/>
      <c r="EP77" s="233"/>
      <c r="EQ77" s="233"/>
      <c r="ER77" s="233"/>
      <c r="ES77" s="233"/>
      <c r="ET77" s="233"/>
      <c r="EU77" s="233"/>
      <c r="EV77" s="233"/>
      <c r="EW77" s="233"/>
      <c r="EX77" s="233"/>
      <c r="EY77" s="233"/>
      <c r="EZ77" s="233"/>
      <c r="FA77" s="229">
        <f t="shared" ref="FA77" si="317">(EL77*EM77*EN77)+(EO77*EP77*EQ77)+(ER77*ES77*ET77)+(EU77*EV77*EW77)+(EX77*EY77*EZ77)</f>
        <v>0</v>
      </c>
      <c r="FB77" s="826"/>
      <c r="FD77" s="875"/>
      <c r="FE77" s="233"/>
      <c r="FF77" s="233"/>
      <c r="FG77" s="233"/>
      <c r="FH77" s="233"/>
      <c r="FI77" s="233"/>
      <c r="FJ77" s="233"/>
      <c r="FK77" s="233"/>
      <c r="FL77" s="233"/>
      <c r="FM77" s="233"/>
      <c r="FN77" s="233"/>
      <c r="FO77" s="233"/>
      <c r="FP77" s="233"/>
      <c r="FQ77" s="233"/>
      <c r="FR77" s="233"/>
      <c r="FS77" s="233"/>
      <c r="FT77" s="229">
        <f t="shared" ref="FT77" si="318">(FE77*FF77*FG77)+(FH77*FI77*FJ77)+(FK77*FL77*FM77)+(FN77*FO77*FP77)+(FQ77*FR77*FS77)</f>
        <v>0</v>
      </c>
      <c r="FU77" s="826"/>
      <c r="FW77" s="842"/>
      <c r="FX77" s="233"/>
      <c r="FY77" s="233"/>
      <c r="FZ77" s="233"/>
      <c r="GA77" s="233"/>
      <c r="GB77" s="233"/>
      <c r="GC77" s="233"/>
      <c r="GD77" s="233"/>
      <c r="GE77" s="233"/>
      <c r="GF77" s="233"/>
      <c r="GG77" s="233"/>
      <c r="GH77" s="233"/>
      <c r="GI77" s="233"/>
      <c r="GJ77" s="233"/>
      <c r="GK77" s="233"/>
      <c r="GL77" s="233"/>
      <c r="GM77" s="233"/>
      <c r="GN77" s="233"/>
      <c r="GO77" s="233"/>
      <c r="GP77" s="229">
        <f>(FX77*FY77*FZ77)+(GA77*GB77*GC77)+(GD77*GE77*GF77)+(GG77*GH77*GI77)+(GJ77*GK77*GL77)+(GM77*GN77*GO77)</f>
        <v>0</v>
      </c>
      <c r="GQ77" s="826"/>
      <c r="GR77" s="118"/>
      <c r="GS77" s="858"/>
      <c r="GT77" s="229">
        <v>4</v>
      </c>
      <c r="GU77" s="229">
        <v>12</v>
      </c>
      <c r="GV77" s="229">
        <v>17.5</v>
      </c>
      <c r="GW77" s="229">
        <v>3</v>
      </c>
      <c r="GX77" s="229">
        <v>40</v>
      </c>
      <c r="GY77" s="229">
        <f>HM75*(1/3)</f>
        <v>26.033333333333331</v>
      </c>
      <c r="GZ77" s="229">
        <v>3</v>
      </c>
      <c r="HA77" s="126">
        <f>((8*1)+(10*2))/3</f>
        <v>9.3333333333333339</v>
      </c>
      <c r="HB77" s="126">
        <v>22.7</v>
      </c>
      <c r="HC77" s="233"/>
      <c r="HD77" s="233"/>
      <c r="HE77" s="233"/>
      <c r="HF77" s="233"/>
      <c r="HG77" s="233"/>
      <c r="HH77" s="233"/>
      <c r="HI77" s="233"/>
      <c r="HJ77" s="233"/>
      <c r="HK77" s="233"/>
      <c r="HL77" s="229">
        <f>(GT77*GU77*GV77)+(GW77*GX77*GY77)+(GZ77*HA77*HB77)+(HC77*HD77*HE77)+(HF77*HG77*HH77)+(HI77*HJ77*HK77)</f>
        <v>4599.6000000000004</v>
      </c>
      <c r="HM77" s="826"/>
      <c r="HN77" s="118"/>
      <c r="HO77" s="875"/>
      <c r="HP77" s="233"/>
      <c r="HQ77" s="233"/>
      <c r="HR77" s="233"/>
      <c r="HS77" s="233"/>
      <c r="HT77" s="233"/>
      <c r="HU77" s="233"/>
      <c r="HV77" s="233"/>
      <c r="HW77" s="233"/>
      <c r="HX77" s="233"/>
      <c r="HY77" s="233"/>
      <c r="HZ77" s="233"/>
      <c r="IA77" s="233"/>
      <c r="IB77" s="233"/>
      <c r="IC77" s="233"/>
      <c r="ID77" s="233"/>
      <c r="IE77" s="233"/>
      <c r="IF77" s="233"/>
      <c r="IG77" s="233"/>
      <c r="IH77" s="229">
        <f>(HP77*HQ77*HR77)+(HS77*HT77*HU77)+(HV77*HW77*HX77)+(HY77*HZ77*IA77)+(IB77*IC77*ID77)+(IE77*IF77*IG77)</f>
        <v>0</v>
      </c>
      <c r="II77" s="826"/>
      <c r="IK77" s="866"/>
      <c r="IL77" s="229"/>
      <c r="IM77" s="229"/>
      <c r="IN77" s="229"/>
      <c r="IO77" s="229"/>
      <c r="IP77" s="229"/>
      <c r="IQ77" s="229"/>
      <c r="IR77" s="229"/>
      <c r="IS77" s="229"/>
      <c r="IT77" s="229"/>
      <c r="IU77" s="229"/>
      <c r="IV77" s="229"/>
      <c r="IW77" s="229"/>
      <c r="IX77" s="229"/>
      <c r="IY77" s="229"/>
      <c r="IZ77" s="229"/>
      <c r="JA77" s="229"/>
      <c r="JB77" s="229"/>
      <c r="JC77" s="229"/>
      <c r="JD77" s="949"/>
      <c r="JE77" s="229">
        <f>(IL77*IM77*IN77)+(IO77*IP77*IQ77)+(IR77*IS77*IT77)+(IU77*IV77*IW77)+(IX77*IY77*IZ77)+(JA77*JB77*JC77)</f>
        <v>0</v>
      </c>
      <c r="JF77" s="826"/>
    </row>
    <row r="78" spans="27:268" ht="15">
      <c r="AA78" s="845">
        <v>45714</v>
      </c>
      <c r="AB78" s="859"/>
      <c r="AC78" s="859"/>
      <c r="AD78" s="859"/>
      <c r="AE78" s="860"/>
      <c r="AF78" s="860"/>
      <c r="AG78" s="860"/>
      <c r="AH78" s="843"/>
      <c r="AI78" s="843"/>
      <c r="AJ78" s="843"/>
      <c r="AK78" s="834"/>
      <c r="AL78" s="835"/>
      <c r="AM78" s="836"/>
      <c r="AN78" s="844"/>
      <c r="AO78" s="844"/>
      <c r="AP78" s="844"/>
      <c r="AQ78" s="823">
        <f t="shared" ref="AQ78" si="319">COUNTA(AB78:AP78)</f>
        <v>0</v>
      </c>
      <c r="AR78" s="824">
        <f>AR75</f>
        <v>93</v>
      </c>
      <c r="AT78" s="845">
        <v>45742</v>
      </c>
      <c r="AU78" s="859"/>
      <c r="AV78" s="859"/>
      <c r="AW78" s="859"/>
      <c r="AX78" s="860"/>
      <c r="AY78" s="860"/>
      <c r="AZ78" s="860"/>
      <c r="BA78" s="860"/>
      <c r="BB78" s="860"/>
      <c r="BC78" s="860"/>
      <c r="BD78" s="860"/>
      <c r="BE78" s="860"/>
      <c r="BF78" s="860"/>
      <c r="BG78" s="844"/>
      <c r="BH78" s="844"/>
      <c r="BI78" s="844"/>
      <c r="BJ78" s="823">
        <f t="shared" ref="BJ78" si="320">COUNTA(AU78:BI78)</f>
        <v>0</v>
      </c>
      <c r="BK78" s="824">
        <f>BK75</f>
        <v>88.5</v>
      </c>
      <c r="BL78" s="118"/>
      <c r="BM78" s="840">
        <v>45773</v>
      </c>
      <c r="BN78" s="849" t="s">
        <v>70</v>
      </c>
      <c r="BO78" s="849"/>
      <c r="BP78" s="849"/>
      <c r="BQ78" s="859"/>
      <c r="BR78" s="859"/>
      <c r="BS78" s="859"/>
      <c r="BT78" s="844"/>
      <c r="BU78" s="844"/>
      <c r="BV78" s="844"/>
      <c r="BW78" s="844"/>
      <c r="BX78" s="844"/>
      <c r="BY78" s="844"/>
      <c r="BZ78" s="844"/>
      <c r="CA78" s="844"/>
      <c r="CB78" s="844"/>
      <c r="CC78" s="823">
        <f t="shared" ref="CC78" si="321">COUNTA(BN78:CB78)</f>
        <v>1</v>
      </c>
      <c r="CD78" s="824">
        <v>84.3</v>
      </c>
      <c r="CF78" s="870">
        <v>45803</v>
      </c>
      <c r="CG78" s="848" t="s">
        <v>85</v>
      </c>
      <c r="CH78" s="848"/>
      <c r="CI78" s="848"/>
      <c r="CJ78" s="890" t="s">
        <v>106</v>
      </c>
      <c r="CK78" s="890"/>
      <c r="CL78" s="890"/>
      <c r="CM78" s="848" t="s">
        <v>103</v>
      </c>
      <c r="CN78" s="848"/>
      <c r="CO78" s="848"/>
      <c r="CP78" s="844"/>
      <c r="CQ78" s="844"/>
      <c r="CR78" s="844"/>
      <c r="CS78" s="844"/>
      <c r="CT78" s="844"/>
      <c r="CU78" s="844"/>
      <c r="CV78" s="823">
        <f t="shared" ref="CV78" si="322">COUNTA(CG78:CU78)</f>
        <v>3</v>
      </c>
      <c r="CW78" s="824">
        <v>84.6</v>
      </c>
      <c r="CX78" s="118"/>
      <c r="CY78" s="873">
        <v>45834</v>
      </c>
      <c r="CZ78" s="848" t="s">
        <v>102</v>
      </c>
      <c r="DA78" s="848"/>
      <c r="DB78" s="848"/>
      <c r="DC78" s="886" t="s">
        <v>80</v>
      </c>
      <c r="DD78" s="886"/>
      <c r="DE78" s="886"/>
      <c r="DF78" s="886" t="s">
        <v>81</v>
      </c>
      <c r="DG78" s="886"/>
      <c r="DH78" s="886"/>
      <c r="DI78" s="849" t="s">
        <v>113</v>
      </c>
      <c r="DJ78" s="849"/>
      <c r="DK78" s="849"/>
      <c r="DL78" s="844"/>
      <c r="DM78" s="844"/>
      <c r="DN78" s="844"/>
      <c r="DO78" s="823">
        <f t="shared" ref="DO78" si="323">COUNTA(CZ78:DN78)</f>
        <v>4</v>
      </c>
      <c r="DP78" s="824">
        <v>82.9</v>
      </c>
      <c r="DR78" s="840">
        <v>45864</v>
      </c>
      <c r="DS78" s="859"/>
      <c r="DT78" s="859"/>
      <c r="DU78" s="859"/>
      <c r="DV78" s="859"/>
      <c r="DW78" s="859"/>
      <c r="DX78" s="859"/>
      <c r="DY78" s="844"/>
      <c r="DZ78" s="844"/>
      <c r="EA78" s="844"/>
      <c r="EB78" s="844"/>
      <c r="EC78" s="844"/>
      <c r="ED78" s="844"/>
      <c r="EE78" s="844"/>
      <c r="EF78" s="844"/>
      <c r="EG78" s="844"/>
      <c r="EH78" s="823">
        <f t="shared" ref="EH78" si="324">COUNTA(DS78:EG78)</f>
        <v>0</v>
      </c>
      <c r="EI78" s="824">
        <f>EI75</f>
        <v>81.099999999999994</v>
      </c>
      <c r="EK78" s="856">
        <v>45895</v>
      </c>
      <c r="EL78" s="859"/>
      <c r="EM78" s="859"/>
      <c r="EN78" s="859"/>
      <c r="EO78" s="859"/>
      <c r="EP78" s="859"/>
      <c r="EQ78" s="859"/>
      <c r="ER78" s="844"/>
      <c r="ES78" s="844"/>
      <c r="ET78" s="844"/>
      <c r="EU78" s="844"/>
      <c r="EV78" s="844"/>
      <c r="EW78" s="844"/>
      <c r="EX78" s="844"/>
      <c r="EY78" s="844"/>
      <c r="EZ78" s="844"/>
      <c r="FA78" s="823">
        <f t="shared" ref="FA78" si="325">COUNTA(EL78:EZ78)</f>
        <v>0</v>
      </c>
      <c r="FB78" s="824">
        <f>FB75</f>
        <v>78.099999999999994</v>
      </c>
      <c r="FD78" s="876">
        <v>45926</v>
      </c>
      <c r="FE78" s="844"/>
      <c r="FF78" s="844"/>
      <c r="FG78" s="844"/>
      <c r="FH78" s="844"/>
      <c r="FI78" s="844"/>
      <c r="FJ78" s="844"/>
      <c r="FK78" s="844"/>
      <c r="FL78" s="844"/>
      <c r="FM78" s="844"/>
      <c r="FN78" s="844"/>
      <c r="FO78" s="844"/>
      <c r="FP78" s="844"/>
      <c r="FQ78" s="844"/>
      <c r="FR78" s="844"/>
      <c r="FS78" s="844"/>
      <c r="FT78" s="823">
        <f t="shared" ref="FT78" si="326">COUNTA(FE78:FS78)</f>
        <v>0</v>
      </c>
      <c r="FU78" s="824">
        <f t="shared" ref="FU78" si="327">FU75</f>
        <v>79.5</v>
      </c>
      <c r="FW78" s="864">
        <v>45956</v>
      </c>
      <c r="FX78" s="849" t="s">
        <v>89</v>
      </c>
      <c r="FY78" s="849"/>
      <c r="FZ78" s="849"/>
      <c r="GA78" s="849" t="s">
        <v>115</v>
      </c>
      <c r="GB78" s="849"/>
      <c r="GC78" s="849"/>
      <c r="GD78" s="890" t="s">
        <v>131</v>
      </c>
      <c r="GE78" s="890"/>
      <c r="GF78" s="890"/>
      <c r="GG78" s="890" t="s">
        <v>106</v>
      </c>
      <c r="GH78" s="890"/>
      <c r="GI78" s="890"/>
      <c r="GJ78" s="879" t="s">
        <v>78</v>
      </c>
      <c r="GK78" s="880"/>
      <c r="GL78" s="881"/>
      <c r="GM78" s="834"/>
      <c r="GN78" s="835"/>
      <c r="GO78" s="836"/>
      <c r="GP78" s="823">
        <f>COUNTA(FX78:GO78)</f>
        <v>5</v>
      </c>
      <c r="GQ78" s="824">
        <v>77.8</v>
      </c>
      <c r="GR78" s="118"/>
      <c r="GS78" s="845">
        <v>45987</v>
      </c>
      <c r="GT78" s="882" t="s">
        <v>70</v>
      </c>
      <c r="GU78" s="883"/>
      <c r="GV78" s="884"/>
      <c r="GW78" s="861"/>
      <c r="GX78" s="862"/>
      <c r="GY78" s="863"/>
      <c r="GZ78" s="834"/>
      <c r="HA78" s="835"/>
      <c r="HB78" s="836"/>
      <c r="HC78" s="867"/>
      <c r="HD78" s="868"/>
      <c r="HE78" s="869"/>
      <c r="HF78" s="834"/>
      <c r="HG78" s="835"/>
      <c r="HH78" s="836"/>
      <c r="HI78" s="834"/>
      <c r="HJ78" s="835"/>
      <c r="HK78" s="836"/>
      <c r="HL78" s="823">
        <f>COUNTA(GT78:HK78)</f>
        <v>1</v>
      </c>
      <c r="HM78" s="824">
        <v>77.599999999999994</v>
      </c>
      <c r="HN78" s="118"/>
      <c r="HO78" s="876">
        <v>46017</v>
      </c>
      <c r="HP78" s="844"/>
      <c r="HQ78" s="844"/>
      <c r="HR78" s="844"/>
      <c r="HS78" s="843"/>
      <c r="HT78" s="843"/>
      <c r="HU78" s="843"/>
      <c r="HV78" s="844"/>
      <c r="HW78" s="844"/>
      <c r="HX78" s="844"/>
      <c r="HY78" s="844"/>
      <c r="HZ78" s="844"/>
      <c r="IA78" s="844"/>
      <c r="IB78" s="844"/>
      <c r="IC78" s="844"/>
      <c r="ID78" s="844"/>
      <c r="IE78" s="834"/>
      <c r="IF78" s="835"/>
      <c r="IG78" s="836"/>
      <c r="IH78" s="823">
        <f>COUNTA(HP78:IG78)</f>
        <v>0</v>
      </c>
      <c r="II78" s="824">
        <f>II75</f>
        <v>76.900000000000006</v>
      </c>
      <c r="IK78" s="870">
        <v>46048</v>
      </c>
      <c r="IL78" s="848"/>
      <c r="IM78" s="848"/>
      <c r="IN78" s="848"/>
      <c r="IO78" s="848"/>
      <c r="IP78" s="848"/>
      <c r="IQ78" s="848"/>
      <c r="IR78" s="848"/>
      <c r="IS78" s="848"/>
      <c r="IT78" s="848"/>
      <c r="IU78" s="848"/>
      <c r="IV78" s="848"/>
      <c r="IW78" s="848"/>
      <c r="IX78" s="882"/>
      <c r="IY78" s="883"/>
      <c r="IZ78" s="884"/>
      <c r="JA78" s="882"/>
      <c r="JB78" s="883"/>
      <c r="JC78" s="884"/>
      <c r="JD78" s="232" t="s">
        <v>425</v>
      </c>
      <c r="JE78" s="823">
        <f>COUNTA(IL78:JC78)</f>
        <v>0</v>
      </c>
      <c r="JF78" s="824"/>
    </row>
    <row r="79" spans="27:268" ht="15">
      <c r="AA79" s="846"/>
      <c r="AB79" s="107" t="s">
        <v>59</v>
      </c>
      <c r="AC79" s="107" t="s">
        <v>73</v>
      </c>
      <c r="AD79" s="108" t="s">
        <v>4</v>
      </c>
      <c r="AE79" s="107" t="s">
        <v>59</v>
      </c>
      <c r="AF79" s="107" t="s">
        <v>73</v>
      </c>
      <c r="AG79" s="108" t="s">
        <v>4</v>
      </c>
      <c r="AH79" s="107" t="s">
        <v>59</v>
      </c>
      <c r="AI79" s="107" t="s">
        <v>73</v>
      </c>
      <c r="AJ79" s="108" t="s">
        <v>4</v>
      </c>
      <c r="AK79" s="107" t="s">
        <v>59</v>
      </c>
      <c r="AL79" s="107" t="s">
        <v>73</v>
      </c>
      <c r="AM79" s="108" t="s">
        <v>4</v>
      </c>
      <c r="AN79" s="107" t="s">
        <v>59</v>
      </c>
      <c r="AO79" s="107" t="s">
        <v>73</v>
      </c>
      <c r="AP79" s="108" t="s">
        <v>4</v>
      </c>
      <c r="AQ79" s="823"/>
      <c r="AR79" s="825"/>
      <c r="AT79" s="846"/>
      <c r="AU79" s="107"/>
      <c r="AV79" s="107"/>
      <c r="AW79" s="108"/>
      <c r="AX79" s="107"/>
      <c r="AY79" s="107"/>
      <c r="AZ79" s="108"/>
      <c r="BA79" s="107"/>
      <c r="BB79" s="107"/>
      <c r="BC79" s="108"/>
      <c r="BD79" s="107"/>
      <c r="BE79" s="107"/>
      <c r="BF79" s="108"/>
      <c r="BG79" s="107" t="s">
        <v>59</v>
      </c>
      <c r="BH79" s="107" t="s">
        <v>73</v>
      </c>
      <c r="BI79" s="108" t="s">
        <v>4</v>
      </c>
      <c r="BJ79" s="823"/>
      <c r="BK79" s="825"/>
      <c r="BL79" s="118"/>
      <c r="BM79" s="841"/>
      <c r="BN79" s="231" t="s">
        <v>59</v>
      </c>
      <c r="BO79" s="231" t="s">
        <v>73</v>
      </c>
      <c r="BP79" s="102" t="s">
        <v>4</v>
      </c>
      <c r="BQ79" s="107" t="s">
        <v>59</v>
      </c>
      <c r="BR79" s="107" t="s">
        <v>73</v>
      </c>
      <c r="BS79" s="108" t="s">
        <v>4</v>
      </c>
      <c r="BT79" s="107" t="s">
        <v>59</v>
      </c>
      <c r="BU79" s="107" t="s">
        <v>73</v>
      </c>
      <c r="BV79" s="108" t="s">
        <v>4</v>
      </c>
      <c r="BW79" s="107" t="s">
        <v>59</v>
      </c>
      <c r="BX79" s="107" t="s">
        <v>73</v>
      </c>
      <c r="BY79" s="108" t="s">
        <v>4</v>
      </c>
      <c r="BZ79" s="107" t="s">
        <v>59</v>
      </c>
      <c r="CA79" s="107" t="s">
        <v>73</v>
      </c>
      <c r="CB79" s="108" t="s">
        <v>4</v>
      </c>
      <c r="CC79" s="823"/>
      <c r="CD79" s="825"/>
      <c r="CF79" s="871"/>
      <c r="CG79" s="231" t="s">
        <v>59</v>
      </c>
      <c r="CH79" s="231" t="s">
        <v>73</v>
      </c>
      <c r="CI79" s="102" t="s">
        <v>4</v>
      </c>
      <c r="CJ79" s="231" t="s">
        <v>59</v>
      </c>
      <c r="CK79" s="231" t="s">
        <v>73</v>
      </c>
      <c r="CL79" s="102" t="s">
        <v>4</v>
      </c>
      <c r="CM79" s="231" t="s">
        <v>59</v>
      </c>
      <c r="CN79" s="231" t="s">
        <v>73</v>
      </c>
      <c r="CO79" s="102" t="s">
        <v>4</v>
      </c>
      <c r="CP79" s="107" t="s">
        <v>59</v>
      </c>
      <c r="CQ79" s="107" t="s">
        <v>73</v>
      </c>
      <c r="CR79" s="108" t="s">
        <v>4</v>
      </c>
      <c r="CS79" s="107" t="s">
        <v>59</v>
      </c>
      <c r="CT79" s="107" t="s">
        <v>73</v>
      </c>
      <c r="CU79" s="108" t="s">
        <v>4</v>
      </c>
      <c r="CV79" s="823"/>
      <c r="CW79" s="825"/>
      <c r="CX79" s="118"/>
      <c r="CY79" s="874"/>
      <c r="CZ79" s="231" t="s">
        <v>59</v>
      </c>
      <c r="DA79" s="231" t="s">
        <v>73</v>
      </c>
      <c r="DB79" s="102" t="s">
        <v>4</v>
      </c>
      <c r="DC79" s="231" t="s">
        <v>59</v>
      </c>
      <c r="DD79" s="231" t="s">
        <v>73</v>
      </c>
      <c r="DE79" s="102" t="s">
        <v>4</v>
      </c>
      <c r="DF79" s="231" t="s">
        <v>59</v>
      </c>
      <c r="DG79" s="231" t="s">
        <v>73</v>
      </c>
      <c r="DH79" s="102" t="s">
        <v>4</v>
      </c>
      <c r="DI79" s="231" t="s">
        <v>59</v>
      </c>
      <c r="DJ79" s="231" t="s">
        <v>73</v>
      </c>
      <c r="DK79" s="102" t="s">
        <v>4</v>
      </c>
      <c r="DL79" s="107" t="s">
        <v>59</v>
      </c>
      <c r="DM79" s="107" t="s">
        <v>73</v>
      </c>
      <c r="DN79" s="108" t="s">
        <v>4</v>
      </c>
      <c r="DO79" s="823"/>
      <c r="DP79" s="825"/>
      <c r="DR79" s="841"/>
      <c r="DS79" s="107" t="s">
        <v>59</v>
      </c>
      <c r="DT79" s="107" t="s">
        <v>73</v>
      </c>
      <c r="DU79" s="108" t="s">
        <v>4</v>
      </c>
      <c r="DV79" s="107" t="s">
        <v>59</v>
      </c>
      <c r="DW79" s="107" t="s">
        <v>73</v>
      </c>
      <c r="DX79" s="108" t="s">
        <v>4</v>
      </c>
      <c r="DY79" s="107" t="s">
        <v>59</v>
      </c>
      <c r="DZ79" s="107" t="s">
        <v>73</v>
      </c>
      <c r="EA79" s="108" t="s">
        <v>4</v>
      </c>
      <c r="EB79" s="107" t="s">
        <v>59</v>
      </c>
      <c r="EC79" s="107" t="s">
        <v>73</v>
      </c>
      <c r="ED79" s="108" t="s">
        <v>4</v>
      </c>
      <c r="EE79" s="107" t="s">
        <v>59</v>
      </c>
      <c r="EF79" s="107" t="s">
        <v>73</v>
      </c>
      <c r="EG79" s="108" t="s">
        <v>4</v>
      </c>
      <c r="EH79" s="823"/>
      <c r="EI79" s="825"/>
      <c r="EK79" s="857"/>
      <c r="EL79" s="107" t="s">
        <v>59</v>
      </c>
      <c r="EM79" s="107" t="s">
        <v>73</v>
      </c>
      <c r="EN79" s="108" t="s">
        <v>4</v>
      </c>
      <c r="EO79" s="107" t="s">
        <v>59</v>
      </c>
      <c r="EP79" s="107" t="s">
        <v>73</v>
      </c>
      <c r="EQ79" s="108" t="s">
        <v>4</v>
      </c>
      <c r="ER79" s="107" t="s">
        <v>59</v>
      </c>
      <c r="ES79" s="107" t="s">
        <v>73</v>
      </c>
      <c r="ET79" s="108" t="s">
        <v>4</v>
      </c>
      <c r="EU79" s="107" t="s">
        <v>59</v>
      </c>
      <c r="EV79" s="107" t="s">
        <v>73</v>
      </c>
      <c r="EW79" s="108" t="s">
        <v>4</v>
      </c>
      <c r="EX79" s="107" t="s">
        <v>59</v>
      </c>
      <c r="EY79" s="107" t="s">
        <v>73</v>
      </c>
      <c r="EZ79" s="108" t="s">
        <v>4</v>
      </c>
      <c r="FA79" s="823"/>
      <c r="FB79" s="825"/>
      <c r="FD79" s="877"/>
      <c r="FE79" s="107" t="s">
        <v>59</v>
      </c>
      <c r="FF79" s="107" t="s">
        <v>73</v>
      </c>
      <c r="FG79" s="108" t="s">
        <v>4</v>
      </c>
      <c r="FH79" s="107" t="s">
        <v>59</v>
      </c>
      <c r="FI79" s="107" t="s">
        <v>73</v>
      </c>
      <c r="FJ79" s="108" t="s">
        <v>4</v>
      </c>
      <c r="FK79" s="107" t="s">
        <v>59</v>
      </c>
      <c r="FL79" s="107" t="s">
        <v>73</v>
      </c>
      <c r="FM79" s="108" t="s">
        <v>4</v>
      </c>
      <c r="FN79" s="107" t="s">
        <v>59</v>
      </c>
      <c r="FO79" s="107" t="s">
        <v>73</v>
      </c>
      <c r="FP79" s="108" t="s">
        <v>4</v>
      </c>
      <c r="FQ79" s="107" t="s">
        <v>59</v>
      </c>
      <c r="FR79" s="107" t="s">
        <v>73</v>
      </c>
      <c r="FS79" s="108" t="s">
        <v>4</v>
      </c>
      <c r="FT79" s="823"/>
      <c r="FU79" s="825"/>
      <c r="FW79" s="865"/>
      <c r="FX79" s="231" t="s">
        <v>59</v>
      </c>
      <c r="FY79" s="231" t="s">
        <v>73</v>
      </c>
      <c r="FZ79" s="102" t="s">
        <v>4</v>
      </c>
      <c r="GA79" s="231" t="s">
        <v>59</v>
      </c>
      <c r="GB79" s="231" t="s">
        <v>73</v>
      </c>
      <c r="GC79" s="102" t="s">
        <v>4</v>
      </c>
      <c r="GD79" s="231" t="s">
        <v>59</v>
      </c>
      <c r="GE79" s="231" t="s">
        <v>73</v>
      </c>
      <c r="GF79" s="102" t="s">
        <v>4</v>
      </c>
      <c r="GG79" s="231" t="s">
        <v>59</v>
      </c>
      <c r="GH79" s="231" t="s">
        <v>73</v>
      </c>
      <c r="GI79" s="102" t="s">
        <v>4</v>
      </c>
      <c r="GJ79" s="231" t="s">
        <v>59</v>
      </c>
      <c r="GK79" s="231" t="s">
        <v>73</v>
      </c>
      <c r="GL79" s="102" t="s">
        <v>4</v>
      </c>
      <c r="GM79" s="107" t="s">
        <v>59</v>
      </c>
      <c r="GN79" s="107" t="s">
        <v>73</v>
      </c>
      <c r="GO79" s="108" t="s">
        <v>4</v>
      </c>
      <c r="GP79" s="823"/>
      <c r="GQ79" s="825"/>
      <c r="GR79" s="118"/>
      <c r="GS79" s="846"/>
      <c r="GT79" s="231" t="s">
        <v>59</v>
      </c>
      <c r="GU79" s="231" t="s">
        <v>73</v>
      </c>
      <c r="GV79" s="102" t="s">
        <v>4</v>
      </c>
      <c r="GW79" s="107" t="s">
        <v>59</v>
      </c>
      <c r="GX79" s="107" t="s">
        <v>73</v>
      </c>
      <c r="GY79" s="108" t="s">
        <v>4</v>
      </c>
      <c r="GZ79" s="107" t="s">
        <v>59</v>
      </c>
      <c r="HA79" s="107" t="s">
        <v>73</v>
      </c>
      <c r="HB79" s="108" t="s">
        <v>4</v>
      </c>
      <c r="HC79" s="107" t="s">
        <v>59</v>
      </c>
      <c r="HD79" s="107" t="s">
        <v>73</v>
      </c>
      <c r="HE79" s="108" t="s">
        <v>4</v>
      </c>
      <c r="HF79" s="107" t="s">
        <v>59</v>
      </c>
      <c r="HG79" s="107" t="s">
        <v>73</v>
      </c>
      <c r="HH79" s="108" t="s">
        <v>4</v>
      </c>
      <c r="HI79" s="107" t="s">
        <v>59</v>
      </c>
      <c r="HJ79" s="107" t="s">
        <v>73</v>
      </c>
      <c r="HK79" s="108" t="s">
        <v>4</v>
      </c>
      <c r="HL79" s="823"/>
      <c r="HM79" s="825"/>
      <c r="HN79" s="118"/>
      <c r="HO79" s="877"/>
      <c r="HP79" s="107" t="s">
        <v>59</v>
      </c>
      <c r="HQ79" s="107" t="s">
        <v>73</v>
      </c>
      <c r="HR79" s="108" t="s">
        <v>4</v>
      </c>
      <c r="HS79" s="107" t="s">
        <v>59</v>
      </c>
      <c r="HT79" s="107" t="s">
        <v>73</v>
      </c>
      <c r="HU79" s="108" t="s">
        <v>4</v>
      </c>
      <c r="HV79" s="107" t="s">
        <v>59</v>
      </c>
      <c r="HW79" s="107" t="s">
        <v>73</v>
      </c>
      <c r="HX79" s="108" t="s">
        <v>4</v>
      </c>
      <c r="HY79" s="107" t="s">
        <v>59</v>
      </c>
      <c r="HZ79" s="107" t="s">
        <v>73</v>
      </c>
      <c r="IA79" s="108" t="s">
        <v>4</v>
      </c>
      <c r="IB79" s="107" t="s">
        <v>59</v>
      </c>
      <c r="IC79" s="107" t="s">
        <v>73</v>
      </c>
      <c r="ID79" s="108" t="s">
        <v>4</v>
      </c>
      <c r="IE79" s="107" t="s">
        <v>59</v>
      </c>
      <c r="IF79" s="107" t="s">
        <v>73</v>
      </c>
      <c r="IG79" s="108" t="s">
        <v>4</v>
      </c>
      <c r="IH79" s="823"/>
      <c r="II79" s="825"/>
      <c r="IK79" s="871"/>
      <c r="IL79" s="231" t="s">
        <v>59</v>
      </c>
      <c r="IM79" s="231" t="s">
        <v>73</v>
      </c>
      <c r="IN79" s="102" t="s">
        <v>4</v>
      </c>
      <c r="IO79" s="231" t="s">
        <v>59</v>
      </c>
      <c r="IP79" s="231" t="s">
        <v>73</v>
      </c>
      <c r="IQ79" s="102" t="s">
        <v>4</v>
      </c>
      <c r="IR79" s="231" t="s">
        <v>59</v>
      </c>
      <c r="IS79" s="231" t="s">
        <v>73</v>
      </c>
      <c r="IT79" s="102" t="s">
        <v>4</v>
      </c>
      <c r="IU79" s="231" t="s">
        <v>59</v>
      </c>
      <c r="IV79" s="231" t="s">
        <v>73</v>
      </c>
      <c r="IW79" s="102" t="s">
        <v>4</v>
      </c>
      <c r="IX79" s="231" t="s">
        <v>59</v>
      </c>
      <c r="IY79" s="231" t="s">
        <v>73</v>
      </c>
      <c r="IZ79" s="102" t="s">
        <v>4</v>
      </c>
      <c r="JA79" s="231" t="s">
        <v>59</v>
      </c>
      <c r="JB79" s="231" t="s">
        <v>73</v>
      </c>
      <c r="JC79" s="102" t="s">
        <v>4</v>
      </c>
      <c r="JD79" s="948"/>
      <c r="JE79" s="823"/>
      <c r="JF79" s="825"/>
    </row>
    <row r="80" spans="27:268" ht="15">
      <c r="AA80" s="847"/>
      <c r="AB80" s="233"/>
      <c r="AC80" s="233"/>
      <c r="AD80" s="233"/>
      <c r="AE80" s="233"/>
      <c r="AF80" s="233"/>
      <c r="AG80" s="233"/>
      <c r="AH80" s="233"/>
      <c r="AI80" s="233"/>
      <c r="AJ80" s="233"/>
      <c r="AK80" s="233"/>
      <c r="AL80" s="233"/>
      <c r="AM80" s="233"/>
      <c r="AN80" s="233"/>
      <c r="AO80" s="233"/>
      <c r="AP80" s="233"/>
      <c r="AQ80" s="229">
        <f t="shared" ref="AQ80" si="328">(AB80*AC80*AD80)+(AE80*AF80*AG80)+(AH80*AI80*AJ80)+(AK80*AL80*AM80)+(AN80*AO80*AP80)</f>
        <v>0</v>
      </c>
      <c r="AR80" s="826"/>
      <c r="AT80" s="847"/>
      <c r="AU80" s="233"/>
      <c r="AV80" s="233"/>
      <c r="AW80" s="233"/>
      <c r="AX80" s="233"/>
      <c r="AY80" s="233"/>
      <c r="AZ80" s="233"/>
      <c r="BA80" s="233"/>
      <c r="BB80" s="233"/>
      <c r="BC80" s="233"/>
      <c r="BD80" s="233"/>
      <c r="BE80" s="233"/>
      <c r="BF80" s="233"/>
      <c r="BG80" s="233"/>
      <c r="BH80" s="233"/>
      <c r="BI80" s="233"/>
      <c r="BJ80" s="229">
        <f t="shared" ref="BJ80" si="329">(AU80*AV80*AW80)+(AX80*AY80*AZ80)+(BA80*BB80*BC80)+(BD80*BE80*BF80)+(BG80*BH80*BI80)</f>
        <v>0</v>
      </c>
      <c r="BK80" s="826"/>
      <c r="BL80" s="118"/>
      <c r="BM80" s="842"/>
      <c r="BN80" s="229">
        <v>1</v>
      </c>
      <c r="BO80" s="229">
        <v>41</v>
      </c>
      <c r="BP80" s="229">
        <f>CD78</f>
        <v>84.3</v>
      </c>
      <c r="BQ80" s="233"/>
      <c r="BR80" s="233"/>
      <c r="BS80" s="233"/>
      <c r="BT80" s="233"/>
      <c r="BU80" s="233"/>
      <c r="BV80" s="233"/>
      <c r="BW80" s="233"/>
      <c r="BX80" s="233"/>
      <c r="BY80" s="233"/>
      <c r="BZ80" s="233"/>
      <c r="CA80" s="233"/>
      <c r="CB80" s="233"/>
      <c r="CC80" s="229">
        <f t="shared" ref="CC80" si="330">(BN80*BO80*BP80)+(BQ80*BR80*BS80)+(BT80*BU80*BV80)+(BW80*BX80*BY80)+(BZ80*CA80*CB80)</f>
        <v>3456.2999999999997</v>
      </c>
      <c r="CD80" s="826"/>
      <c r="CF80" s="872"/>
      <c r="CG80" s="229">
        <v>4</v>
      </c>
      <c r="CH80" s="229">
        <v>12</v>
      </c>
      <c r="CI80" s="229">
        <v>1</v>
      </c>
      <c r="CJ80" s="229">
        <v>4</v>
      </c>
      <c r="CK80" s="229">
        <f>((12*1)+(14*1)+(10*2))/4</f>
        <v>11.5</v>
      </c>
      <c r="CL80" s="229">
        <f>((5*2)+(7.5*2))/4</f>
        <v>6.25</v>
      </c>
      <c r="CM80" s="229">
        <v>4</v>
      </c>
      <c r="CN80" s="229">
        <v>12</v>
      </c>
      <c r="CO80" s="229">
        <v>1</v>
      </c>
      <c r="CP80" s="233"/>
      <c r="CQ80" s="233"/>
      <c r="CR80" s="233"/>
      <c r="CS80" s="233"/>
      <c r="CT80" s="233"/>
      <c r="CU80" s="233"/>
      <c r="CV80" s="229">
        <f t="shared" ref="CV80" si="331">(CG80*CH80*CI80)+(CJ80*CK80*CL80)+(CM80*CN80*CO80)+(CP80*CQ80*CR80)+(CS80*CT80*CU80)</f>
        <v>383.5</v>
      </c>
      <c r="CW80" s="826"/>
      <c r="CX80" s="118"/>
      <c r="CY80" s="875"/>
      <c r="CZ80" s="229">
        <v>3</v>
      </c>
      <c r="DA80" s="229">
        <v>8</v>
      </c>
      <c r="DB80" s="229">
        <v>11.3</v>
      </c>
      <c r="DC80" s="229">
        <v>3</v>
      </c>
      <c r="DD80" s="229">
        <v>10</v>
      </c>
      <c r="DE80" s="229">
        <v>17.5</v>
      </c>
      <c r="DF80" s="229">
        <v>3</v>
      </c>
      <c r="DG80" s="229">
        <v>12</v>
      </c>
      <c r="DH80" s="229">
        <v>5</v>
      </c>
      <c r="DI80" s="229">
        <v>3</v>
      </c>
      <c r="DJ80" s="126">
        <f>((10*1)+(12*2))/4</f>
        <v>8.5</v>
      </c>
      <c r="DK80" s="126">
        <v>7.5</v>
      </c>
      <c r="DL80" s="233"/>
      <c r="DM80" s="233"/>
      <c r="DN80" s="233"/>
      <c r="DO80" s="229">
        <f>(CZ80*DA80*DB80)+(DC80*DD80*DE80)+(DF80*DG80*DH80)+(DI80*DJ80*DK80)+(DL80*DM80*DN80)</f>
        <v>1167.45</v>
      </c>
      <c r="DP80" s="826"/>
      <c r="DR80" s="842"/>
      <c r="DS80" s="233"/>
      <c r="DT80" s="233"/>
      <c r="DU80" s="233"/>
      <c r="DV80" s="233"/>
      <c r="DW80" s="233"/>
      <c r="DX80" s="233"/>
      <c r="DY80" s="233"/>
      <c r="DZ80" s="233"/>
      <c r="EA80" s="233"/>
      <c r="EB80" s="233"/>
      <c r="EC80" s="233"/>
      <c r="ED80" s="233"/>
      <c r="EE80" s="233"/>
      <c r="EF80" s="233"/>
      <c r="EG80" s="233"/>
      <c r="EH80" s="229">
        <f>(DS80*DT80*DU80)+(DV80*DW80*DX80)+(DY80*DZ80*EA80)+(EB80*EC80*ED80)+(EE80*EF80*EG80)</f>
        <v>0</v>
      </c>
      <c r="EI80" s="826"/>
      <c r="EK80" s="858"/>
      <c r="EL80" s="233"/>
      <c r="EM80" s="233"/>
      <c r="EN80" s="233"/>
      <c r="EO80" s="233"/>
      <c r="EP80" s="233"/>
      <c r="EQ80" s="233"/>
      <c r="ER80" s="233"/>
      <c r="ES80" s="233"/>
      <c r="ET80" s="233"/>
      <c r="EU80" s="233"/>
      <c r="EV80" s="233"/>
      <c r="EW80" s="233"/>
      <c r="EX80" s="233"/>
      <c r="EY80" s="233"/>
      <c r="EZ80" s="233"/>
      <c r="FA80" s="229">
        <f>(EL80*EM80*EN80)+(EO80*EP80*EQ80)+(ER80*ES80*ET80)+(EU80*EV80*EW80)+(EX80*EY80*EZ80)</f>
        <v>0</v>
      </c>
      <c r="FB80" s="826"/>
      <c r="FD80" s="878"/>
      <c r="FE80" s="233"/>
      <c r="FF80" s="233"/>
      <c r="FG80" s="233"/>
      <c r="FH80" s="233"/>
      <c r="FI80" s="233"/>
      <c r="FJ80" s="233"/>
      <c r="FK80" s="233"/>
      <c r="FL80" s="233"/>
      <c r="FM80" s="233"/>
      <c r="FN80" s="233"/>
      <c r="FO80" s="233"/>
      <c r="FP80" s="233"/>
      <c r="FQ80" s="233"/>
      <c r="FR80" s="233"/>
      <c r="FS80" s="233"/>
      <c r="FT80" s="229">
        <f>(FE80*FF80*FG80)+(FH80*FI80*FJ80)+(FK80*FL80*FM80)+(FN80*FO80*FP80)+(FQ80*FR80*FS80)</f>
        <v>0</v>
      </c>
      <c r="FU80" s="826"/>
      <c r="FW80" s="866"/>
      <c r="FX80" s="229">
        <v>3</v>
      </c>
      <c r="FY80" s="229">
        <v>10</v>
      </c>
      <c r="FZ80" s="229">
        <v>63</v>
      </c>
      <c r="GA80" s="229">
        <v>4</v>
      </c>
      <c r="GB80" s="229">
        <f>((20*1)+(12*3))/4</f>
        <v>14</v>
      </c>
      <c r="GC80" s="229">
        <f>((15.9*1)+(20.4*3))/4</f>
        <v>19.274999999999999</v>
      </c>
      <c r="GD80" s="229">
        <v>4</v>
      </c>
      <c r="GE80" s="229">
        <f>((12*1)+(8*3))/4</f>
        <v>9</v>
      </c>
      <c r="GF80" s="229">
        <f>((7.5*1)+(18.5*3))/4</f>
        <v>15.75</v>
      </c>
      <c r="GG80" s="229">
        <v>4</v>
      </c>
      <c r="GH80" s="229">
        <v>12</v>
      </c>
      <c r="GI80" s="229">
        <v>12.5</v>
      </c>
      <c r="GJ80" s="229">
        <v>2</v>
      </c>
      <c r="GK80" s="229">
        <f>((8*1)+(10*2))/3</f>
        <v>9.3333333333333339</v>
      </c>
      <c r="GL80" s="229">
        <v>17.5</v>
      </c>
      <c r="GM80" s="233"/>
      <c r="GN80" s="233"/>
      <c r="GO80" s="233"/>
      <c r="GP80" s="229">
        <f>(FX80*FY80*FZ80)+(GA80*GB80*GC80)+(GD80*GE80*GF80)+(GG80*GH80*GI80)+(GJ80*GK80*GL80)+(GM80*GN80*GO80)</f>
        <v>4463.0666666666666</v>
      </c>
      <c r="GQ80" s="826"/>
      <c r="GR80" s="118"/>
      <c r="GS80" s="847"/>
      <c r="GT80" s="229">
        <v>1</v>
      </c>
      <c r="GU80" s="229">
        <v>30</v>
      </c>
      <c r="GV80" s="229">
        <f>HM78</f>
        <v>77.599999999999994</v>
      </c>
      <c r="GW80" s="233"/>
      <c r="GX80" s="233"/>
      <c r="GY80" s="233"/>
      <c r="GZ80" s="233"/>
      <c r="HA80" s="233"/>
      <c r="HB80" s="233"/>
      <c r="HC80" s="233"/>
      <c r="HD80" s="233"/>
      <c r="HE80" s="233"/>
      <c r="HF80" s="233"/>
      <c r="HG80" s="233"/>
      <c r="HH80" s="233"/>
      <c r="HI80" s="233"/>
      <c r="HJ80" s="233"/>
      <c r="HK80" s="233"/>
      <c r="HL80" s="229">
        <f>(GT80*GU80*GV80)+(GW80*GX80*GY80)+(GZ80*HA80*HB80)+(HC80*HD80*HE80)+(HF80*HG80*HH80)+(HI80*HJ80*HK80)</f>
        <v>2328</v>
      </c>
      <c r="HM80" s="826"/>
      <c r="HN80" s="118"/>
      <c r="HO80" s="878"/>
      <c r="HP80" s="233"/>
      <c r="HQ80" s="233"/>
      <c r="HR80" s="233"/>
      <c r="HS80" s="233"/>
      <c r="HT80" s="233"/>
      <c r="HU80" s="233"/>
      <c r="HV80" s="233"/>
      <c r="HW80" s="233"/>
      <c r="HX80" s="233"/>
      <c r="HY80" s="233"/>
      <c r="HZ80" s="233"/>
      <c r="IA80" s="233"/>
      <c r="IB80" s="233"/>
      <c r="IC80" s="233"/>
      <c r="ID80" s="233"/>
      <c r="IE80" s="233"/>
      <c r="IF80" s="233"/>
      <c r="IG80" s="233"/>
      <c r="IH80" s="229">
        <f>(HP80*HQ80*HR80)+(HS80*HT80*HU80)+(HV80*HW80*HX80)+(HY80*HZ80*IA80)+(IB80*IC80*ID80)+(IE80*IF80*IG80)</f>
        <v>0</v>
      </c>
      <c r="II80" s="826"/>
      <c r="IK80" s="872"/>
      <c r="IL80" s="229"/>
      <c r="IM80" s="229"/>
      <c r="IN80" s="229"/>
      <c r="IO80" s="229"/>
      <c r="IP80" s="229"/>
      <c r="IQ80" s="229"/>
      <c r="IR80" s="229"/>
      <c r="IS80" s="229"/>
      <c r="IT80" s="229"/>
      <c r="IU80" s="229"/>
      <c r="IV80" s="229"/>
      <c r="IW80" s="229"/>
      <c r="IX80" s="229"/>
      <c r="IY80" s="229"/>
      <c r="IZ80" s="229"/>
      <c r="JA80" s="229"/>
      <c r="JB80" s="229"/>
      <c r="JC80" s="229"/>
      <c r="JD80" s="949"/>
      <c r="JE80" s="229">
        <f>(IL80*IM80*IN80)+(IO80*IP80*IQ80)+(IR80*IS80*IT80)+(IU80*IV80*IW80)+(IX80*IY80*IZ80)+(JA80*JB80*JC80)</f>
        <v>0</v>
      </c>
      <c r="JF80" s="826"/>
    </row>
    <row r="81" spans="27:269" ht="15">
      <c r="AA81" s="873">
        <v>45715</v>
      </c>
      <c r="AB81" s="849" t="s">
        <v>70</v>
      </c>
      <c r="AC81" s="849"/>
      <c r="AD81" s="849"/>
      <c r="AE81" s="860"/>
      <c r="AF81" s="860"/>
      <c r="AG81" s="860"/>
      <c r="AH81" s="843"/>
      <c r="AI81" s="843"/>
      <c r="AJ81" s="843"/>
      <c r="AK81" s="834"/>
      <c r="AL81" s="835"/>
      <c r="AM81" s="836"/>
      <c r="AN81" s="844"/>
      <c r="AO81" s="844"/>
      <c r="AP81" s="844"/>
      <c r="AQ81" s="823">
        <f t="shared" ref="AQ81" si="332">COUNTA(AB81:AP81)</f>
        <v>1</v>
      </c>
      <c r="AR81" s="824">
        <v>92.2</v>
      </c>
      <c r="AT81" s="873">
        <v>45743</v>
      </c>
      <c r="AU81" s="849" t="s">
        <v>79</v>
      </c>
      <c r="AV81" s="849"/>
      <c r="AW81" s="849"/>
      <c r="AX81" s="886" t="s">
        <v>80</v>
      </c>
      <c r="AY81" s="886"/>
      <c r="AZ81" s="886"/>
      <c r="BA81" s="886" t="s">
        <v>81</v>
      </c>
      <c r="BB81" s="886"/>
      <c r="BC81" s="886"/>
      <c r="BD81" s="886" t="s">
        <v>82</v>
      </c>
      <c r="BE81" s="886"/>
      <c r="BF81" s="886"/>
      <c r="BG81" s="844"/>
      <c r="BH81" s="844"/>
      <c r="BI81" s="844"/>
      <c r="BJ81" s="823">
        <f t="shared" ref="BJ81" si="333">COUNTA(AU81:BI81)</f>
        <v>4</v>
      </c>
      <c r="BK81" s="824">
        <v>89.2</v>
      </c>
      <c r="BL81" s="118"/>
      <c r="BM81" s="864">
        <v>45774</v>
      </c>
      <c r="BN81" s="849" t="s">
        <v>119</v>
      </c>
      <c r="BO81" s="849"/>
      <c r="BP81" s="849"/>
      <c r="BQ81" s="849" t="s">
        <v>79</v>
      </c>
      <c r="BR81" s="849"/>
      <c r="BS81" s="849"/>
      <c r="BT81" s="886" t="s">
        <v>82</v>
      </c>
      <c r="BU81" s="886"/>
      <c r="BV81" s="886"/>
      <c r="BW81" s="890" t="s">
        <v>93</v>
      </c>
      <c r="BX81" s="890"/>
      <c r="BY81" s="890"/>
      <c r="BZ81" s="844"/>
      <c r="CA81" s="844"/>
      <c r="CB81" s="844"/>
      <c r="CC81" s="823">
        <f t="shared" ref="CC81" si="334">COUNTA(BN81:CB81)</f>
        <v>4</v>
      </c>
      <c r="CD81" s="824">
        <v>84.9</v>
      </c>
      <c r="CF81" s="856">
        <v>45804</v>
      </c>
      <c r="CG81" s="849" t="s">
        <v>70</v>
      </c>
      <c r="CH81" s="849"/>
      <c r="CI81" s="849"/>
      <c r="CJ81" s="859"/>
      <c r="CK81" s="859"/>
      <c r="CL81" s="859"/>
      <c r="CM81" s="844"/>
      <c r="CN81" s="844"/>
      <c r="CO81" s="844"/>
      <c r="CP81" s="844"/>
      <c r="CQ81" s="844"/>
      <c r="CR81" s="844"/>
      <c r="CS81" s="844"/>
      <c r="CT81" s="844"/>
      <c r="CU81" s="844"/>
      <c r="CV81" s="823">
        <f t="shared" ref="CV81" si="335">COUNTA(CG81:CU81)</f>
        <v>1</v>
      </c>
      <c r="CW81" s="824">
        <v>84.1</v>
      </c>
      <c r="CX81" s="118"/>
      <c r="CY81" s="876">
        <v>45835</v>
      </c>
      <c r="CZ81" s="859"/>
      <c r="DA81" s="859"/>
      <c r="DB81" s="859"/>
      <c r="DC81" s="859"/>
      <c r="DD81" s="859"/>
      <c r="DE81" s="859"/>
      <c r="DF81" s="844"/>
      <c r="DG81" s="844"/>
      <c r="DH81" s="844"/>
      <c r="DI81" s="844"/>
      <c r="DJ81" s="844"/>
      <c r="DK81" s="844"/>
      <c r="DL81" s="844"/>
      <c r="DM81" s="844"/>
      <c r="DN81" s="844"/>
      <c r="DO81" s="823">
        <f t="shared" ref="DO81" si="336">COUNTA(CZ81:DN81)</f>
        <v>0</v>
      </c>
      <c r="DP81" s="824">
        <f>DP78</f>
        <v>82.9</v>
      </c>
      <c r="DR81" s="864">
        <v>45865</v>
      </c>
      <c r="DS81" s="859"/>
      <c r="DT81" s="859"/>
      <c r="DU81" s="859"/>
      <c r="DV81" s="859"/>
      <c r="DW81" s="859"/>
      <c r="DX81" s="859"/>
      <c r="DY81" s="844"/>
      <c r="DZ81" s="844"/>
      <c r="EA81" s="844"/>
      <c r="EB81" s="844"/>
      <c r="EC81" s="844"/>
      <c r="ED81" s="844"/>
      <c r="EE81" s="844"/>
      <c r="EF81" s="844"/>
      <c r="EG81" s="844"/>
      <c r="EH81" s="823">
        <f t="shared" ref="EH81" si="337">COUNTA(DS81:EG81)</f>
        <v>0</v>
      </c>
      <c r="EI81" s="824">
        <f>EI78</f>
        <v>81.099999999999994</v>
      </c>
      <c r="EK81" s="845">
        <v>45896</v>
      </c>
      <c r="EL81" s="849" t="s">
        <v>72</v>
      </c>
      <c r="EM81" s="849"/>
      <c r="EN81" s="849"/>
      <c r="EO81" s="848" t="s">
        <v>105</v>
      </c>
      <c r="EP81" s="848"/>
      <c r="EQ81" s="848"/>
      <c r="ER81" s="844"/>
      <c r="ES81" s="844"/>
      <c r="ET81" s="844"/>
      <c r="EU81" s="844"/>
      <c r="EV81" s="844"/>
      <c r="EW81" s="844"/>
      <c r="EX81" s="844"/>
      <c r="EY81" s="844"/>
      <c r="EZ81" s="844"/>
      <c r="FA81" s="823">
        <f t="shared" ref="FA81" si="338">COUNTA(EL81:EZ81)</f>
        <v>2</v>
      </c>
      <c r="FB81" s="824">
        <v>79.3</v>
      </c>
      <c r="FD81" s="840">
        <v>45927</v>
      </c>
      <c r="FE81" s="844"/>
      <c r="FF81" s="844"/>
      <c r="FG81" s="844"/>
      <c r="FH81" s="844"/>
      <c r="FI81" s="844"/>
      <c r="FJ81" s="844"/>
      <c r="FK81" s="844"/>
      <c r="FL81" s="844"/>
      <c r="FM81" s="844"/>
      <c r="FN81" s="844"/>
      <c r="FO81" s="844"/>
      <c r="FP81" s="844"/>
      <c r="FQ81" s="844"/>
      <c r="FR81" s="844"/>
      <c r="FS81" s="844"/>
      <c r="FT81" s="823">
        <f t="shared" ref="FT81" si="339">COUNTA(FE81:FS81)</f>
        <v>0</v>
      </c>
      <c r="FU81" s="824">
        <f t="shared" ref="FU81" si="340">FU78</f>
        <v>79.5</v>
      </c>
      <c r="FW81" s="870">
        <v>45957</v>
      </c>
      <c r="FX81" s="879" t="s">
        <v>78</v>
      </c>
      <c r="FY81" s="880"/>
      <c r="FZ81" s="881"/>
      <c r="GA81" s="882" t="s">
        <v>85</v>
      </c>
      <c r="GB81" s="883"/>
      <c r="GC81" s="884"/>
      <c r="GD81" s="849" t="s">
        <v>72</v>
      </c>
      <c r="GE81" s="849"/>
      <c r="GF81" s="849"/>
      <c r="GG81" s="882" t="s">
        <v>123</v>
      </c>
      <c r="GH81" s="883"/>
      <c r="GI81" s="884"/>
      <c r="GJ81" s="867"/>
      <c r="GK81" s="868"/>
      <c r="GL81" s="869"/>
      <c r="GM81" s="834"/>
      <c r="GN81" s="835"/>
      <c r="GO81" s="836"/>
      <c r="GP81" s="823">
        <f>COUNTA(FX81:GO81)</f>
        <v>4</v>
      </c>
      <c r="GQ81" s="824">
        <v>78.3</v>
      </c>
      <c r="GR81" s="118"/>
      <c r="GS81" s="873">
        <v>45988</v>
      </c>
      <c r="GT81" s="848" t="s">
        <v>86</v>
      </c>
      <c r="GU81" s="848"/>
      <c r="GV81" s="848"/>
      <c r="GW81" s="859"/>
      <c r="GX81" s="859"/>
      <c r="GY81" s="859"/>
      <c r="GZ81" s="834"/>
      <c r="HA81" s="835"/>
      <c r="HB81" s="836"/>
      <c r="HC81" s="867"/>
      <c r="HD81" s="868"/>
      <c r="HE81" s="869"/>
      <c r="HF81" s="834"/>
      <c r="HG81" s="835"/>
      <c r="HH81" s="836"/>
      <c r="HI81" s="834"/>
      <c r="HJ81" s="835"/>
      <c r="HK81" s="836"/>
      <c r="HL81" s="823">
        <f>COUNTA(GT81:HK81)</f>
        <v>1</v>
      </c>
      <c r="HM81" s="824">
        <f>HM78</f>
        <v>77.599999999999994</v>
      </c>
      <c r="HN81" s="118"/>
      <c r="HO81" s="840">
        <v>46018</v>
      </c>
      <c r="HP81" s="834"/>
      <c r="HQ81" s="835"/>
      <c r="HR81" s="836"/>
      <c r="HS81" s="843"/>
      <c r="HT81" s="843"/>
      <c r="HU81" s="843"/>
      <c r="HV81" s="834"/>
      <c r="HW81" s="835"/>
      <c r="HX81" s="836"/>
      <c r="HY81" s="844"/>
      <c r="HZ81" s="844"/>
      <c r="IA81" s="844"/>
      <c r="IB81" s="844"/>
      <c r="IC81" s="844"/>
      <c r="ID81" s="844"/>
      <c r="IE81" s="834"/>
      <c r="IF81" s="835"/>
      <c r="IG81" s="836"/>
      <c r="IH81" s="823">
        <f>COUNTA(HP81:IG81)</f>
        <v>0</v>
      </c>
      <c r="II81" s="824">
        <f>II78</f>
        <v>76.900000000000006</v>
      </c>
      <c r="IK81" s="856">
        <v>46049</v>
      </c>
      <c r="IL81" s="848"/>
      <c r="IM81" s="848"/>
      <c r="IN81" s="848"/>
      <c r="IO81" s="848"/>
      <c r="IP81" s="848"/>
      <c r="IQ81" s="848"/>
      <c r="IR81" s="848"/>
      <c r="IS81" s="848"/>
      <c r="IT81" s="848"/>
      <c r="IU81" s="848"/>
      <c r="IV81" s="848"/>
      <c r="IW81" s="848"/>
      <c r="IX81" s="882"/>
      <c r="IY81" s="883"/>
      <c r="IZ81" s="884"/>
      <c r="JA81" s="882"/>
      <c r="JB81" s="883"/>
      <c r="JC81" s="884"/>
      <c r="JD81" s="232" t="s">
        <v>425</v>
      </c>
      <c r="JE81" s="823">
        <f>COUNTA(IL81:JC81)</f>
        <v>0</v>
      </c>
      <c r="JF81" s="824"/>
    </row>
    <row r="82" spans="27:269" ht="15">
      <c r="AA82" s="874"/>
      <c r="AB82" s="231" t="s">
        <v>59</v>
      </c>
      <c r="AC82" s="231" t="s">
        <v>73</v>
      </c>
      <c r="AD82" s="102" t="s">
        <v>4</v>
      </c>
      <c r="AE82" s="107" t="s">
        <v>59</v>
      </c>
      <c r="AF82" s="107" t="s">
        <v>73</v>
      </c>
      <c r="AG82" s="108" t="s">
        <v>4</v>
      </c>
      <c r="AH82" s="107" t="s">
        <v>59</v>
      </c>
      <c r="AI82" s="107" t="s">
        <v>73</v>
      </c>
      <c r="AJ82" s="108" t="s">
        <v>4</v>
      </c>
      <c r="AK82" s="107" t="s">
        <v>59</v>
      </c>
      <c r="AL82" s="107" t="s">
        <v>73</v>
      </c>
      <c r="AM82" s="108" t="s">
        <v>4</v>
      </c>
      <c r="AN82" s="107" t="s">
        <v>59</v>
      </c>
      <c r="AO82" s="107" t="s">
        <v>73</v>
      </c>
      <c r="AP82" s="108" t="s">
        <v>4</v>
      </c>
      <c r="AQ82" s="823"/>
      <c r="AR82" s="825"/>
      <c r="AT82" s="874"/>
      <c r="AU82" s="231" t="s">
        <v>59</v>
      </c>
      <c r="AV82" s="231" t="s">
        <v>73</v>
      </c>
      <c r="AW82" s="102" t="s">
        <v>4</v>
      </c>
      <c r="AX82" s="231" t="s">
        <v>59</v>
      </c>
      <c r="AY82" s="231" t="s">
        <v>73</v>
      </c>
      <c r="AZ82" s="102" t="s">
        <v>4</v>
      </c>
      <c r="BA82" s="231" t="s">
        <v>59</v>
      </c>
      <c r="BB82" s="231" t="s">
        <v>73</v>
      </c>
      <c r="BC82" s="102" t="s">
        <v>4</v>
      </c>
      <c r="BD82" s="231" t="s">
        <v>59</v>
      </c>
      <c r="BE82" s="231" t="s">
        <v>73</v>
      </c>
      <c r="BF82" s="102" t="s">
        <v>4</v>
      </c>
      <c r="BG82" s="107" t="s">
        <v>59</v>
      </c>
      <c r="BH82" s="107" t="s">
        <v>73</v>
      </c>
      <c r="BI82" s="108" t="s">
        <v>4</v>
      </c>
      <c r="BJ82" s="823"/>
      <c r="BK82" s="825"/>
      <c r="BL82" s="118"/>
      <c r="BM82" s="865"/>
      <c r="BN82" s="231" t="s">
        <v>59</v>
      </c>
      <c r="BO82" s="231" t="s">
        <v>73</v>
      </c>
      <c r="BP82" s="102" t="s">
        <v>4</v>
      </c>
      <c r="BQ82" s="231" t="s">
        <v>59</v>
      </c>
      <c r="BR82" s="231" t="s">
        <v>73</v>
      </c>
      <c r="BS82" s="102" t="s">
        <v>4</v>
      </c>
      <c r="BT82" s="231" t="s">
        <v>59</v>
      </c>
      <c r="BU82" s="231" t="s">
        <v>73</v>
      </c>
      <c r="BV82" s="102" t="s">
        <v>4</v>
      </c>
      <c r="BW82" s="231" t="s">
        <v>59</v>
      </c>
      <c r="BX82" s="231" t="s">
        <v>73</v>
      </c>
      <c r="BY82" s="102" t="s">
        <v>4</v>
      </c>
      <c r="BZ82" s="107" t="s">
        <v>59</v>
      </c>
      <c r="CA82" s="107" t="s">
        <v>73</v>
      </c>
      <c r="CB82" s="108" t="s">
        <v>4</v>
      </c>
      <c r="CC82" s="823"/>
      <c r="CD82" s="825"/>
      <c r="CF82" s="857"/>
      <c r="CG82" s="231" t="s">
        <v>59</v>
      </c>
      <c r="CH82" s="231" t="s">
        <v>73</v>
      </c>
      <c r="CI82" s="102" t="s">
        <v>4</v>
      </c>
      <c r="CJ82" s="107" t="s">
        <v>59</v>
      </c>
      <c r="CK82" s="107" t="s">
        <v>73</v>
      </c>
      <c r="CL82" s="108" t="s">
        <v>4</v>
      </c>
      <c r="CM82" s="107" t="s">
        <v>59</v>
      </c>
      <c r="CN82" s="107" t="s">
        <v>73</v>
      </c>
      <c r="CO82" s="108" t="s">
        <v>4</v>
      </c>
      <c r="CP82" s="107" t="s">
        <v>59</v>
      </c>
      <c r="CQ82" s="107" t="s">
        <v>73</v>
      </c>
      <c r="CR82" s="108" t="s">
        <v>4</v>
      </c>
      <c r="CS82" s="107" t="s">
        <v>59</v>
      </c>
      <c r="CT82" s="107" t="s">
        <v>73</v>
      </c>
      <c r="CU82" s="108" t="s">
        <v>4</v>
      </c>
      <c r="CV82" s="823"/>
      <c r="CW82" s="825"/>
      <c r="CX82" s="118"/>
      <c r="CY82" s="877"/>
      <c r="CZ82" s="107" t="s">
        <v>59</v>
      </c>
      <c r="DA82" s="107" t="s">
        <v>73</v>
      </c>
      <c r="DB82" s="108" t="s">
        <v>4</v>
      </c>
      <c r="DC82" s="107" t="s">
        <v>59</v>
      </c>
      <c r="DD82" s="107" t="s">
        <v>73</v>
      </c>
      <c r="DE82" s="108" t="s">
        <v>4</v>
      </c>
      <c r="DF82" s="107" t="s">
        <v>59</v>
      </c>
      <c r="DG82" s="107" t="s">
        <v>73</v>
      </c>
      <c r="DH82" s="108" t="s">
        <v>4</v>
      </c>
      <c r="DI82" s="107" t="s">
        <v>59</v>
      </c>
      <c r="DJ82" s="107" t="s">
        <v>73</v>
      </c>
      <c r="DK82" s="108" t="s">
        <v>4</v>
      </c>
      <c r="DL82" s="107" t="s">
        <v>59</v>
      </c>
      <c r="DM82" s="107" t="s">
        <v>73</v>
      </c>
      <c r="DN82" s="108" t="s">
        <v>4</v>
      </c>
      <c r="DO82" s="823"/>
      <c r="DP82" s="825"/>
      <c r="DR82" s="865"/>
      <c r="DS82" s="107" t="s">
        <v>59</v>
      </c>
      <c r="DT82" s="107" t="s">
        <v>73</v>
      </c>
      <c r="DU82" s="108" t="s">
        <v>4</v>
      </c>
      <c r="DV82" s="107" t="s">
        <v>59</v>
      </c>
      <c r="DW82" s="107" t="s">
        <v>73</v>
      </c>
      <c r="DX82" s="108" t="s">
        <v>4</v>
      </c>
      <c r="DY82" s="107" t="s">
        <v>59</v>
      </c>
      <c r="DZ82" s="107" t="s">
        <v>73</v>
      </c>
      <c r="EA82" s="108" t="s">
        <v>4</v>
      </c>
      <c r="EB82" s="107" t="s">
        <v>59</v>
      </c>
      <c r="EC82" s="107" t="s">
        <v>73</v>
      </c>
      <c r="ED82" s="108" t="s">
        <v>4</v>
      </c>
      <c r="EE82" s="107" t="s">
        <v>59</v>
      </c>
      <c r="EF82" s="107" t="s">
        <v>73</v>
      </c>
      <c r="EG82" s="108" t="s">
        <v>4</v>
      </c>
      <c r="EH82" s="823"/>
      <c r="EI82" s="825"/>
      <c r="EK82" s="846"/>
      <c r="EL82" s="231" t="s">
        <v>59</v>
      </c>
      <c r="EM82" s="231" t="s">
        <v>73</v>
      </c>
      <c r="EN82" s="102" t="s">
        <v>4</v>
      </c>
      <c r="EO82" s="231" t="s">
        <v>59</v>
      </c>
      <c r="EP82" s="231" t="s">
        <v>73</v>
      </c>
      <c r="EQ82" s="102" t="s">
        <v>4</v>
      </c>
      <c r="ER82" s="107" t="s">
        <v>59</v>
      </c>
      <c r="ES82" s="107" t="s">
        <v>73</v>
      </c>
      <c r="ET82" s="108" t="s">
        <v>4</v>
      </c>
      <c r="EU82" s="107" t="s">
        <v>59</v>
      </c>
      <c r="EV82" s="107" t="s">
        <v>73</v>
      </c>
      <c r="EW82" s="108" t="s">
        <v>4</v>
      </c>
      <c r="EX82" s="107" t="s">
        <v>59</v>
      </c>
      <c r="EY82" s="107" t="s">
        <v>73</v>
      </c>
      <c r="EZ82" s="108" t="s">
        <v>4</v>
      </c>
      <c r="FA82" s="823"/>
      <c r="FB82" s="825"/>
      <c r="FD82" s="841"/>
      <c r="FE82" s="107" t="s">
        <v>59</v>
      </c>
      <c r="FF82" s="107" t="s">
        <v>73</v>
      </c>
      <c r="FG82" s="108" t="s">
        <v>4</v>
      </c>
      <c r="FH82" s="107" t="s">
        <v>59</v>
      </c>
      <c r="FI82" s="107" t="s">
        <v>73</v>
      </c>
      <c r="FJ82" s="108" t="s">
        <v>4</v>
      </c>
      <c r="FK82" s="107" t="s">
        <v>59</v>
      </c>
      <c r="FL82" s="107" t="s">
        <v>73</v>
      </c>
      <c r="FM82" s="108" t="s">
        <v>4</v>
      </c>
      <c r="FN82" s="107" t="s">
        <v>59</v>
      </c>
      <c r="FO82" s="107" t="s">
        <v>73</v>
      </c>
      <c r="FP82" s="108" t="s">
        <v>4</v>
      </c>
      <c r="FQ82" s="107" t="s">
        <v>59</v>
      </c>
      <c r="FR82" s="107" t="s">
        <v>73</v>
      </c>
      <c r="FS82" s="108" t="s">
        <v>4</v>
      </c>
      <c r="FT82" s="823"/>
      <c r="FU82" s="825"/>
      <c r="FW82" s="871"/>
      <c r="FX82" s="231" t="s">
        <v>59</v>
      </c>
      <c r="FY82" s="231" t="s">
        <v>73</v>
      </c>
      <c r="FZ82" s="102" t="s">
        <v>4</v>
      </c>
      <c r="GA82" s="231" t="s">
        <v>59</v>
      </c>
      <c r="GB82" s="231" t="s">
        <v>73</v>
      </c>
      <c r="GC82" s="102" t="s">
        <v>4</v>
      </c>
      <c r="GD82" s="231" t="s">
        <v>59</v>
      </c>
      <c r="GE82" s="231" t="s">
        <v>73</v>
      </c>
      <c r="GF82" s="102" t="s">
        <v>4</v>
      </c>
      <c r="GG82" s="231" t="s">
        <v>59</v>
      </c>
      <c r="GH82" s="231" t="s">
        <v>73</v>
      </c>
      <c r="GI82" s="102" t="s">
        <v>4</v>
      </c>
      <c r="GJ82" s="107" t="s">
        <v>59</v>
      </c>
      <c r="GK82" s="107" t="s">
        <v>73</v>
      </c>
      <c r="GL82" s="108" t="s">
        <v>4</v>
      </c>
      <c r="GM82" s="107" t="s">
        <v>59</v>
      </c>
      <c r="GN82" s="107" t="s">
        <v>73</v>
      </c>
      <c r="GO82" s="108" t="s">
        <v>4</v>
      </c>
      <c r="GP82" s="823"/>
      <c r="GQ82" s="825"/>
      <c r="GR82" s="118"/>
      <c r="GS82" s="874"/>
      <c r="GT82" s="231" t="s">
        <v>59</v>
      </c>
      <c r="GU82" s="231" t="s">
        <v>73</v>
      </c>
      <c r="GV82" s="102" t="s">
        <v>4</v>
      </c>
      <c r="GW82" s="107" t="s">
        <v>59</v>
      </c>
      <c r="GX82" s="107" t="s">
        <v>73</v>
      </c>
      <c r="GY82" s="108" t="s">
        <v>4</v>
      </c>
      <c r="GZ82" s="107" t="s">
        <v>59</v>
      </c>
      <c r="HA82" s="107" t="s">
        <v>73</v>
      </c>
      <c r="HB82" s="108" t="s">
        <v>4</v>
      </c>
      <c r="HC82" s="107" t="s">
        <v>59</v>
      </c>
      <c r="HD82" s="107" t="s">
        <v>73</v>
      </c>
      <c r="HE82" s="108" t="s">
        <v>4</v>
      </c>
      <c r="HF82" s="107" t="s">
        <v>59</v>
      </c>
      <c r="HG82" s="107" t="s">
        <v>73</v>
      </c>
      <c r="HH82" s="108" t="s">
        <v>4</v>
      </c>
      <c r="HI82" s="107" t="s">
        <v>59</v>
      </c>
      <c r="HJ82" s="107" t="s">
        <v>73</v>
      </c>
      <c r="HK82" s="108" t="s">
        <v>4</v>
      </c>
      <c r="HL82" s="823"/>
      <c r="HM82" s="825"/>
      <c r="HN82" s="118"/>
      <c r="HO82" s="841"/>
      <c r="HP82" s="107" t="s">
        <v>59</v>
      </c>
      <c r="HQ82" s="107" t="s">
        <v>73</v>
      </c>
      <c r="HR82" s="108" t="s">
        <v>4</v>
      </c>
      <c r="HS82" s="107" t="s">
        <v>59</v>
      </c>
      <c r="HT82" s="107" t="s">
        <v>73</v>
      </c>
      <c r="HU82" s="108" t="s">
        <v>4</v>
      </c>
      <c r="HV82" s="107" t="s">
        <v>59</v>
      </c>
      <c r="HW82" s="107" t="s">
        <v>73</v>
      </c>
      <c r="HX82" s="108" t="s">
        <v>4</v>
      </c>
      <c r="HY82" s="107" t="s">
        <v>59</v>
      </c>
      <c r="HZ82" s="107" t="s">
        <v>73</v>
      </c>
      <c r="IA82" s="108" t="s">
        <v>4</v>
      </c>
      <c r="IB82" s="107" t="s">
        <v>59</v>
      </c>
      <c r="IC82" s="107" t="s">
        <v>73</v>
      </c>
      <c r="ID82" s="108" t="s">
        <v>4</v>
      </c>
      <c r="IE82" s="107" t="s">
        <v>59</v>
      </c>
      <c r="IF82" s="107" t="s">
        <v>73</v>
      </c>
      <c r="IG82" s="108" t="s">
        <v>4</v>
      </c>
      <c r="IH82" s="823"/>
      <c r="II82" s="825"/>
      <c r="IK82" s="857"/>
      <c r="IL82" s="231" t="s">
        <v>59</v>
      </c>
      <c r="IM82" s="231" t="s">
        <v>73</v>
      </c>
      <c r="IN82" s="102" t="s">
        <v>4</v>
      </c>
      <c r="IO82" s="231" t="s">
        <v>59</v>
      </c>
      <c r="IP82" s="231" t="s">
        <v>73</v>
      </c>
      <c r="IQ82" s="102" t="s">
        <v>4</v>
      </c>
      <c r="IR82" s="231" t="s">
        <v>59</v>
      </c>
      <c r="IS82" s="231" t="s">
        <v>73</v>
      </c>
      <c r="IT82" s="102" t="s">
        <v>4</v>
      </c>
      <c r="IU82" s="231" t="s">
        <v>59</v>
      </c>
      <c r="IV82" s="231" t="s">
        <v>73</v>
      </c>
      <c r="IW82" s="102" t="s">
        <v>4</v>
      </c>
      <c r="IX82" s="231" t="s">
        <v>59</v>
      </c>
      <c r="IY82" s="231" t="s">
        <v>73</v>
      </c>
      <c r="IZ82" s="102" t="s">
        <v>4</v>
      </c>
      <c r="JA82" s="231" t="s">
        <v>59</v>
      </c>
      <c r="JB82" s="231" t="s">
        <v>73</v>
      </c>
      <c r="JC82" s="102" t="s">
        <v>4</v>
      </c>
      <c r="JD82" s="948"/>
      <c r="JE82" s="823"/>
      <c r="JF82" s="825"/>
    </row>
    <row r="83" spans="27:269" ht="15">
      <c r="AA83" s="875"/>
      <c r="AB83" s="229">
        <v>1</v>
      </c>
      <c r="AC83" s="229">
        <v>18</v>
      </c>
      <c r="AD83" s="229">
        <f>AR81</f>
        <v>92.2</v>
      </c>
      <c r="AE83" s="233"/>
      <c r="AF83" s="233"/>
      <c r="AG83" s="233"/>
      <c r="AH83" s="233"/>
      <c r="AI83" s="233"/>
      <c r="AJ83" s="233"/>
      <c r="AK83" s="233"/>
      <c r="AL83" s="233"/>
      <c r="AM83" s="233"/>
      <c r="AN83" s="233"/>
      <c r="AO83" s="233"/>
      <c r="AP83" s="233"/>
      <c r="AQ83" s="229">
        <f t="shared" ref="AQ83" si="341">(AB83*AC83*AD83)+(AE83*AF83*AG83)+(AH83*AI83*AJ83)+(AK83*AL83*AM83)+(AN83*AO83*AP83)</f>
        <v>1659.6000000000001</v>
      </c>
      <c r="AR83" s="826"/>
      <c r="AT83" s="875"/>
      <c r="AU83" s="229">
        <v>4</v>
      </c>
      <c r="AV83" s="229">
        <v>8</v>
      </c>
      <c r="AW83" s="229">
        <v>12.5</v>
      </c>
      <c r="AX83" s="229">
        <v>4</v>
      </c>
      <c r="AY83" s="229">
        <v>8</v>
      </c>
      <c r="AZ83" s="229">
        <v>17.5</v>
      </c>
      <c r="BA83" s="229">
        <v>4</v>
      </c>
      <c r="BB83" s="229">
        <v>8</v>
      </c>
      <c r="BC83" s="229">
        <f>((7.5*1)+(5*3))/4</f>
        <v>5.625</v>
      </c>
      <c r="BD83" s="229">
        <v>4</v>
      </c>
      <c r="BE83" s="229">
        <v>8</v>
      </c>
      <c r="BF83" s="229">
        <v>31.8</v>
      </c>
      <c r="BG83" s="233"/>
      <c r="BH83" s="233"/>
      <c r="BI83" s="233"/>
      <c r="BJ83" s="229">
        <f t="shared" ref="BJ83" si="342">(AU83*AV83*AW83)+(AX83*AY83*AZ83)+(BA83*BB83*BC83)+(BD83*BE83*BF83)+(BG83*BH83*BI83)</f>
        <v>2157.6</v>
      </c>
      <c r="BK83" s="826"/>
      <c r="BL83" s="118"/>
      <c r="BM83" s="866"/>
      <c r="BN83" s="229">
        <v>4</v>
      </c>
      <c r="BO83" s="229">
        <f>((8*1)+(6*1)+(4*1)+(10*1))/4</f>
        <v>7</v>
      </c>
      <c r="BP83" s="229">
        <v>25</v>
      </c>
      <c r="BQ83" s="229">
        <v>4</v>
      </c>
      <c r="BR83" s="229">
        <v>8</v>
      </c>
      <c r="BS83" s="229">
        <v>15</v>
      </c>
      <c r="BT83" s="229">
        <v>4</v>
      </c>
      <c r="BU83" s="229">
        <f>((10*2)+(8*2))/4</f>
        <v>9</v>
      </c>
      <c r="BV83" s="229">
        <f>((30+55+65+65)*$FU$3)/4</f>
        <v>4278.5</v>
      </c>
      <c r="BW83" s="229">
        <v>4</v>
      </c>
      <c r="BX83" s="229">
        <v>8</v>
      </c>
      <c r="BY83" s="229">
        <v>17.5</v>
      </c>
      <c r="BZ83" s="233"/>
      <c r="CA83" s="233"/>
      <c r="CB83" s="233"/>
      <c r="CC83" s="229">
        <f t="shared" ref="CC83" si="343">(BN83*BO83*BP83)+(BQ83*BR83*BS83)+(BT83*BU83*BV83)+(BW83*BX83*BY83)+(BZ83*CA83*CB83)</f>
        <v>155766</v>
      </c>
      <c r="CD83" s="826"/>
      <c r="CF83" s="858"/>
      <c r="CG83" s="229">
        <v>1</v>
      </c>
      <c r="CH83" s="229">
        <v>35</v>
      </c>
      <c r="CI83" s="229">
        <f>$CW81+5</f>
        <v>89.1</v>
      </c>
      <c r="CJ83" s="233"/>
      <c r="CK83" s="233"/>
      <c r="CL83" s="233"/>
      <c r="CM83" s="233"/>
      <c r="CN83" s="233"/>
      <c r="CO83" s="233"/>
      <c r="CP83" s="233"/>
      <c r="CQ83" s="233"/>
      <c r="CR83" s="233"/>
      <c r="CS83" s="233"/>
      <c r="CT83" s="233"/>
      <c r="CU83" s="233"/>
      <c r="CV83" s="229">
        <f t="shared" ref="CV83" si="344">(CG83*CH83*CI83)+(CJ83*CK83*CL83)+(CM83*CN83*CO83)+(CP83*CQ83*CR83)+(CS83*CT83*CU83)</f>
        <v>3118.5</v>
      </c>
      <c r="CW83" s="826"/>
      <c r="CX83" s="118"/>
      <c r="CY83" s="878"/>
      <c r="CZ83" s="233"/>
      <c r="DA83" s="233"/>
      <c r="DB83" s="233"/>
      <c r="DC83" s="233"/>
      <c r="DD83" s="233"/>
      <c r="DE83" s="233"/>
      <c r="DF83" s="233"/>
      <c r="DG83" s="233"/>
      <c r="DH83" s="233"/>
      <c r="DI83" s="233"/>
      <c r="DJ83" s="233"/>
      <c r="DK83" s="233"/>
      <c r="DL83" s="233"/>
      <c r="DM83" s="233"/>
      <c r="DN83" s="233"/>
      <c r="DO83" s="229">
        <f t="shared" ref="DO83" si="345">(CZ83*DA83*DB83)+(DC83*DD83*DE83)+(DF83*DG83*DH83)+(DI83*DJ83*DK83)+(DL83*DM83*DN83)</f>
        <v>0</v>
      </c>
      <c r="DP83" s="826"/>
      <c r="DR83" s="866"/>
      <c r="DS83" s="233"/>
      <c r="DT83" s="233"/>
      <c r="DU83" s="233"/>
      <c r="DV83" s="233"/>
      <c r="DW83" s="233"/>
      <c r="DX83" s="233"/>
      <c r="DY83" s="233"/>
      <c r="DZ83" s="233"/>
      <c r="EA83" s="233"/>
      <c r="EB83" s="233"/>
      <c r="EC83" s="233"/>
      <c r="ED83" s="233"/>
      <c r="EE83" s="233"/>
      <c r="EF83" s="233"/>
      <c r="EG83" s="233"/>
      <c r="EH83" s="229">
        <f t="shared" ref="EH83" si="346">(DS83*DT83*DU83)+(DV83*DW83*DX83)+(DY83*DZ83*EA83)+(EB83*EC83*ED83)+(EE83*EF83*EG83)</f>
        <v>0</v>
      </c>
      <c r="EI83" s="826"/>
      <c r="EK83" s="847"/>
      <c r="EL83" s="229">
        <v>4</v>
      </c>
      <c r="EM83" s="229">
        <v>12</v>
      </c>
      <c r="EN83" s="229">
        <f>((14*1)+(50*3))/4</f>
        <v>41</v>
      </c>
      <c r="EO83" s="229">
        <v>3</v>
      </c>
      <c r="EP83" s="229">
        <v>12</v>
      </c>
      <c r="EQ83" s="229">
        <v>12.5</v>
      </c>
      <c r="ER83" s="233"/>
      <c r="ES83" s="233"/>
      <c r="ET83" s="233"/>
      <c r="EU83" s="233"/>
      <c r="EV83" s="233"/>
      <c r="EW83" s="233"/>
      <c r="EX83" s="233"/>
      <c r="EY83" s="233"/>
      <c r="EZ83" s="233"/>
      <c r="FA83" s="229">
        <f t="shared" ref="FA83" si="347">(EL83*EM83*EN83)+(EO83*EP83*EQ83)+(ER83*ES83*ET83)+(EU83*EV83*EW83)+(EX83*EY83*EZ83)</f>
        <v>2418</v>
      </c>
      <c r="FB83" s="826"/>
      <c r="FD83" s="842"/>
      <c r="FE83" s="233"/>
      <c r="FF83" s="233"/>
      <c r="FG83" s="233"/>
      <c r="FH83" s="233"/>
      <c r="FI83" s="233"/>
      <c r="FJ83" s="233"/>
      <c r="FK83" s="233"/>
      <c r="FL83" s="233"/>
      <c r="FM83" s="233"/>
      <c r="FN83" s="233"/>
      <c r="FO83" s="233"/>
      <c r="FP83" s="233"/>
      <c r="FQ83" s="233"/>
      <c r="FR83" s="233"/>
      <c r="FS83" s="233"/>
      <c r="FT83" s="229">
        <f t="shared" ref="FT83" si="348">(FE83*FF83*FG83)+(FH83*FI83*FJ83)+(FK83*FL83*FM83)+(FN83*FO83*FP83)+(FQ83*FR83*FS83)</f>
        <v>0</v>
      </c>
      <c r="FU83" s="826"/>
      <c r="FW83" s="872"/>
      <c r="FX83" s="229">
        <v>2</v>
      </c>
      <c r="FY83" s="229">
        <v>12</v>
      </c>
      <c r="FZ83" s="229">
        <v>17.5</v>
      </c>
      <c r="GA83" s="229">
        <v>3</v>
      </c>
      <c r="GB83" s="229">
        <v>34</v>
      </c>
      <c r="GC83" s="229">
        <f>GQ81*(1/3)</f>
        <v>26.099999999999998</v>
      </c>
      <c r="GD83" s="229">
        <v>4</v>
      </c>
      <c r="GE83" s="229">
        <f>((8*1)+(10*2))/3</f>
        <v>9.3333333333333339</v>
      </c>
      <c r="GF83" s="229">
        <v>54</v>
      </c>
      <c r="GG83" s="229">
        <v>2</v>
      </c>
      <c r="GH83" s="126">
        <f>((10*1)+(12*2))/3</f>
        <v>11.333333333333334</v>
      </c>
      <c r="GI83" s="126">
        <v>18.100000000000001</v>
      </c>
      <c r="GJ83" s="233"/>
      <c r="GK83" s="233"/>
      <c r="GL83" s="233"/>
      <c r="GM83" s="233"/>
      <c r="GN83" s="233"/>
      <c r="GO83" s="233"/>
      <c r="GP83" s="229">
        <f>(FX83*FY83*FZ83)+(GA83*GB83*GC83)+(GD83*GE83*GF83)+(GG83*GH83*GI83)+(GJ83*GK83*GL83)+(GM83*GN83*GO83)</f>
        <v>5508.4666666666662</v>
      </c>
      <c r="GQ83" s="826"/>
      <c r="GR83" s="118"/>
      <c r="GS83" s="875"/>
      <c r="GT83" s="229">
        <v>2</v>
      </c>
      <c r="GU83" s="229">
        <v>20</v>
      </c>
      <c r="GV83" s="229">
        <v>12</v>
      </c>
      <c r="GW83" s="233"/>
      <c r="GX83" s="233"/>
      <c r="GY83" s="233"/>
      <c r="GZ83" s="233"/>
      <c r="HA83" s="233"/>
      <c r="HB83" s="233"/>
      <c r="HC83" s="233"/>
      <c r="HD83" s="233"/>
      <c r="HE83" s="233"/>
      <c r="HF83" s="233"/>
      <c r="HG83" s="233"/>
      <c r="HH83" s="233"/>
      <c r="HI83" s="233"/>
      <c r="HJ83" s="233"/>
      <c r="HK83" s="233"/>
      <c r="HL83" s="229">
        <f>(GT83*GU83*GV83)+(GW83*GX83*GY83)+(GZ83*HA83*HB83)+(HC83*HD83*HE83)+(HF83*HG83*HH83)+(HI83*HJ83*HK83)</f>
        <v>480</v>
      </c>
      <c r="HM83" s="826"/>
      <c r="HN83" s="118"/>
      <c r="HO83" s="842"/>
      <c r="HP83" s="233"/>
      <c r="HQ83" s="233"/>
      <c r="HR83" s="233"/>
      <c r="HS83" s="233"/>
      <c r="HT83" s="233"/>
      <c r="HU83" s="233"/>
      <c r="HV83" s="233"/>
      <c r="HW83" s="233"/>
      <c r="HX83" s="233"/>
      <c r="HY83" s="233"/>
      <c r="HZ83" s="233"/>
      <c r="IA83" s="233"/>
      <c r="IB83" s="233"/>
      <c r="IC83" s="233"/>
      <c r="ID83" s="233"/>
      <c r="IE83" s="233"/>
      <c r="IF83" s="233"/>
      <c r="IG83" s="233"/>
      <c r="IH83" s="229">
        <f>(HP83*HQ83*HR83)+(HS83*HT83*HU83)+(HV83*HW83*HX83)+(HY83*HZ83*IA83)+(IB83*IC83*ID83)+(IE83*IF83*IG83)</f>
        <v>0</v>
      </c>
      <c r="II83" s="826"/>
      <c r="IK83" s="858"/>
      <c r="IL83" s="229"/>
      <c r="IM83" s="229"/>
      <c r="IN83" s="229"/>
      <c r="IO83" s="229"/>
      <c r="IP83" s="229"/>
      <c r="IQ83" s="229"/>
      <c r="IR83" s="229"/>
      <c r="IS83" s="229"/>
      <c r="IT83" s="229"/>
      <c r="IU83" s="229"/>
      <c r="IV83" s="229"/>
      <c r="IW83" s="229"/>
      <c r="IX83" s="229"/>
      <c r="IY83" s="229"/>
      <c r="IZ83" s="229"/>
      <c r="JA83" s="229"/>
      <c r="JB83" s="229"/>
      <c r="JC83" s="229"/>
      <c r="JD83" s="949"/>
      <c r="JE83" s="229">
        <f>(IL83*IM83*IN83)+(IO83*IP83*IQ83)+(IR83*IS83*IT83)+(IU83*IV83*IW83)+(IX83*IY83*IZ83)+(JA83*JB83*JC83)</f>
        <v>0</v>
      </c>
      <c r="JF83" s="826"/>
    </row>
    <row r="84" spans="27:269" ht="15">
      <c r="AA84" s="876">
        <v>45716</v>
      </c>
      <c r="AB84" s="886" t="s">
        <v>82</v>
      </c>
      <c r="AC84" s="886"/>
      <c r="AD84" s="886"/>
      <c r="AE84" s="849" t="s">
        <v>119</v>
      </c>
      <c r="AF84" s="849"/>
      <c r="AG84" s="849"/>
      <c r="AH84" s="882" t="s">
        <v>14</v>
      </c>
      <c r="AI84" s="883"/>
      <c r="AJ84" s="884"/>
      <c r="AK84" s="834"/>
      <c r="AL84" s="835"/>
      <c r="AM84" s="836"/>
      <c r="AN84" s="844"/>
      <c r="AO84" s="844"/>
      <c r="AP84" s="844"/>
      <c r="AQ84" s="823">
        <f t="shared" ref="AQ84" si="349">COUNTA(AB84:AP84)</f>
        <v>3</v>
      </c>
      <c r="AR84" s="824">
        <v>92</v>
      </c>
      <c r="AT84" s="876">
        <v>45744</v>
      </c>
      <c r="AU84" s="849" t="s">
        <v>70</v>
      </c>
      <c r="AV84" s="849"/>
      <c r="AW84" s="849"/>
      <c r="AX84" s="860"/>
      <c r="AY84" s="860"/>
      <c r="AZ84" s="860"/>
      <c r="BA84" s="843"/>
      <c r="BB84" s="843"/>
      <c r="BC84" s="843"/>
      <c r="BD84" s="834"/>
      <c r="BE84" s="835"/>
      <c r="BF84" s="836"/>
      <c r="BG84" s="844"/>
      <c r="BH84" s="844"/>
      <c r="BI84" s="844"/>
      <c r="BJ84" s="823">
        <f t="shared" ref="BJ84" si="350">COUNTA(AU84:BI84)</f>
        <v>1</v>
      </c>
      <c r="BK84" s="824">
        <v>88.9</v>
      </c>
      <c r="BL84" s="118"/>
      <c r="BM84" s="870">
        <v>45775</v>
      </c>
      <c r="BN84" s="849" t="s">
        <v>72</v>
      </c>
      <c r="BO84" s="849"/>
      <c r="BP84" s="849"/>
      <c r="BQ84" s="848" t="s">
        <v>128</v>
      </c>
      <c r="BR84" s="848"/>
      <c r="BS84" s="848"/>
      <c r="BT84" s="882" t="s">
        <v>101</v>
      </c>
      <c r="BU84" s="883"/>
      <c r="BV84" s="884"/>
      <c r="BW84" s="844"/>
      <c r="BX84" s="844"/>
      <c r="BY84" s="844"/>
      <c r="BZ84" s="844"/>
      <c r="CA84" s="844"/>
      <c r="CB84" s="844"/>
      <c r="CC84" s="823">
        <f t="shared" ref="CC84" si="351">COUNTA(BN84:CB84)</f>
        <v>3</v>
      </c>
      <c r="CD84" s="824">
        <v>85.3</v>
      </c>
      <c r="CF84" s="845">
        <v>45805</v>
      </c>
      <c r="CG84" s="849" t="s">
        <v>102</v>
      </c>
      <c r="CH84" s="849"/>
      <c r="CI84" s="849"/>
      <c r="CJ84" s="886" t="s">
        <v>80</v>
      </c>
      <c r="CK84" s="886"/>
      <c r="CL84" s="886"/>
      <c r="CM84" s="886" t="s">
        <v>81</v>
      </c>
      <c r="CN84" s="886"/>
      <c r="CO84" s="886"/>
      <c r="CP84" s="844"/>
      <c r="CQ84" s="844"/>
      <c r="CR84" s="844"/>
      <c r="CS84" s="844"/>
      <c r="CT84" s="844"/>
      <c r="CU84" s="844"/>
      <c r="CV84" s="823">
        <f t="shared" ref="CV84" si="352">COUNTA(CG84:CU84)</f>
        <v>3</v>
      </c>
      <c r="CW84" s="824">
        <v>84.9</v>
      </c>
      <c r="CX84" s="118"/>
      <c r="CY84" s="840">
        <v>45836</v>
      </c>
      <c r="CZ84" s="859"/>
      <c r="DA84" s="859"/>
      <c r="DB84" s="859"/>
      <c r="DC84" s="859"/>
      <c r="DD84" s="859"/>
      <c r="DE84" s="859"/>
      <c r="DF84" s="844"/>
      <c r="DG84" s="844"/>
      <c r="DH84" s="844"/>
      <c r="DI84" s="844"/>
      <c r="DJ84" s="844"/>
      <c r="DK84" s="844"/>
      <c r="DL84" s="844"/>
      <c r="DM84" s="844"/>
      <c r="DN84" s="844"/>
      <c r="DO84" s="823">
        <f t="shared" ref="DO84" si="353">COUNTA(CZ84:DN84)</f>
        <v>0</v>
      </c>
      <c r="DP84" s="824">
        <f>DP81</f>
        <v>82.9</v>
      </c>
      <c r="DR84" s="870">
        <v>45866</v>
      </c>
      <c r="DS84" s="849" t="s">
        <v>119</v>
      </c>
      <c r="DT84" s="849"/>
      <c r="DU84" s="849"/>
      <c r="DV84" s="849" t="s">
        <v>113</v>
      </c>
      <c r="DW84" s="849"/>
      <c r="DX84" s="849"/>
      <c r="DY84" s="887" t="s">
        <v>155</v>
      </c>
      <c r="DZ84" s="888"/>
      <c r="EA84" s="889"/>
      <c r="EB84" s="861"/>
      <c r="EC84" s="862"/>
      <c r="ED84" s="863"/>
      <c r="EE84" s="844"/>
      <c r="EF84" s="844"/>
      <c r="EG84" s="844"/>
      <c r="EH84" s="823">
        <f t="shared" ref="EH84" si="354">COUNTA(DS84:EG84)</f>
        <v>3</v>
      </c>
      <c r="EI84" s="824">
        <v>80.099999999999994</v>
      </c>
      <c r="EK84" s="873">
        <v>45897</v>
      </c>
      <c r="EL84" s="849" t="s">
        <v>89</v>
      </c>
      <c r="EM84" s="849"/>
      <c r="EN84" s="849"/>
      <c r="EO84" s="886" t="s">
        <v>139</v>
      </c>
      <c r="EP84" s="886"/>
      <c r="EQ84" s="886"/>
      <c r="ER84" s="844"/>
      <c r="ES84" s="844"/>
      <c r="ET84" s="844"/>
      <c r="EU84" s="844"/>
      <c r="EV84" s="844"/>
      <c r="EW84" s="844"/>
      <c r="EX84" s="844"/>
      <c r="EY84" s="844"/>
      <c r="EZ84" s="844"/>
      <c r="FA84" s="823">
        <f t="shared" ref="FA84" si="355">COUNTA(EL84:EZ84)</f>
        <v>2</v>
      </c>
      <c r="FB84" s="824">
        <v>79.2</v>
      </c>
      <c r="FD84" s="864">
        <v>45928</v>
      </c>
      <c r="FE84" s="849" t="s">
        <v>89</v>
      </c>
      <c r="FF84" s="849"/>
      <c r="FG84" s="849"/>
      <c r="FH84" s="848" t="s">
        <v>103</v>
      </c>
      <c r="FI84" s="848"/>
      <c r="FJ84" s="848"/>
      <c r="FK84" s="849" t="s">
        <v>134</v>
      </c>
      <c r="FL84" s="849"/>
      <c r="FM84" s="849"/>
      <c r="FN84" s="890" t="s">
        <v>116</v>
      </c>
      <c r="FO84" s="890"/>
      <c r="FP84" s="890"/>
      <c r="FQ84" s="890" t="s">
        <v>106</v>
      </c>
      <c r="FR84" s="890"/>
      <c r="FS84" s="890"/>
      <c r="FT84" s="823">
        <f t="shared" ref="FT84" si="356">COUNTA(FE84:FS84)</f>
        <v>5</v>
      </c>
      <c r="FU84" s="824">
        <v>78.599999999999994</v>
      </c>
      <c r="FW84" s="856">
        <v>45958</v>
      </c>
      <c r="FX84" s="848" t="s">
        <v>70</v>
      </c>
      <c r="FY84" s="848"/>
      <c r="FZ84" s="848"/>
      <c r="GA84" s="859"/>
      <c r="GB84" s="859"/>
      <c r="GC84" s="859"/>
      <c r="GD84" s="834"/>
      <c r="GE84" s="835"/>
      <c r="GF84" s="836"/>
      <c r="GG84" s="867"/>
      <c r="GH84" s="868"/>
      <c r="GI84" s="869"/>
      <c r="GJ84" s="834"/>
      <c r="GK84" s="835"/>
      <c r="GL84" s="836"/>
      <c r="GM84" s="834"/>
      <c r="GN84" s="835"/>
      <c r="GO84" s="836"/>
      <c r="GP84" s="823">
        <f>COUNTA(FX84:GO84)</f>
        <v>1</v>
      </c>
      <c r="GQ84" s="824">
        <v>78.400000000000006</v>
      </c>
      <c r="GR84" s="118"/>
      <c r="GS84" s="876">
        <v>45989</v>
      </c>
      <c r="GT84" s="844"/>
      <c r="GU84" s="844"/>
      <c r="GV84" s="844"/>
      <c r="GW84" s="859"/>
      <c r="GX84" s="859"/>
      <c r="GY84" s="859"/>
      <c r="GZ84" s="834"/>
      <c r="HA84" s="835"/>
      <c r="HB84" s="836"/>
      <c r="HC84" s="867"/>
      <c r="HD84" s="868"/>
      <c r="HE84" s="869"/>
      <c r="HF84" s="834"/>
      <c r="HG84" s="835"/>
      <c r="HH84" s="836"/>
      <c r="HI84" s="834"/>
      <c r="HJ84" s="835"/>
      <c r="HK84" s="836"/>
      <c r="HL84" s="823">
        <f>COUNTA(GT84:HK84)</f>
        <v>0</v>
      </c>
      <c r="HM84" s="824">
        <f>HM81</f>
        <v>77.599999999999994</v>
      </c>
      <c r="HN84" s="118"/>
      <c r="HO84" s="864">
        <v>46019</v>
      </c>
      <c r="HP84" s="844"/>
      <c r="HQ84" s="844"/>
      <c r="HR84" s="844"/>
      <c r="HS84" s="859"/>
      <c r="HT84" s="859"/>
      <c r="HU84" s="859"/>
      <c r="HV84" s="834"/>
      <c r="HW84" s="835"/>
      <c r="HX84" s="836"/>
      <c r="HY84" s="867"/>
      <c r="HZ84" s="868"/>
      <c r="IA84" s="869"/>
      <c r="IB84" s="834"/>
      <c r="IC84" s="835"/>
      <c r="ID84" s="836"/>
      <c r="IE84" s="834"/>
      <c r="IF84" s="835"/>
      <c r="IG84" s="836"/>
      <c r="IH84" s="823">
        <f>COUNTA(HP84:IG84)</f>
        <v>0</v>
      </c>
      <c r="II84" s="824">
        <f t="shared" ref="II84" si="357">II81</f>
        <v>76.900000000000006</v>
      </c>
      <c r="IK84" s="845">
        <v>46050</v>
      </c>
      <c r="IL84" s="848"/>
      <c r="IM84" s="848"/>
      <c r="IN84" s="848"/>
      <c r="IO84" s="848"/>
      <c r="IP84" s="848"/>
      <c r="IQ84" s="848"/>
      <c r="IR84" s="848"/>
      <c r="IS84" s="848"/>
      <c r="IT84" s="848"/>
      <c r="IU84" s="848"/>
      <c r="IV84" s="848"/>
      <c r="IW84" s="848"/>
      <c r="IX84" s="882"/>
      <c r="IY84" s="883"/>
      <c r="IZ84" s="884"/>
      <c r="JA84" s="882"/>
      <c r="JB84" s="883"/>
      <c r="JC84" s="884"/>
      <c r="JD84" s="232" t="s">
        <v>425</v>
      </c>
      <c r="JE84" s="823">
        <f>COUNTA(IL84:JC84)</f>
        <v>0</v>
      </c>
      <c r="JF84" s="824"/>
    </row>
    <row r="85" spans="27:269" ht="15">
      <c r="AA85" s="877"/>
      <c r="AB85" s="231" t="s">
        <v>59</v>
      </c>
      <c r="AC85" s="231" t="s">
        <v>73</v>
      </c>
      <c r="AD85" s="102" t="s">
        <v>4</v>
      </c>
      <c r="AE85" s="231" t="s">
        <v>59</v>
      </c>
      <c r="AF85" s="231" t="s">
        <v>73</v>
      </c>
      <c r="AG85" s="102" t="s">
        <v>4</v>
      </c>
      <c r="AH85" s="231" t="s">
        <v>59</v>
      </c>
      <c r="AI85" s="231" t="s">
        <v>73</v>
      </c>
      <c r="AJ85" s="102" t="s">
        <v>4</v>
      </c>
      <c r="AK85" s="107" t="s">
        <v>59</v>
      </c>
      <c r="AL85" s="107" t="s">
        <v>73</v>
      </c>
      <c r="AM85" s="108" t="s">
        <v>4</v>
      </c>
      <c r="AN85" s="107" t="s">
        <v>59</v>
      </c>
      <c r="AO85" s="107" t="s">
        <v>73</v>
      </c>
      <c r="AP85" s="108" t="s">
        <v>4</v>
      </c>
      <c r="AQ85" s="823"/>
      <c r="AR85" s="825"/>
      <c r="AT85" s="877"/>
      <c r="AU85" s="231" t="s">
        <v>59</v>
      </c>
      <c r="AV85" s="231" t="s">
        <v>73</v>
      </c>
      <c r="AW85" s="102" t="s">
        <v>4</v>
      </c>
      <c r="AX85" s="107" t="s">
        <v>59</v>
      </c>
      <c r="AY85" s="107" t="s">
        <v>73</v>
      </c>
      <c r="AZ85" s="108" t="s">
        <v>4</v>
      </c>
      <c r="BA85" s="107" t="s">
        <v>59</v>
      </c>
      <c r="BB85" s="107" t="s">
        <v>73</v>
      </c>
      <c r="BC85" s="108" t="s">
        <v>4</v>
      </c>
      <c r="BD85" s="107" t="s">
        <v>59</v>
      </c>
      <c r="BE85" s="107" t="s">
        <v>73</v>
      </c>
      <c r="BF85" s="108" t="s">
        <v>4</v>
      </c>
      <c r="BG85" s="107" t="s">
        <v>59</v>
      </c>
      <c r="BH85" s="107" t="s">
        <v>73</v>
      </c>
      <c r="BI85" s="108" t="s">
        <v>4</v>
      </c>
      <c r="BJ85" s="823"/>
      <c r="BK85" s="825"/>
      <c r="BL85" s="118"/>
      <c r="BM85" s="871"/>
      <c r="BN85" s="231" t="s">
        <v>59</v>
      </c>
      <c r="BO85" s="231" t="s">
        <v>73</v>
      </c>
      <c r="BP85" s="102" t="s">
        <v>4</v>
      </c>
      <c r="BQ85" s="231" t="s">
        <v>59</v>
      </c>
      <c r="BR85" s="231" t="s">
        <v>73</v>
      </c>
      <c r="BS85" s="102" t="s">
        <v>4</v>
      </c>
      <c r="BT85" s="231" t="s">
        <v>59</v>
      </c>
      <c r="BU85" s="231" t="s">
        <v>73</v>
      </c>
      <c r="BV85" s="102" t="s">
        <v>4</v>
      </c>
      <c r="BW85" s="107" t="s">
        <v>59</v>
      </c>
      <c r="BX85" s="107" t="s">
        <v>73</v>
      </c>
      <c r="BY85" s="108" t="s">
        <v>4</v>
      </c>
      <c r="BZ85" s="107" t="s">
        <v>59</v>
      </c>
      <c r="CA85" s="107" t="s">
        <v>73</v>
      </c>
      <c r="CB85" s="108" t="s">
        <v>4</v>
      </c>
      <c r="CC85" s="823"/>
      <c r="CD85" s="825"/>
      <c r="CF85" s="846"/>
      <c r="CG85" s="231" t="s">
        <v>59</v>
      </c>
      <c r="CH85" s="231" t="s">
        <v>73</v>
      </c>
      <c r="CI85" s="102" t="s">
        <v>4</v>
      </c>
      <c r="CJ85" s="231" t="s">
        <v>59</v>
      </c>
      <c r="CK85" s="231" t="s">
        <v>73</v>
      </c>
      <c r="CL85" s="102" t="s">
        <v>4</v>
      </c>
      <c r="CM85" s="231" t="s">
        <v>59</v>
      </c>
      <c r="CN85" s="231" t="s">
        <v>73</v>
      </c>
      <c r="CO85" s="102" t="s">
        <v>4</v>
      </c>
      <c r="CP85" s="107" t="s">
        <v>59</v>
      </c>
      <c r="CQ85" s="107" t="s">
        <v>73</v>
      </c>
      <c r="CR85" s="108" t="s">
        <v>4</v>
      </c>
      <c r="CS85" s="107" t="s">
        <v>59</v>
      </c>
      <c r="CT85" s="107" t="s">
        <v>73</v>
      </c>
      <c r="CU85" s="108" t="s">
        <v>4</v>
      </c>
      <c r="CV85" s="823"/>
      <c r="CW85" s="825"/>
      <c r="CX85" s="118"/>
      <c r="CY85" s="841"/>
      <c r="CZ85" s="107" t="s">
        <v>59</v>
      </c>
      <c r="DA85" s="107" t="s">
        <v>73</v>
      </c>
      <c r="DB85" s="108" t="s">
        <v>4</v>
      </c>
      <c r="DC85" s="107" t="s">
        <v>59</v>
      </c>
      <c r="DD85" s="107" t="s">
        <v>73</v>
      </c>
      <c r="DE85" s="108" t="s">
        <v>4</v>
      </c>
      <c r="DF85" s="107" t="s">
        <v>59</v>
      </c>
      <c r="DG85" s="107" t="s">
        <v>73</v>
      </c>
      <c r="DH85" s="108" t="s">
        <v>4</v>
      </c>
      <c r="DI85" s="107" t="s">
        <v>59</v>
      </c>
      <c r="DJ85" s="107" t="s">
        <v>73</v>
      </c>
      <c r="DK85" s="108" t="s">
        <v>4</v>
      </c>
      <c r="DL85" s="107" t="s">
        <v>59</v>
      </c>
      <c r="DM85" s="107" t="s">
        <v>73</v>
      </c>
      <c r="DN85" s="108" t="s">
        <v>4</v>
      </c>
      <c r="DO85" s="823"/>
      <c r="DP85" s="825"/>
      <c r="DR85" s="871"/>
      <c r="DS85" s="231" t="s">
        <v>59</v>
      </c>
      <c r="DT85" s="231" t="s">
        <v>73</v>
      </c>
      <c r="DU85" s="102" t="s">
        <v>4</v>
      </c>
      <c r="DV85" s="231" t="s">
        <v>59</v>
      </c>
      <c r="DW85" s="231" t="s">
        <v>73</v>
      </c>
      <c r="DX85" s="102" t="s">
        <v>4</v>
      </c>
      <c r="DY85" s="231" t="s">
        <v>59</v>
      </c>
      <c r="DZ85" s="231" t="s">
        <v>73</v>
      </c>
      <c r="EA85" s="102" t="s">
        <v>4</v>
      </c>
      <c r="EB85" s="107" t="s">
        <v>59</v>
      </c>
      <c r="EC85" s="107" t="s">
        <v>73</v>
      </c>
      <c r="ED85" s="108" t="s">
        <v>4</v>
      </c>
      <c r="EE85" s="107" t="s">
        <v>59</v>
      </c>
      <c r="EF85" s="107" t="s">
        <v>73</v>
      </c>
      <c r="EG85" s="108" t="s">
        <v>4</v>
      </c>
      <c r="EH85" s="823"/>
      <c r="EI85" s="825"/>
      <c r="EK85" s="874"/>
      <c r="EL85" s="231" t="s">
        <v>59</v>
      </c>
      <c r="EM85" s="231" t="s">
        <v>73</v>
      </c>
      <c r="EN85" s="102" t="s">
        <v>4</v>
      </c>
      <c r="EO85" s="231" t="s">
        <v>59</v>
      </c>
      <c r="EP85" s="231" t="s">
        <v>73</v>
      </c>
      <c r="EQ85" s="102" t="s">
        <v>4</v>
      </c>
      <c r="ER85" s="107" t="s">
        <v>59</v>
      </c>
      <c r="ES85" s="107" t="s">
        <v>73</v>
      </c>
      <c r="ET85" s="108" t="s">
        <v>4</v>
      </c>
      <c r="EU85" s="107" t="s">
        <v>59</v>
      </c>
      <c r="EV85" s="107" t="s">
        <v>73</v>
      </c>
      <c r="EW85" s="108" t="s">
        <v>4</v>
      </c>
      <c r="EX85" s="107" t="s">
        <v>59</v>
      </c>
      <c r="EY85" s="107" t="s">
        <v>73</v>
      </c>
      <c r="EZ85" s="108" t="s">
        <v>4</v>
      </c>
      <c r="FA85" s="823"/>
      <c r="FB85" s="825"/>
      <c r="FD85" s="865"/>
      <c r="FE85" s="231" t="s">
        <v>59</v>
      </c>
      <c r="FF85" s="231" t="s">
        <v>73</v>
      </c>
      <c r="FG85" s="102" t="s">
        <v>4</v>
      </c>
      <c r="FH85" s="231" t="s">
        <v>59</v>
      </c>
      <c r="FI85" s="231" t="s">
        <v>73</v>
      </c>
      <c r="FJ85" s="102" t="s">
        <v>4</v>
      </c>
      <c r="FK85" s="231" t="s">
        <v>59</v>
      </c>
      <c r="FL85" s="231" t="s">
        <v>73</v>
      </c>
      <c r="FM85" s="102" t="s">
        <v>4</v>
      </c>
      <c r="FN85" s="231" t="s">
        <v>59</v>
      </c>
      <c r="FO85" s="231" t="s">
        <v>73</v>
      </c>
      <c r="FP85" s="102" t="s">
        <v>4</v>
      </c>
      <c r="FQ85" s="231" t="s">
        <v>59</v>
      </c>
      <c r="FR85" s="231" t="s">
        <v>73</v>
      </c>
      <c r="FS85" s="102" t="s">
        <v>4</v>
      </c>
      <c r="FT85" s="823"/>
      <c r="FU85" s="825"/>
      <c r="FW85" s="857"/>
      <c r="FX85" s="231" t="s">
        <v>59</v>
      </c>
      <c r="FY85" s="231" t="s">
        <v>73</v>
      </c>
      <c r="FZ85" s="102" t="s">
        <v>4</v>
      </c>
      <c r="GA85" s="107" t="s">
        <v>59</v>
      </c>
      <c r="GB85" s="107" t="s">
        <v>73</v>
      </c>
      <c r="GC85" s="108" t="s">
        <v>4</v>
      </c>
      <c r="GD85" s="107" t="s">
        <v>59</v>
      </c>
      <c r="GE85" s="107" t="s">
        <v>73</v>
      </c>
      <c r="GF85" s="108" t="s">
        <v>4</v>
      </c>
      <c r="GG85" s="107" t="s">
        <v>59</v>
      </c>
      <c r="GH85" s="107" t="s">
        <v>73</v>
      </c>
      <c r="GI85" s="108" t="s">
        <v>4</v>
      </c>
      <c r="GJ85" s="107" t="s">
        <v>59</v>
      </c>
      <c r="GK85" s="107" t="s">
        <v>73</v>
      </c>
      <c r="GL85" s="108" t="s">
        <v>4</v>
      </c>
      <c r="GM85" s="107" t="s">
        <v>59</v>
      </c>
      <c r="GN85" s="107" t="s">
        <v>73</v>
      </c>
      <c r="GO85" s="108" t="s">
        <v>4</v>
      </c>
      <c r="GP85" s="823"/>
      <c r="GQ85" s="825"/>
      <c r="GR85" s="118"/>
      <c r="GS85" s="877"/>
      <c r="GT85" s="107" t="s">
        <v>59</v>
      </c>
      <c r="GU85" s="107" t="s">
        <v>73</v>
      </c>
      <c r="GV85" s="108" t="s">
        <v>4</v>
      </c>
      <c r="GW85" s="107" t="s">
        <v>59</v>
      </c>
      <c r="GX85" s="107" t="s">
        <v>73</v>
      </c>
      <c r="GY85" s="108" t="s">
        <v>4</v>
      </c>
      <c r="GZ85" s="107" t="s">
        <v>59</v>
      </c>
      <c r="HA85" s="107" t="s">
        <v>73</v>
      </c>
      <c r="HB85" s="108" t="s">
        <v>4</v>
      </c>
      <c r="HC85" s="107" t="s">
        <v>59</v>
      </c>
      <c r="HD85" s="107" t="s">
        <v>73</v>
      </c>
      <c r="HE85" s="108" t="s">
        <v>4</v>
      </c>
      <c r="HF85" s="107" t="s">
        <v>59</v>
      </c>
      <c r="HG85" s="107" t="s">
        <v>73</v>
      </c>
      <c r="HH85" s="108" t="s">
        <v>4</v>
      </c>
      <c r="HI85" s="107" t="s">
        <v>59</v>
      </c>
      <c r="HJ85" s="107" t="s">
        <v>73</v>
      </c>
      <c r="HK85" s="108" t="s">
        <v>4</v>
      </c>
      <c r="HL85" s="823"/>
      <c r="HM85" s="825"/>
      <c r="HN85" s="118"/>
      <c r="HO85" s="865"/>
      <c r="HP85" s="107" t="s">
        <v>59</v>
      </c>
      <c r="HQ85" s="107" t="s">
        <v>73</v>
      </c>
      <c r="HR85" s="108" t="s">
        <v>4</v>
      </c>
      <c r="HS85" s="107" t="s">
        <v>59</v>
      </c>
      <c r="HT85" s="107" t="s">
        <v>73</v>
      </c>
      <c r="HU85" s="108" t="s">
        <v>4</v>
      </c>
      <c r="HV85" s="107" t="s">
        <v>59</v>
      </c>
      <c r="HW85" s="107" t="s">
        <v>73</v>
      </c>
      <c r="HX85" s="108" t="s">
        <v>4</v>
      </c>
      <c r="HY85" s="107" t="s">
        <v>59</v>
      </c>
      <c r="HZ85" s="107" t="s">
        <v>73</v>
      </c>
      <c r="IA85" s="108" t="s">
        <v>4</v>
      </c>
      <c r="IB85" s="107" t="s">
        <v>59</v>
      </c>
      <c r="IC85" s="107" t="s">
        <v>73</v>
      </c>
      <c r="ID85" s="108" t="s">
        <v>4</v>
      </c>
      <c r="IE85" s="107" t="s">
        <v>59</v>
      </c>
      <c r="IF85" s="107" t="s">
        <v>73</v>
      </c>
      <c r="IG85" s="108" t="s">
        <v>4</v>
      </c>
      <c r="IH85" s="823"/>
      <c r="II85" s="825"/>
      <c r="IK85" s="846"/>
      <c r="IL85" s="231" t="s">
        <v>59</v>
      </c>
      <c r="IM85" s="231" t="s">
        <v>73</v>
      </c>
      <c r="IN85" s="102" t="s">
        <v>4</v>
      </c>
      <c r="IO85" s="231" t="s">
        <v>59</v>
      </c>
      <c r="IP85" s="231" t="s">
        <v>73</v>
      </c>
      <c r="IQ85" s="102" t="s">
        <v>4</v>
      </c>
      <c r="IR85" s="231" t="s">
        <v>59</v>
      </c>
      <c r="IS85" s="231" t="s">
        <v>73</v>
      </c>
      <c r="IT85" s="102" t="s">
        <v>4</v>
      </c>
      <c r="IU85" s="231" t="s">
        <v>59</v>
      </c>
      <c r="IV85" s="231" t="s">
        <v>73</v>
      </c>
      <c r="IW85" s="102" t="s">
        <v>4</v>
      </c>
      <c r="IX85" s="231" t="s">
        <v>59</v>
      </c>
      <c r="IY85" s="231" t="s">
        <v>73</v>
      </c>
      <c r="IZ85" s="102" t="s">
        <v>4</v>
      </c>
      <c r="JA85" s="231" t="s">
        <v>59</v>
      </c>
      <c r="JB85" s="231" t="s">
        <v>73</v>
      </c>
      <c r="JC85" s="102" t="s">
        <v>4</v>
      </c>
      <c r="JD85" s="948"/>
      <c r="JE85" s="823"/>
      <c r="JF85" s="825"/>
    </row>
    <row r="86" spans="27:269" ht="15">
      <c r="AA86" s="878"/>
      <c r="AB86" s="229">
        <v>4</v>
      </c>
      <c r="AC86" s="229">
        <v>8</v>
      </c>
      <c r="AD86" s="229">
        <v>29.5</v>
      </c>
      <c r="AE86" s="229">
        <v>4</v>
      </c>
      <c r="AF86" s="229">
        <v>8</v>
      </c>
      <c r="AG86" s="229">
        <v>22.5</v>
      </c>
      <c r="AH86" s="229">
        <v>2</v>
      </c>
      <c r="AI86" s="229">
        <v>5</v>
      </c>
      <c r="AJ86" s="229">
        <v>17.5</v>
      </c>
      <c r="AK86" s="233"/>
      <c r="AL86" s="233"/>
      <c r="AM86" s="233"/>
      <c r="AN86" s="233"/>
      <c r="AO86" s="233"/>
      <c r="AP86" s="233"/>
      <c r="AQ86" s="229">
        <f t="shared" ref="AQ86" si="358">(AB86*AC86*AD86)+(AE86*AF86*AG86)+(AH86*AI86*AJ86)+(AK86*AL86*AM86)+(AN86*AO86*AP86)</f>
        <v>1839</v>
      </c>
      <c r="AR86" s="826"/>
      <c r="AT86" s="878"/>
      <c r="AU86" s="229">
        <v>1</v>
      </c>
      <c r="AV86" s="229">
        <v>30</v>
      </c>
      <c r="AW86" s="229">
        <f>BK84</f>
        <v>88.9</v>
      </c>
      <c r="AX86" s="233"/>
      <c r="AY86" s="233"/>
      <c r="AZ86" s="233"/>
      <c r="BA86" s="233"/>
      <c r="BB86" s="233"/>
      <c r="BC86" s="233"/>
      <c r="BD86" s="233"/>
      <c r="BE86" s="233"/>
      <c r="BF86" s="233"/>
      <c r="BG86" s="233"/>
      <c r="BH86" s="233"/>
      <c r="BI86" s="233"/>
      <c r="BJ86" s="229">
        <f t="shared" ref="BJ86" si="359">(AU86*AV86*AW86)+(AX86*AY86*AZ86)+(BA86*BB86*BC86)+(BD86*BE86*BF86)+(BG86*BH86*BI86)</f>
        <v>2667</v>
      </c>
      <c r="BK86" s="826"/>
      <c r="BL86" s="118"/>
      <c r="BM86" s="872"/>
      <c r="BN86" s="229">
        <v>4</v>
      </c>
      <c r="BO86" s="229">
        <v>10</v>
      </c>
      <c r="BP86" s="229">
        <f>110*$FU$3</f>
        <v>8756</v>
      </c>
      <c r="BQ86" s="229">
        <v>4</v>
      </c>
      <c r="BR86" s="229">
        <v>10</v>
      </c>
      <c r="BS86" s="229">
        <v>12.5</v>
      </c>
      <c r="BT86" s="229">
        <v>4</v>
      </c>
      <c r="BU86" s="229">
        <f>((8*1)+(10*3))/4</f>
        <v>9.5</v>
      </c>
      <c r="BV86" s="229">
        <f>55*$FU$3</f>
        <v>4378</v>
      </c>
      <c r="BW86" s="233"/>
      <c r="BX86" s="233"/>
      <c r="BY86" s="233"/>
      <c r="BZ86" s="233"/>
      <c r="CA86" s="233"/>
      <c r="CB86" s="233"/>
      <c r="CC86" s="229">
        <f t="shared" ref="CC86" si="360">(BN86*BO86*BP86)+(BQ86*BR86*BS86)+(BT86*BU86*BV86)+(BW86*BX86*BY86)+(BZ86*CA86*CB86)</f>
        <v>517104</v>
      </c>
      <c r="CD86" s="826"/>
      <c r="CF86" s="847"/>
      <c r="CG86" s="229">
        <v>4</v>
      </c>
      <c r="CH86" s="229">
        <f>((10*2)+(8*2))/4</f>
        <v>9</v>
      </c>
      <c r="CI86" s="126">
        <f>((6.8*2)+(9.1*2))/4</f>
        <v>7.9499999999999993</v>
      </c>
      <c r="CJ86" s="229">
        <v>4</v>
      </c>
      <c r="CK86" s="229">
        <v>10</v>
      </c>
      <c r="CL86" s="229">
        <v>17.5</v>
      </c>
      <c r="CM86" s="229">
        <v>4</v>
      </c>
      <c r="CN86" s="229">
        <v>12</v>
      </c>
      <c r="CO86" s="229">
        <v>5</v>
      </c>
      <c r="CP86" s="233"/>
      <c r="CQ86" s="233"/>
      <c r="CR86" s="233"/>
      <c r="CS86" s="233"/>
      <c r="CT86" s="233"/>
      <c r="CU86" s="233"/>
      <c r="CV86" s="229">
        <f t="shared" ref="CV86" si="361">(CG86*CH86*CI86)+(CJ86*CK86*CL86)+(CM86*CN86*CO86)+(CP86*CQ86*CR86)+(CS86*CT86*CU86)</f>
        <v>1226.2</v>
      </c>
      <c r="CW86" s="826"/>
      <c r="CX86" s="118"/>
      <c r="CY86" s="842"/>
      <c r="CZ86" s="233"/>
      <c r="DA86" s="233"/>
      <c r="DB86" s="233"/>
      <c r="DC86" s="233"/>
      <c r="DD86" s="233"/>
      <c r="DE86" s="233"/>
      <c r="DF86" s="233"/>
      <c r="DG86" s="233"/>
      <c r="DH86" s="233"/>
      <c r="DI86" s="233"/>
      <c r="DJ86" s="233"/>
      <c r="DK86" s="233"/>
      <c r="DL86" s="233"/>
      <c r="DM86" s="233"/>
      <c r="DN86" s="233"/>
      <c r="DO86" s="229">
        <f t="shared" ref="DO86" si="362">(CZ86*DA86*DB86)+(DC86*DD86*DE86)+(DF86*DG86*DH86)+(DI86*DJ86*DK86)+(DL86*DM86*DN86)</f>
        <v>0</v>
      </c>
      <c r="DP86" s="826"/>
      <c r="DR86" s="872"/>
      <c r="DS86" s="229">
        <v>3</v>
      </c>
      <c r="DT86" s="229">
        <v>12</v>
      </c>
      <c r="DU86" s="229">
        <v>22.5</v>
      </c>
      <c r="DV86" s="229">
        <v>3</v>
      </c>
      <c r="DW86" s="229">
        <v>12</v>
      </c>
      <c r="DX86" s="229">
        <v>7.5</v>
      </c>
      <c r="DY86" s="229">
        <v>3</v>
      </c>
      <c r="DZ86" s="229">
        <v>10</v>
      </c>
      <c r="EA86" s="229">
        <v>12.5</v>
      </c>
      <c r="EB86" s="233"/>
      <c r="EC86" s="233"/>
      <c r="ED86" s="233"/>
      <c r="EE86" s="233"/>
      <c r="EF86" s="233"/>
      <c r="EG86" s="233"/>
      <c r="EH86" s="229">
        <f t="shared" ref="EH86" si="363">(DS86*DT86*DU86)+(DV86*DW86*DX86)+(DY86*DZ86*EA86)+(EB86*EC86*ED86)+(EE86*EF86*EG86)</f>
        <v>1455</v>
      </c>
      <c r="EI86" s="826"/>
      <c r="EK86" s="875"/>
      <c r="EL86" s="229">
        <v>3</v>
      </c>
      <c r="EM86" s="126">
        <f>((8*2)+(10*1))/3</f>
        <v>8.6666666666666661</v>
      </c>
      <c r="EN86" s="126">
        <v>59</v>
      </c>
      <c r="EO86" s="229">
        <v>3</v>
      </c>
      <c r="EP86" s="126">
        <f>((10*1)+(8*1)+(9*1))/3</f>
        <v>9</v>
      </c>
      <c r="EQ86" s="229">
        <v>20</v>
      </c>
      <c r="ER86" s="233"/>
      <c r="ES86" s="233"/>
      <c r="ET86" s="233"/>
      <c r="EU86" s="233"/>
      <c r="EV86" s="233"/>
      <c r="EW86" s="233"/>
      <c r="EX86" s="233"/>
      <c r="EY86" s="233"/>
      <c r="EZ86" s="233"/>
      <c r="FA86" s="229">
        <f t="shared" ref="FA86" si="364">(EL86*EM86*EN86)+(EO86*EP86*EQ86)+(ER86*ES86*ET86)+(EU86*EV86*EW86)+(EX86*EY86*EZ86)</f>
        <v>2074</v>
      </c>
      <c r="FB86" s="826"/>
      <c r="FD86" s="866"/>
      <c r="FE86" s="229">
        <v>4</v>
      </c>
      <c r="FF86" s="229">
        <f>((14*1)+(10*3))/4</f>
        <v>11</v>
      </c>
      <c r="FG86" s="229">
        <f>((41*1)+(63*3))/4</f>
        <v>57.5</v>
      </c>
      <c r="FH86" s="229">
        <v>4</v>
      </c>
      <c r="FI86" s="126">
        <v>12</v>
      </c>
      <c r="FJ86" s="126">
        <f>((12.5*1)+(15*2))/3</f>
        <v>14.166666666666666</v>
      </c>
      <c r="FK86" s="229">
        <v>3</v>
      </c>
      <c r="FL86" s="126">
        <f>((12*1)+(8*1)+(10*1))/3</f>
        <v>10</v>
      </c>
      <c r="FM86" s="126">
        <f>((22.7*1)+(24.6*2))/3</f>
        <v>23.966666666666669</v>
      </c>
      <c r="FN86" s="229">
        <v>3</v>
      </c>
      <c r="FO86" s="229">
        <f>((12*1)+(8*2))/3</f>
        <v>9.3333333333333339</v>
      </c>
      <c r="FP86" s="229">
        <f>((14.75*1)+(18.5*2))/3</f>
        <v>17.25</v>
      </c>
      <c r="FQ86" s="229">
        <v>4</v>
      </c>
      <c r="FR86" s="126">
        <f>((16*1)+(10*2))/3</f>
        <v>12</v>
      </c>
      <c r="FS86" s="126">
        <f>((10*1)+(12.5*2))/3</f>
        <v>11.666666666666666</v>
      </c>
      <c r="FT86" s="229">
        <f t="shared" ref="FT86" si="365">(FE86*FF86*FG86)+(FH86*FI86*FJ86)+(FK86*FL86*FM86)+(FN86*FO86*FP86)+(FQ86*FR86*FS86)</f>
        <v>4972</v>
      </c>
      <c r="FU86" s="826"/>
      <c r="FW86" s="858"/>
      <c r="FX86" s="229">
        <v>1</v>
      </c>
      <c r="FY86" s="229">
        <v>35</v>
      </c>
      <c r="FZ86" s="229">
        <f>GQ84</f>
        <v>78.400000000000006</v>
      </c>
      <c r="GA86" s="233"/>
      <c r="GB86" s="233"/>
      <c r="GC86" s="233"/>
      <c r="GD86" s="233"/>
      <c r="GE86" s="233"/>
      <c r="GF86" s="233"/>
      <c r="GG86" s="233"/>
      <c r="GH86" s="233"/>
      <c r="GI86" s="233"/>
      <c r="GJ86" s="233"/>
      <c r="GK86" s="233"/>
      <c r="GL86" s="233"/>
      <c r="GM86" s="233"/>
      <c r="GN86" s="233"/>
      <c r="GO86" s="233"/>
      <c r="GP86" s="229">
        <f>(FX86*FY86*FZ86)+(GA86*GB86*GC86)+(GD86*GE86*GF86)+(GG86*GH86*GI86)+(GJ86*GK86*GL86)+(GM86*GN86*GO86)</f>
        <v>2744</v>
      </c>
      <c r="GQ86" s="826"/>
      <c r="GR86" s="118"/>
      <c r="GS86" s="878"/>
      <c r="GT86" s="233"/>
      <c r="GU86" s="233"/>
      <c r="GV86" s="233"/>
      <c r="GW86" s="233"/>
      <c r="GX86" s="233"/>
      <c r="GY86" s="233"/>
      <c r="GZ86" s="233"/>
      <c r="HA86" s="233"/>
      <c r="HB86" s="233"/>
      <c r="HC86" s="233"/>
      <c r="HD86" s="233"/>
      <c r="HE86" s="233"/>
      <c r="HF86" s="233"/>
      <c r="HG86" s="233"/>
      <c r="HH86" s="233"/>
      <c r="HI86" s="233"/>
      <c r="HJ86" s="233"/>
      <c r="HK86" s="233"/>
      <c r="HL86" s="229">
        <f>(GT86*GU86*GV86)+(GW86*GX86*GY86)+(GZ86*HA86*HB86)+(HC86*HD86*HE86)+(HF86*HG86*HH86)+(HI86*HJ86*HK86)</f>
        <v>0</v>
      </c>
      <c r="HM86" s="826"/>
      <c r="HN86" s="118"/>
      <c r="HO86" s="866"/>
      <c r="HP86" s="233"/>
      <c r="HQ86" s="233"/>
      <c r="HR86" s="233"/>
      <c r="HS86" s="233"/>
      <c r="HT86" s="233"/>
      <c r="HU86" s="233"/>
      <c r="HV86" s="233"/>
      <c r="HW86" s="233"/>
      <c r="HX86" s="233"/>
      <c r="HY86" s="233"/>
      <c r="HZ86" s="233"/>
      <c r="IA86" s="233"/>
      <c r="IB86" s="233"/>
      <c r="IC86" s="233"/>
      <c r="ID86" s="233"/>
      <c r="IE86" s="233"/>
      <c r="IF86" s="233"/>
      <c r="IG86" s="233"/>
      <c r="IH86" s="229">
        <f>(HP86*HQ86*HR86)+(HS86*HT86*HU86)+(HV86*HW86*HX86)+(HY86*HZ86*IA86)+(IB86*IC86*ID86)+(IE86*IF86*IG86)</f>
        <v>0</v>
      </c>
      <c r="II86" s="826"/>
      <c r="IK86" s="847"/>
      <c r="IL86" s="229"/>
      <c r="IM86" s="229"/>
      <c r="IN86" s="229"/>
      <c r="IO86" s="229"/>
      <c r="IP86" s="229"/>
      <c r="IQ86" s="229"/>
      <c r="IR86" s="229"/>
      <c r="IS86" s="229"/>
      <c r="IT86" s="229"/>
      <c r="IU86" s="229"/>
      <c r="IV86" s="229"/>
      <c r="IW86" s="229"/>
      <c r="IX86" s="229"/>
      <c r="IY86" s="229"/>
      <c r="IZ86" s="229"/>
      <c r="JA86" s="229"/>
      <c r="JB86" s="229"/>
      <c r="JC86" s="229"/>
      <c r="JD86" s="949"/>
      <c r="JE86" s="229">
        <f>(IL86*IM86*IN86)+(IO86*IP86*IQ86)+(IR86*IS86*IT86)+(IU86*IV86*IW86)+(IX86*IY86*IZ86)+(JA86*JB86*JC86)</f>
        <v>0</v>
      </c>
      <c r="JF86" s="826"/>
    </row>
    <row r="87" spans="27:269" ht="15">
      <c r="AN87" s="831" t="s">
        <v>135</v>
      </c>
      <c r="AO87" s="831"/>
      <c r="AP87" s="831"/>
      <c r="AQ87" s="106" cm="1">
        <f t="array" ref="AQ87">SUMPRODUCT((MOD(ROW(AQ3:AQ86)-ROW(AQ3), 3)=0) *AQ3:AQ86)</f>
        <v>56</v>
      </c>
      <c r="AR87" s="829" cm="1">
        <f t="array" ref="AR87">LOOKUP(2, 1/(AR3:AR86&lt;&gt;""), AR3:AR86) - AR3</f>
        <v>-2.5999999999999943</v>
      </c>
      <c r="AT87" s="840">
        <v>45745</v>
      </c>
      <c r="AU87" s="848" t="s">
        <v>68</v>
      </c>
      <c r="AV87" s="848"/>
      <c r="AW87" s="848"/>
      <c r="AX87" s="890" t="s">
        <v>71</v>
      </c>
      <c r="AY87" s="890"/>
      <c r="AZ87" s="890"/>
      <c r="BA87" s="882" t="s">
        <v>110</v>
      </c>
      <c r="BB87" s="883"/>
      <c r="BC87" s="884"/>
      <c r="BD87" s="882" t="s">
        <v>111</v>
      </c>
      <c r="BE87" s="883"/>
      <c r="BF87" s="884"/>
      <c r="BG87" s="848" t="s">
        <v>85</v>
      </c>
      <c r="BH87" s="848"/>
      <c r="BI87" s="848"/>
      <c r="BJ87" s="823">
        <f t="shared" ref="BJ87" si="366">COUNTA(AU87:BI87)</f>
        <v>5</v>
      </c>
      <c r="BK87" s="824">
        <v>87.6</v>
      </c>
      <c r="BL87" s="118"/>
      <c r="BM87" s="856">
        <v>45776</v>
      </c>
      <c r="BN87" s="849" t="s">
        <v>70</v>
      </c>
      <c r="BO87" s="849"/>
      <c r="BP87" s="849"/>
      <c r="BQ87" s="859"/>
      <c r="BR87" s="859"/>
      <c r="BS87" s="859"/>
      <c r="BT87" s="844"/>
      <c r="BU87" s="844"/>
      <c r="BV87" s="844"/>
      <c r="BW87" s="844"/>
      <c r="BX87" s="844"/>
      <c r="BY87" s="844"/>
      <c r="BZ87" s="844"/>
      <c r="CA87" s="844"/>
      <c r="CB87" s="844"/>
      <c r="CC87" s="823">
        <f t="shared" ref="CC87" si="367">COUNTA(BN87:CB87)</f>
        <v>1</v>
      </c>
      <c r="CD87" s="824">
        <v>85.7</v>
      </c>
      <c r="CF87" s="873">
        <v>45806</v>
      </c>
      <c r="CG87" s="859"/>
      <c r="CH87" s="859"/>
      <c r="CI87" s="859"/>
      <c r="CJ87" s="859"/>
      <c r="CK87" s="859"/>
      <c r="CL87" s="859"/>
      <c r="CM87" s="844"/>
      <c r="CN87" s="844"/>
      <c r="CO87" s="844"/>
      <c r="CP87" s="844"/>
      <c r="CQ87" s="844"/>
      <c r="CR87" s="844"/>
      <c r="CS87" s="844"/>
      <c r="CT87" s="844"/>
      <c r="CU87" s="844"/>
      <c r="CV87" s="823">
        <f t="shared" ref="CV87" si="368">COUNTA(CG87:CU87)</f>
        <v>0</v>
      </c>
      <c r="CW87" s="824">
        <f>CW84</f>
        <v>84.9</v>
      </c>
      <c r="CX87" s="118"/>
      <c r="CY87" s="864">
        <v>45837</v>
      </c>
      <c r="CZ87" s="849" t="s">
        <v>119</v>
      </c>
      <c r="DA87" s="849"/>
      <c r="DB87" s="849"/>
      <c r="DC87" s="849" t="s">
        <v>102</v>
      </c>
      <c r="DD87" s="849"/>
      <c r="DE87" s="849"/>
      <c r="DF87" s="890" t="s">
        <v>93</v>
      </c>
      <c r="DG87" s="890"/>
      <c r="DH87" s="890"/>
      <c r="DI87" s="849" t="s">
        <v>113</v>
      </c>
      <c r="DJ87" s="849"/>
      <c r="DK87" s="849"/>
      <c r="DL87" s="844"/>
      <c r="DM87" s="844"/>
      <c r="DN87" s="844"/>
      <c r="DO87" s="823">
        <f t="shared" ref="DO87" si="369">COUNTA(CZ87:DN87)</f>
        <v>4</v>
      </c>
      <c r="DP87" s="824">
        <v>81.599999999999994</v>
      </c>
      <c r="DR87" s="856">
        <v>45867</v>
      </c>
      <c r="DS87" s="849" t="s">
        <v>72</v>
      </c>
      <c r="DT87" s="849"/>
      <c r="DU87" s="849"/>
      <c r="DV87" s="882" t="s">
        <v>101</v>
      </c>
      <c r="DW87" s="883"/>
      <c r="DX87" s="884"/>
      <c r="DY87" s="886" t="s">
        <v>133</v>
      </c>
      <c r="DZ87" s="886"/>
      <c r="EA87" s="886"/>
      <c r="EB87" s="848" t="s">
        <v>85</v>
      </c>
      <c r="EC87" s="848"/>
      <c r="ED87" s="848"/>
      <c r="EE87" s="844"/>
      <c r="EF87" s="844"/>
      <c r="EG87" s="844"/>
      <c r="EH87" s="823">
        <f t="shared" ref="EH87" si="370">COUNTA(DS87:EG87)</f>
        <v>4</v>
      </c>
      <c r="EI87" s="824">
        <v>80.599999999999994</v>
      </c>
      <c r="EK87" s="876">
        <v>45898</v>
      </c>
      <c r="EL87" s="859"/>
      <c r="EM87" s="859"/>
      <c r="EN87" s="859"/>
      <c r="EO87" s="859"/>
      <c r="EP87" s="859"/>
      <c r="EQ87" s="859"/>
      <c r="ER87" s="844"/>
      <c r="ES87" s="844"/>
      <c r="ET87" s="844"/>
      <c r="EU87" s="844"/>
      <c r="EV87" s="844"/>
      <c r="EW87" s="844"/>
      <c r="EX87" s="844"/>
      <c r="EY87" s="844"/>
      <c r="EZ87" s="844"/>
      <c r="FA87" s="823">
        <f t="shared" ref="FA87" si="371">COUNTA(EL87:EZ87)</f>
        <v>0</v>
      </c>
      <c r="FB87" s="824">
        <f>FB84</f>
        <v>79.2</v>
      </c>
      <c r="FD87" s="870">
        <v>45929</v>
      </c>
      <c r="FE87" s="848" t="s">
        <v>70</v>
      </c>
      <c r="FF87" s="848"/>
      <c r="FG87" s="848"/>
      <c r="FH87" s="859"/>
      <c r="FI87" s="859"/>
      <c r="FJ87" s="859"/>
      <c r="FK87" s="834"/>
      <c r="FL87" s="835"/>
      <c r="FM87" s="836"/>
      <c r="FN87" s="867"/>
      <c r="FO87" s="868"/>
      <c r="FP87" s="869"/>
      <c r="FQ87" s="834"/>
      <c r="FR87" s="835"/>
      <c r="FS87" s="836"/>
      <c r="FT87" s="823">
        <f t="shared" ref="FT87" si="372">COUNTA(FE87:FS87)</f>
        <v>1</v>
      </c>
      <c r="FU87" s="824">
        <v>78.599999999999994</v>
      </c>
      <c r="FW87" s="845">
        <v>45959</v>
      </c>
      <c r="FX87" s="834"/>
      <c r="FY87" s="835"/>
      <c r="FZ87" s="836"/>
      <c r="GA87" s="844"/>
      <c r="GB87" s="844"/>
      <c r="GC87" s="844"/>
      <c r="GD87" s="844"/>
      <c r="GE87" s="844"/>
      <c r="GF87" s="844"/>
      <c r="GG87" s="844"/>
      <c r="GH87" s="844"/>
      <c r="GI87" s="844"/>
      <c r="GJ87" s="844"/>
      <c r="GK87" s="844"/>
      <c r="GL87" s="844"/>
      <c r="GM87" s="844"/>
      <c r="GN87" s="844"/>
      <c r="GO87" s="844"/>
      <c r="GP87" s="823">
        <f>COUNTA(FX87:GO87)</f>
        <v>0</v>
      </c>
      <c r="GQ87" s="824">
        <f>GQ84</f>
        <v>78.400000000000006</v>
      </c>
      <c r="GR87" s="118"/>
      <c r="GS87" s="840">
        <v>45990</v>
      </c>
      <c r="GT87" s="849" t="s">
        <v>156</v>
      </c>
      <c r="GU87" s="849"/>
      <c r="GV87" s="849"/>
      <c r="GW87" s="848" t="s">
        <v>115</v>
      </c>
      <c r="GX87" s="848"/>
      <c r="GY87" s="848"/>
      <c r="GZ87" s="879" t="s">
        <v>154</v>
      </c>
      <c r="HA87" s="880"/>
      <c r="HB87" s="881"/>
      <c r="HC87" s="887" t="s">
        <v>81</v>
      </c>
      <c r="HD87" s="888"/>
      <c r="HE87" s="889"/>
      <c r="HF87" s="834"/>
      <c r="HG87" s="835"/>
      <c r="HH87" s="836"/>
      <c r="HI87" s="834"/>
      <c r="HJ87" s="835"/>
      <c r="HK87" s="836"/>
      <c r="HL87" s="823">
        <f>COUNTA(GT87:HK87)</f>
        <v>4</v>
      </c>
      <c r="HM87" s="824">
        <v>76.8</v>
      </c>
      <c r="HN87" s="118"/>
      <c r="HO87" s="870">
        <v>46020</v>
      </c>
      <c r="HP87" s="844"/>
      <c r="HQ87" s="844"/>
      <c r="HR87" s="844"/>
      <c r="HS87" s="844"/>
      <c r="HT87" s="844"/>
      <c r="HU87" s="844"/>
      <c r="HV87" s="844"/>
      <c r="HW87" s="844"/>
      <c r="HX87" s="844"/>
      <c r="HY87" s="844"/>
      <c r="HZ87" s="844"/>
      <c r="IA87" s="844"/>
      <c r="IB87" s="844"/>
      <c r="IC87" s="844"/>
      <c r="ID87" s="844"/>
      <c r="IE87" s="834"/>
      <c r="IF87" s="835"/>
      <c r="IG87" s="836"/>
      <c r="IH87" s="823">
        <f>COUNTA(HP87:IG87)</f>
        <v>0</v>
      </c>
      <c r="II87" s="824">
        <f t="shared" ref="II87" si="373">II84</f>
        <v>76.900000000000006</v>
      </c>
      <c r="IK87" s="873">
        <v>46051</v>
      </c>
      <c r="IL87" s="848"/>
      <c r="IM87" s="848"/>
      <c r="IN87" s="848"/>
      <c r="IO87" s="848"/>
      <c r="IP87" s="848"/>
      <c r="IQ87" s="848"/>
      <c r="IR87" s="848"/>
      <c r="IS87" s="848"/>
      <c r="IT87" s="848"/>
      <c r="IU87" s="848"/>
      <c r="IV87" s="848"/>
      <c r="IW87" s="848"/>
      <c r="IX87" s="882"/>
      <c r="IY87" s="883"/>
      <c r="IZ87" s="884"/>
      <c r="JA87" s="882"/>
      <c r="JB87" s="883"/>
      <c r="JC87" s="884"/>
      <c r="JD87" s="232" t="s">
        <v>425</v>
      </c>
      <c r="JE87" s="823">
        <f>COUNTA(IL87:JC87)</f>
        <v>0</v>
      </c>
      <c r="JF87" s="824"/>
    </row>
    <row r="88" spans="27:269" ht="15">
      <c r="AN88" s="831" t="s">
        <v>136</v>
      </c>
      <c r="AO88" s="831"/>
      <c r="AP88" s="831"/>
      <c r="AQ88" s="274" cm="1">
        <f t="array" ref="AQ88">SUMPRODUCT((MOD(ROW(AQ3:AQ86)-ROW(AQ5), 3)=0) *AQ3:AQ86)</f>
        <v>44218.6</v>
      </c>
      <c r="AR88" s="830"/>
      <c r="AT88" s="841"/>
      <c r="AU88" s="231" t="s">
        <v>59</v>
      </c>
      <c r="AV88" s="231" t="s">
        <v>73</v>
      </c>
      <c r="AW88" s="102" t="s">
        <v>4</v>
      </c>
      <c r="AX88" s="231" t="s">
        <v>59</v>
      </c>
      <c r="AY88" s="231" t="s">
        <v>73</v>
      </c>
      <c r="AZ88" s="102" t="s">
        <v>4</v>
      </c>
      <c r="BA88" s="231" t="s">
        <v>59</v>
      </c>
      <c r="BB88" s="231" t="s">
        <v>73</v>
      </c>
      <c r="BC88" s="102" t="s">
        <v>4</v>
      </c>
      <c r="BD88" s="231" t="s">
        <v>59</v>
      </c>
      <c r="BE88" s="231" t="s">
        <v>73</v>
      </c>
      <c r="BF88" s="102" t="s">
        <v>4</v>
      </c>
      <c r="BG88" s="231" t="s">
        <v>59</v>
      </c>
      <c r="BH88" s="231" t="s">
        <v>73</v>
      </c>
      <c r="BI88" s="102" t="s">
        <v>4</v>
      </c>
      <c r="BJ88" s="823"/>
      <c r="BK88" s="825"/>
      <c r="BL88" s="118"/>
      <c r="BM88" s="857"/>
      <c r="BN88" s="231" t="s">
        <v>59</v>
      </c>
      <c r="BO88" s="231" t="s">
        <v>73</v>
      </c>
      <c r="BP88" s="102" t="s">
        <v>4</v>
      </c>
      <c r="BQ88" s="107" t="s">
        <v>59</v>
      </c>
      <c r="BR88" s="107" t="s">
        <v>73</v>
      </c>
      <c r="BS88" s="108" t="s">
        <v>4</v>
      </c>
      <c r="BT88" s="107" t="s">
        <v>59</v>
      </c>
      <c r="BU88" s="107" t="s">
        <v>73</v>
      </c>
      <c r="BV88" s="108" t="s">
        <v>4</v>
      </c>
      <c r="BW88" s="107" t="s">
        <v>59</v>
      </c>
      <c r="BX88" s="107" t="s">
        <v>73</v>
      </c>
      <c r="BY88" s="108" t="s">
        <v>4</v>
      </c>
      <c r="BZ88" s="107" t="s">
        <v>59</v>
      </c>
      <c r="CA88" s="107" t="s">
        <v>73</v>
      </c>
      <c r="CB88" s="108" t="s">
        <v>4</v>
      </c>
      <c r="CC88" s="823"/>
      <c r="CD88" s="825"/>
      <c r="CF88" s="874"/>
      <c r="CG88" s="107" t="s">
        <v>59</v>
      </c>
      <c r="CH88" s="107" t="s">
        <v>73</v>
      </c>
      <c r="CI88" s="108" t="s">
        <v>4</v>
      </c>
      <c r="CJ88" s="107" t="s">
        <v>59</v>
      </c>
      <c r="CK88" s="107" t="s">
        <v>73</v>
      </c>
      <c r="CL88" s="108" t="s">
        <v>4</v>
      </c>
      <c r="CM88" s="107" t="s">
        <v>59</v>
      </c>
      <c r="CN88" s="107" t="s">
        <v>73</v>
      </c>
      <c r="CO88" s="108" t="s">
        <v>4</v>
      </c>
      <c r="CP88" s="107" t="s">
        <v>59</v>
      </c>
      <c r="CQ88" s="107" t="s">
        <v>73</v>
      </c>
      <c r="CR88" s="108" t="s">
        <v>4</v>
      </c>
      <c r="CS88" s="107" t="s">
        <v>59</v>
      </c>
      <c r="CT88" s="107" t="s">
        <v>73</v>
      </c>
      <c r="CU88" s="108" t="s">
        <v>4</v>
      </c>
      <c r="CV88" s="823"/>
      <c r="CW88" s="825"/>
      <c r="CX88" s="118"/>
      <c r="CY88" s="865"/>
      <c r="CZ88" s="231" t="s">
        <v>59</v>
      </c>
      <c r="DA88" s="231" t="s">
        <v>73</v>
      </c>
      <c r="DB88" s="102" t="s">
        <v>4</v>
      </c>
      <c r="DC88" s="231" t="s">
        <v>59</v>
      </c>
      <c r="DD88" s="231" t="s">
        <v>73</v>
      </c>
      <c r="DE88" s="102" t="s">
        <v>4</v>
      </c>
      <c r="DF88" s="231" t="s">
        <v>59</v>
      </c>
      <c r="DG88" s="231" t="s">
        <v>73</v>
      </c>
      <c r="DH88" s="102" t="s">
        <v>4</v>
      </c>
      <c r="DI88" s="231" t="s">
        <v>59</v>
      </c>
      <c r="DJ88" s="231" t="s">
        <v>73</v>
      </c>
      <c r="DK88" s="102" t="s">
        <v>4</v>
      </c>
      <c r="DL88" s="107" t="s">
        <v>59</v>
      </c>
      <c r="DM88" s="107" t="s">
        <v>73</v>
      </c>
      <c r="DN88" s="108" t="s">
        <v>4</v>
      </c>
      <c r="DO88" s="823"/>
      <c r="DP88" s="825"/>
      <c r="DR88" s="857"/>
      <c r="DS88" s="231" t="s">
        <v>59</v>
      </c>
      <c r="DT88" s="231" t="s">
        <v>73</v>
      </c>
      <c r="DU88" s="102" t="s">
        <v>4</v>
      </c>
      <c r="DV88" s="231" t="s">
        <v>59</v>
      </c>
      <c r="DW88" s="231" t="s">
        <v>73</v>
      </c>
      <c r="DX88" s="102" t="s">
        <v>4</v>
      </c>
      <c r="DY88" s="231" t="s">
        <v>59</v>
      </c>
      <c r="DZ88" s="231" t="s">
        <v>73</v>
      </c>
      <c r="EA88" s="102" t="s">
        <v>4</v>
      </c>
      <c r="EB88" s="231" t="s">
        <v>59</v>
      </c>
      <c r="EC88" s="231" t="s">
        <v>73</v>
      </c>
      <c r="ED88" s="102" t="s">
        <v>4</v>
      </c>
      <c r="EE88" s="107" t="s">
        <v>59</v>
      </c>
      <c r="EF88" s="107" t="s">
        <v>73</v>
      </c>
      <c r="EG88" s="108" t="s">
        <v>4</v>
      </c>
      <c r="EH88" s="823"/>
      <c r="EI88" s="825"/>
      <c r="EK88" s="877"/>
      <c r="EL88" s="107" t="s">
        <v>59</v>
      </c>
      <c r="EM88" s="107" t="s">
        <v>73</v>
      </c>
      <c r="EN88" s="108" t="s">
        <v>4</v>
      </c>
      <c r="EO88" s="107" t="s">
        <v>59</v>
      </c>
      <c r="EP88" s="107" t="s">
        <v>73</v>
      </c>
      <c r="EQ88" s="108" t="s">
        <v>4</v>
      </c>
      <c r="ER88" s="107" t="s">
        <v>59</v>
      </c>
      <c r="ES88" s="107" t="s">
        <v>73</v>
      </c>
      <c r="ET88" s="108" t="s">
        <v>4</v>
      </c>
      <c r="EU88" s="107" t="s">
        <v>59</v>
      </c>
      <c r="EV88" s="107" t="s">
        <v>73</v>
      </c>
      <c r="EW88" s="108" t="s">
        <v>4</v>
      </c>
      <c r="EX88" s="107" t="s">
        <v>59</v>
      </c>
      <c r="EY88" s="107" t="s">
        <v>73</v>
      </c>
      <c r="EZ88" s="108" t="s">
        <v>4</v>
      </c>
      <c r="FA88" s="823"/>
      <c r="FB88" s="825"/>
      <c r="FD88" s="871"/>
      <c r="FE88" s="231" t="s">
        <v>59</v>
      </c>
      <c r="FF88" s="231" t="s">
        <v>73</v>
      </c>
      <c r="FG88" s="102" t="s">
        <v>4</v>
      </c>
      <c r="FH88" s="107" t="s">
        <v>59</v>
      </c>
      <c r="FI88" s="107" t="s">
        <v>73</v>
      </c>
      <c r="FJ88" s="108" t="s">
        <v>4</v>
      </c>
      <c r="FK88" s="107" t="s">
        <v>59</v>
      </c>
      <c r="FL88" s="107" t="s">
        <v>73</v>
      </c>
      <c r="FM88" s="108" t="s">
        <v>4</v>
      </c>
      <c r="FN88" s="107" t="s">
        <v>59</v>
      </c>
      <c r="FO88" s="107" t="s">
        <v>73</v>
      </c>
      <c r="FP88" s="108" t="s">
        <v>4</v>
      </c>
      <c r="FQ88" s="107" t="s">
        <v>59</v>
      </c>
      <c r="FR88" s="107" t="s">
        <v>73</v>
      </c>
      <c r="FS88" s="108" t="s">
        <v>4</v>
      </c>
      <c r="FT88" s="823"/>
      <c r="FU88" s="825"/>
      <c r="FW88" s="846"/>
      <c r="FX88" s="107" t="s">
        <v>59</v>
      </c>
      <c r="FY88" s="107" t="s">
        <v>73</v>
      </c>
      <c r="FZ88" s="108" t="s">
        <v>4</v>
      </c>
      <c r="GA88" s="107" t="s">
        <v>59</v>
      </c>
      <c r="GB88" s="107" t="s">
        <v>73</v>
      </c>
      <c r="GC88" s="108" t="s">
        <v>4</v>
      </c>
      <c r="GD88" s="107" t="s">
        <v>59</v>
      </c>
      <c r="GE88" s="107" t="s">
        <v>73</v>
      </c>
      <c r="GF88" s="108" t="s">
        <v>4</v>
      </c>
      <c r="GG88" s="107" t="s">
        <v>59</v>
      </c>
      <c r="GH88" s="107" t="s">
        <v>73</v>
      </c>
      <c r="GI88" s="108" t="s">
        <v>4</v>
      </c>
      <c r="GJ88" s="107" t="s">
        <v>59</v>
      </c>
      <c r="GK88" s="107" t="s">
        <v>73</v>
      </c>
      <c r="GL88" s="108" t="s">
        <v>4</v>
      </c>
      <c r="GM88" s="107" t="s">
        <v>59</v>
      </c>
      <c r="GN88" s="107" t="s">
        <v>73</v>
      </c>
      <c r="GO88" s="108" t="s">
        <v>4</v>
      </c>
      <c r="GP88" s="823"/>
      <c r="GQ88" s="825"/>
      <c r="GR88" s="118"/>
      <c r="GS88" s="841"/>
      <c r="GT88" s="231" t="s">
        <v>59</v>
      </c>
      <c r="GU88" s="231" t="s">
        <v>73</v>
      </c>
      <c r="GV88" s="102" t="s">
        <v>4</v>
      </c>
      <c r="GW88" s="231" t="s">
        <v>59</v>
      </c>
      <c r="GX88" s="231" t="s">
        <v>73</v>
      </c>
      <c r="GY88" s="102" t="s">
        <v>4</v>
      </c>
      <c r="GZ88" s="231" t="s">
        <v>59</v>
      </c>
      <c r="HA88" s="231" t="s">
        <v>73</v>
      </c>
      <c r="HB88" s="102" t="s">
        <v>4</v>
      </c>
      <c r="HC88" s="231" t="s">
        <v>59</v>
      </c>
      <c r="HD88" s="231" t="s">
        <v>73</v>
      </c>
      <c r="HE88" s="102" t="s">
        <v>4</v>
      </c>
      <c r="HF88" s="107" t="s">
        <v>59</v>
      </c>
      <c r="HG88" s="107" t="s">
        <v>73</v>
      </c>
      <c r="HH88" s="108" t="s">
        <v>4</v>
      </c>
      <c r="HI88" s="107" t="s">
        <v>59</v>
      </c>
      <c r="HJ88" s="107" t="s">
        <v>73</v>
      </c>
      <c r="HK88" s="108" t="s">
        <v>4</v>
      </c>
      <c r="HL88" s="823"/>
      <c r="HM88" s="825"/>
      <c r="HN88" s="118"/>
      <c r="HO88" s="871"/>
      <c r="HP88" s="107" t="s">
        <v>59</v>
      </c>
      <c r="HQ88" s="107" t="s">
        <v>73</v>
      </c>
      <c r="HR88" s="108" t="s">
        <v>4</v>
      </c>
      <c r="HS88" s="107" t="s">
        <v>59</v>
      </c>
      <c r="HT88" s="107" t="s">
        <v>73</v>
      </c>
      <c r="HU88" s="108" t="s">
        <v>4</v>
      </c>
      <c r="HV88" s="107" t="s">
        <v>59</v>
      </c>
      <c r="HW88" s="107" t="s">
        <v>73</v>
      </c>
      <c r="HX88" s="108" t="s">
        <v>4</v>
      </c>
      <c r="HY88" s="107" t="s">
        <v>59</v>
      </c>
      <c r="HZ88" s="107" t="s">
        <v>73</v>
      </c>
      <c r="IA88" s="108" t="s">
        <v>4</v>
      </c>
      <c r="IB88" s="107" t="s">
        <v>59</v>
      </c>
      <c r="IC88" s="107" t="s">
        <v>73</v>
      </c>
      <c r="ID88" s="108" t="s">
        <v>4</v>
      </c>
      <c r="IE88" s="107" t="s">
        <v>59</v>
      </c>
      <c r="IF88" s="107" t="s">
        <v>73</v>
      </c>
      <c r="IG88" s="108" t="s">
        <v>4</v>
      </c>
      <c r="IH88" s="823"/>
      <c r="II88" s="825"/>
      <c r="IK88" s="874"/>
      <c r="IL88" s="231" t="s">
        <v>59</v>
      </c>
      <c r="IM88" s="231" t="s">
        <v>73</v>
      </c>
      <c r="IN88" s="102" t="s">
        <v>4</v>
      </c>
      <c r="IO88" s="231" t="s">
        <v>59</v>
      </c>
      <c r="IP88" s="231" t="s">
        <v>73</v>
      </c>
      <c r="IQ88" s="102" t="s">
        <v>4</v>
      </c>
      <c r="IR88" s="231" t="s">
        <v>59</v>
      </c>
      <c r="IS88" s="231" t="s">
        <v>73</v>
      </c>
      <c r="IT88" s="102" t="s">
        <v>4</v>
      </c>
      <c r="IU88" s="231" t="s">
        <v>59</v>
      </c>
      <c r="IV88" s="231" t="s">
        <v>73</v>
      </c>
      <c r="IW88" s="102" t="s">
        <v>4</v>
      </c>
      <c r="IX88" s="231" t="s">
        <v>59</v>
      </c>
      <c r="IY88" s="231" t="s">
        <v>73</v>
      </c>
      <c r="IZ88" s="102" t="s">
        <v>4</v>
      </c>
      <c r="JA88" s="231" t="s">
        <v>59</v>
      </c>
      <c r="JB88" s="231" t="s">
        <v>73</v>
      </c>
      <c r="JC88" s="102" t="s">
        <v>4</v>
      </c>
      <c r="JD88" s="948"/>
      <c r="JE88" s="823"/>
      <c r="JF88" s="825"/>
    </row>
    <row r="89" spans="27:269" ht="15">
      <c r="AT89" s="842"/>
      <c r="AU89" s="229">
        <v>4</v>
      </c>
      <c r="AV89" s="229">
        <f>((10*1)+(8*3))/4</f>
        <v>8.5</v>
      </c>
      <c r="AW89" s="229">
        <f>((36.3*1)+(45.4*1)+(49.9*1)+(54.4*1))/4</f>
        <v>46.5</v>
      </c>
      <c r="AX89" s="229">
        <v>4</v>
      </c>
      <c r="AY89" s="229">
        <v>8</v>
      </c>
      <c r="AZ89" s="229">
        <v>25</v>
      </c>
      <c r="BA89" s="229">
        <v>4</v>
      </c>
      <c r="BB89" s="229">
        <v>8</v>
      </c>
      <c r="BC89" s="229">
        <f>((6.8*3)+(9.1*1))/4</f>
        <v>7.375</v>
      </c>
      <c r="BD89" s="229">
        <v>4</v>
      </c>
      <c r="BE89" s="229">
        <v>8</v>
      </c>
      <c r="BF89" s="229">
        <v>15</v>
      </c>
      <c r="BG89" s="229">
        <v>4</v>
      </c>
      <c r="BH89" s="229">
        <f>((10*1)+(12*3))/4</f>
        <v>11.5</v>
      </c>
      <c r="BI89" s="229">
        <f>BK87/3</f>
        <v>29.2</v>
      </c>
      <c r="BJ89" s="229">
        <f t="shared" ref="BJ89" si="374">(AU89*AV89*AW89)+(AX89*AY89*AZ89)+(BA89*BB89*BC89)+(BD89*BE89*BF89)+(BG89*BH89*BI89)</f>
        <v>4440.2</v>
      </c>
      <c r="BK89" s="826"/>
      <c r="BL89" s="118"/>
      <c r="BM89" s="858"/>
      <c r="BN89" s="229">
        <v>1</v>
      </c>
      <c r="BO89" s="229">
        <v>36</v>
      </c>
      <c r="BP89" s="229">
        <f>CD87</f>
        <v>85.7</v>
      </c>
      <c r="BQ89" s="233"/>
      <c r="BR89" s="233"/>
      <c r="BS89" s="233"/>
      <c r="BT89" s="233"/>
      <c r="BU89" s="233"/>
      <c r="BV89" s="233"/>
      <c r="BW89" s="233"/>
      <c r="BX89" s="233"/>
      <c r="BY89" s="233"/>
      <c r="BZ89" s="233"/>
      <c r="CA89" s="233"/>
      <c r="CB89" s="233"/>
      <c r="CC89" s="229">
        <f t="shared" ref="CC89" si="375">(BN89*BO89*BP89)+(BQ89*BR89*BS89)+(BT89*BU89*BV89)+(BW89*BX89*BY89)+(BZ89*CA89*CB89)</f>
        <v>3085.2000000000003</v>
      </c>
      <c r="CD89" s="826"/>
      <c r="CF89" s="875"/>
      <c r="CG89" s="233"/>
      <c r="CH89" s="233"/>
      <c r="CI89" s="233"/>
      <c r="CJ89" s="233"/>
      <c r="CK89" s="233"/>
      <c r="CL89" s="233"/>
      <c r="CM89" s="233"/>
      <c r="CN89" s="233"/>
      <c r="CO89" s="233"/>
      <c r="CP89" s="233"/>
      <c r="CQ89" s="233"/>
      <c r="CR89" s="233"/>
      <c r="CS89" s="233"/>
      <c r="CT89" s="233"/>
      <c r="CU89" s="233"/>
      <c r="CV89" s="229">
        <f t="shared" ref="CV89" si="376">(CG89*CH89*CI89)+(CJ89*CK89*CL89)+(CM89*CN89*CO89)+(CP89*CQ89*CR89)+(CS89*CT89*CU89)</f>
        <v>0</v>
      </c>
      <c r="CW89" s="826"/>
      <c r="CX89" s="118"/>
      <c r="CY89" s="866"/>
      <c r="CZ89" s="229">
        <v>3</v>
      </c>
      <c r="DA89" s="229">
        <v>10</v>
      </c>
      <c r="DB89" s="229">
        <v>22.5</v>
      </c>
      <c r="DC89" s="229">
        <v>3</v>
      </c>
      <c r="DD89" s="229">
        <v>8</v>
      </c>
      <c r="DE89" s="229">
        <v>11.3</v>
      </c>
      <c r="DF89" s="229">
        <v>3</v>
      </c>
      <c r="DG89" s="229">
        <v>10</v>
      </c>
      <c r="DH89" s="229">
        <v>20</v>
      </c>
      <c r="DI89" s="229">
        <v>3</v>
      </c>
      <c r="DJ89" s="126">
        <f>((6*1)+(12*2))/4</f>
        <v>7.5</v>
      </c>
      <c r="DK89" s="126">
        <f>((10*1)+(7.5*2))/4</f>
        <v>6.25</v>
      </c>
      <c r="DL89" s="233"/>
      <c r="DM89" s="233"/>
      <c r="DN89" s="233"/>
      <c r="DO89" s="229">
        <f t="shared" ref="DO89" si="377">(CZ89*DA89*DB89)+(DC89*DD89*DE89)+(DF89*DG89*DH89)+(DI89*DJ89*DK89)+(DL89*DM89*DN89)</f>
        <v>1686.825</v>
      </c>
      <c r="DP89" s="826"/>
      <c r="DR89" s="858"/>
      <c r="DS89" s="229">
        <v>3</v>
      </c>
      <c r="DT89" s="229">
        <v>10</v>
      </c>
      <c r="DU89" s="229">
        <v>50</v>
      </c>
      <c r="DV89" s="229">
        <v>3</v>
      </c>
      <c r="DW89" s="229">
        <v>10</v>
      </c>
      <c r="DX89" s="126">
        <v>31.8</v>
      </c>
      <c r="DY89" s="229">
        <v>3</v>
      </c>
      <c r="DZ89" s="229">
        <v>12.5</v>
      </c>
      <c r="EA89" s="229">
        <v>12</v>
      </c>
      <c r="EB89" s="229">
        <v>3</v>
      </c>
      <c r="EC89" s="229">
        <f>((12*1)+(14*1)+(16*1))/3</f>
        <v>14</v>
      </c>
      <c r="ED89" s="229">
        <v>1</v>
      </c>
      <c r="EE89" s="233"/>
      <c r="EF89" s="233"/>
      <c r="EG89" s="233"/>
      <c r="EH89" s="229">
        <f t="shared" ref="EH89" si="378">(DS89*DT89*DU89)+(DV89*DW89*DX89)+(DY89*DZ89*EA89)+(EB89*EC89*ED89)+(EE89*EF89*EG89)</f>
        <v>2946</v>
      </c>
      <c r="EI89" s="826"/>
      <c r="EK89" s="878"/>
      <c r="EL89" s="233"/>
      <c r="EM89" s="233"/>
      <c r="EN89" s="233"/>
      <c r="EO89" s="233"/>
      <c r="EP89" s="233"/>
      <c r="EQ89" s="233"/>
      <c r="ER89" s="233"/>
      <c r="ES89" s="233"/>
      <c r="ET89" s="233"/>
      <c r="EU89" s="233"/>
      <c r="EV89" s="233"/>
      <c r="EW89" s="233"/>
      <c r="EX89" s="233"/>
      <c r="EY89" s="233"/>
      <c r="EZ89" s="233"/>
      <c r="FA89" s="229">
        <f t="shared" ref="FA89" si="379">(EL89*EM89*EN89)+(EO89*EP89*EQ89)+(ER89*ES89*ET89)+(EU89*EV89*EW89)+(EX89*EY89*EZ89)</f>
        <v>0</v>
      </c>
      <c r="FB89" s="826"/>
      <c r="FD89" s="872"/>
      <c r="FE89" s="229">
        <v>1</v>
      </c>
      <c r="FF89" s="229">
        <v>35</v>
      </c>
      <c r="FG89" s="229">
        <f>FU87</f>
        <v>78.599999999999994</v>
      </c>
      <c r="FH89" s="233"/>
      <c r="FI89" s="233"/>
      <c r="FJ89" s="233"/>
      <c r="FK89" s="233"/>
      <c r="FL89" s="233"/>
      <c r="FM89" s="233"/>
      <c r="FN89" s="233"/>
      <c r="FO89" s="233"/>
      <c r="FP89" s="233"/>
      <c r="FQ89" s="233"/>
      <c r="FR89" s="233"/>
      <c r="FS89" s="233"/>
      <c r="FT89" s="229">
        <f t="shared" ref="FT89" si="380">(FE89*FF89*FG89)+(FH89*FI89*FJ89)+(FK89*FL89*FM89)+(FN89*FO89*FP89)+(FQ89*FR89*FS89)</f>
        <v>2751</v>
      </c>
      <c r="FU89" s="826"/>
      <c r="FW89" s="847"/>
      <c r="FX89" s="233"/>
      <c r="FY89" s="233"/>
      <c r="FZ89" s="233"/>
      <c r="GA89" s="233"/>
      <c r="GB89" s="233"/>
      <c r="GC89" s="233"/>
      <c r="GD89" s="233"/>
      <c r="GE89" s="233"/>
      <c r="GF89" s="233"/>
      <c r="GG89" s="233"/>
      <c r="GH89" s="233"/>
      <c r="GI89" s="233"/>
      <c r="GJ89" s="233"/>
      <c r="GK89" s="233"/>
      <c r="GL89" s="233"/>
      <c r="GM89" s="233"/>
      <c r="GN89" s="233"/>
      <c r="GO89" s="233"/>
      <c r="GP89" s="229">
        <f>(FX89*FY89*FZ89)+(GA89*GB89*GC89)+(GD89*GE89*GF89)+(GG89*GH89*GI89)+(GJ89*GK89*GL89)+(GM89*GN89*GO89)</f>
        <v>0</v>
      </c>
      <c r="GQ89" s="826"/>
      <c r="GR89" s="118"/>
      <c r="GS89" s="842"/>
      <c r="GT89" s="229">
        <v>4</v>
      </c>
      <c r="GU89" s="229">
        <f>((12*2)+(10*1)+(12*1))/4</f>
        <v>11.5</v>
      </c>
      <c r="GV89" s="229">
        <f>((8.5*1)+(9.75*1)+(11*2))/3</f>
        <v>13.416666666666666</v>
      </c>
      <c r="GW89" s="229">
        <v>3</v>
      </c>
      <c r="GX89" s="229">
        <f>((12*1)+(8*1)+(12*1))/3</f>
        <v>10.666666666666666</v>
      </c>
      <c r="GY89" s="229">
        <f>((22.7*1)+(24.9*2))/3</f>
        <v>24.166666666666668</v>
      </c>
      <c r="GZ89" s="229">
        <v>3</v>
      </c>
      <c r="HA89" s="126">
        <f>((10*2)+(12*1))/3</f>
        <v>10.666666666666666</v>
      </c>
      <c r="HB89" s="229">
        <v>15</v>
      </c>
      <c r="HC89" s="229">
        <v>3</v>
      </c>
      <c r="HD89" s="126">
        <f>((8*1)+(10*1)+(12*1))/3</f>
        <v>10</v>
      </c>
      <c r="HE89" s="229">
        <v>7.5</v>
      </c>
      <c r="HF89" s="233"/>
      <c r="HG89" s="233"/>
      <c r="HH89" s="233"/>
      <c r="HI89" s="233"/>
      <c r="HJ89" s="233"/>
      <c r="HK89" s="233"/>
      <c r="HL89" s="229">
        <f>(GT89*GU89*GV89)+(GW89*GX89*GY89)+(GZ89*HA89*HB89)+(HC89*HD89*HE89)+(HF89*HG89*HH89)+(HI89*HJ89*HK89)</f>
        <v>2095.5</v>
      </c>
      <c r="HM89" s="826"/>
      <c r="HN89" s="118"/>
      <c r="HO89" s="872"/>
      <c r="HP89" s="233"/>
      <c r="HQ89" s="233"/>
      <c r="HR89" s="233"/>
      <c r="HS89" s="233"/>
      <c r="HT89" s="233"/>
      <c r="HU89" s="233"/>
      <c r="HV89" s="233"/>
      <c r="HW89" s="233"/>
      <c r="HX89" s="233"/>
      <c r="HY89" s="233"/>
      <c r="HZ89" s="233"/>
      <c r="IA89" s="233"/>
      <c r="IB89" s="233"/>
      <c r="IC89" s="233"/>
      <c r="ID89" s="233"/>
      <c r="IE89" s="233"/>
      <c r="IF89" s="233"/>
      <c r="IG89" s="233"/>
      <c r="IH89" s="229">
        <f>(HP89*HQ89*HR89)+(HS89*HT89*HU89)+(HV89*HW89*HX89)+(HY89*HZ89*IA89)+(IB89*IC89*ID89)+(IE89*IF89*IG89)</f>
        <v>0</v>
      </c>
      <c r="II89" s="826"/>
      <c r="IK89" s="875"/>
      <c r="IL89" s="229"/>
      <c r="IM89" s="229"/>
      <c r="IN89" s="229"/>
      <c r="IO89" s="229"/>
      <c r="IP89" s="229"/>
      <c r="IQ89" s="229"/>
      <c r="IR89" s="229"/>
      <c r="IS89" s="229"/>
      <c r="IT89" s="229"/>
      <c r="IU89" s="229"/>
      <c r="IV89" s="229"/>
      <c r="IW89" s="229"/>
      <c r="IX89" s="229"/>
      <c r="IY89" s="229"/>
      <c r="IZ89" s="229"/>
      <c r="JA89" s="229"/>
      <c r="JB89" s="229"/>
      <c r="JC89" s="229"/>
      <c r="JD89" s="949"/>
      <c r="JE89" s="229">
        <f>(IL89*IM89*IN89)+(IO89*IP89*IQ89)+(IR89*IS89*IT89)+(IU89*IV89*IW89)+(IX89*IY89*IZ89)+(JA89*JB89*JC89)</f>
        <v>0</v>
      </c>
      <c r="JF89" s="826"/>
    </row>
    <row r="90" spans="27:269" ht="15">
      <c r="AQ90" s="232" t="s">
        <v>137</v>
      </c>
      <c r="AR90" s="232" t="s">
        <v>1</v>
      </c>
      <c r="AT90" s="864">
        <v>45746</v>
      </c>
      <c r="AU90" s="849" t="s">
        <v>119</v>
      </c>
      <c r="AV90" s="849"/>
      <c r="AW90" s="849"/>
      <c r="AX90" s="849" t="s">
        <v>79</v>
      </c>
      <c r="AY90" s="849"/>
      <c r="AZ90" s="849"/>
      <c r="BA90" s="886" t="s">
        <v>82</v>
      </c>
      <c r="BB90" s="886"/>
      <c r="BC90" s="886"/>
      <c r="BD90" s="890" t="s">
        <v>93</v>
      </c>
      <c r="BE90" s="890"/>
      <c r="BF90" s="890"/>
      <c r="BG90" s="843"/>
      <c r="BH90" s="843"/>
      <c r="BI90" s="843"/>
      <c r="BJ90" s="823">
        <f t="shared" ref="BJ90" si="381">COUNTA(AU90:BI90)</f>
        <v>4</v>
      </c>
      <c r="BK90" s="824">
        <v>87.6</v>
      </c>
      <c r="BL90" s="118"/>
      <c r="BM90" s="845">
        <v>45777</v>
      </c>
      <c r="BN90" s="859"/>
      <c r="BO90" s="859"/>
      <c r="BP90" s="859"/>
      <c r="BQ90" s="844"/>
      <c r="BR90" s="844"/>
      <c r="BS90" s="844"/>
      <c r="BT90" s="844"/>
      <c r="BU90" s="844"/>
      <c r="BV90" s="844"/>
      <c r="BW90" s="844"/>
      <c r="BX90" s="844"/>
      <c r="BY90" s="844"/>
      <c r="BZ90" s="844"/>
      <c r="CA90" s="844"/>
      <c r="CB90" s="844"/>
      <c r="CC90" s="823">
        <f t="shared" ref="CC90" si="382">COUNTA(BN90:CB90)</f>
        <v>0</v>
      </c>
      <c r="CD90" s="824">
        <f>CD87</f>
        <v>85.7</v>
      </c>
      <c r="CF90" s="876">
        <v>45807</v>
      </c>
      <c r="CG90" s="849" t="s">
        <v>70</v>
      </c>
      <c r="CH90" s="849"/>
      <c r="CI90" s="849"/>
      <c r="CJ90" s="849" t="s">
        <v>122</v>
      </c>
      <c r="CK90" s="849"/>
      <c r="CL90" s="849"/>
      <c r="CM90" s="844"/>
      <c r="CN90" s="844"/>
      <c r="CO90" s="844"/>
      <c r="CP90" s="844"/>
      <c r="CQ90" s="844"/>
      <c r="CR90" s="844"/>
      <c r="CS90" s="844"/>
      <c r="CT90" s="844"/>
      <c r="CU90" s="844"/>
      <c r="CV90" s="823">
        <f t="shared" ref="CV90" si="383">COUNTA(CG90:CU90)</f>
        <v>2</v>
      </c>
      <c r="CW90" s="824">
        <v>83.6</v>
      </c>
      <c r="CX90" s="118"/>
      <c r="CY90" s="870">
        <v>45838</v>
      </c>
      <c r="CZ90" s="849" t="s">
        <v>72</v>
      </c>
      <c r="DA90" s="849"/>
      <c r="DB90" s="849"/>
      <c r="DC90" s="848" t="s">
        <v>104</v>
      </c>
      <c r="DD90" s="848"/>
      <c r="DE90" s="848"/>
      <c r="DF90" s="882" t="s">
        <v>14</v>
      </c>
      <c r="DG90" s="883"/>
      <c r="DH90" s="884"/>
      <c r="DI90" s="844"/>
      <c r="DJ90" s="844"/>
      <c r="DK90" s="844"/>
      <c r="DL90" s="844"/>
      <c r="DM90" s="844"/>
      <c r="DN90" s="844"/>
      <c r="DO90" s="823">
        <f t="shared" ref="DO90" si="384">COUNTA(CZ90:DN90)</f>
        <v>3</v>
      </c>
      <c r="DP90" s="824">
        <v>82.2</v>
      </c>
      <c r="DR90" s="845">
        <v>45868</v>
      </c>
      <c r="DS90" s="859"/>
      <c r="DT90" s="859"/>
      <c r="DU90" s="859"/>
      <c r="DV90" s="859"/>
      <c r="DW90" s="859"/>
      <c r="DX90" s="859"/>
      <c r="DY90" s="844"/>
      <c r="DZ90" s="844"/>
      <c r="EA90" s="844"/>
      <c r="EB90" s="844"/>
      <c r="EC90" s="844"/>
      <c r="ED90" s="844"/>
      <c r="EE90" s="844"/>
      <c r="EF90" s="844"/>
      <c r="EG90" s="844"/>
      <c r="EH90" s="823">
        <f t="shared" ref="EH90" si="385">COUNTA(DS90:EG90)</f>
        <v>0</v>
      </c>
      <c r="EI90" s="824">
        <f>EI87</f>
        <v>80.599999999999994</v>
      </c>
      <c r="EK90" s="840">
        <v>45899</v>
      </c>
      <c r="EL90" s="859"/>
      <c r="EM90" s="859"/>
      <c r="EN90" s="859"/>
      <c r="EO90" s="859"/>
      <c r="EP90" s="859"/>
      <c r="EQ90" s="859"/>
      <c r="ER90" s="844"/>
      <c r="ES90" s="844"/>
      <c r="ET90" s="844"/>
      <c r="EU90" s="844"/>
      <c r="EV90" s="844"/>
      <c r="EW90" s="844"/>
      <c r="EX90" s="844"/>
      <c r="EY90" s="844"/>
      <c r="EZ90" s="844"/>
      <c r="FA90" s="823">
        <f t="shared" ref="FA90" si="386">COUNTA(EL90:EZ90)</f>
        <v>0</v>
      </c>
      <c r="FB90" s="824">
        <f>FB87</f>
        <v>79.2</v>
      </c>
      <c r="FD90" s="856">
        <v>45930</v>
      </c>
      <c r="FE90" s="890" t="s">
        <v>84</v>
      </c>
      <c r="FF90" s="890"/>
      <c r="FG90" s="890"/>
      <c r="FH90" s="849" t="s">
        <v>72</v>
      </c>
      <c r="FI90" s="849"/>
      <c r="FJ90" s="849"/>
      <c r="FK90" s="886" t="s">
        <v>78</v>
      </c>
      <c r="FL90" s="886"/>
      <c r="FM90" s="886"/>
      <c r="FN90" s="834"/>
      <c r="FO90" s="835"/>
      <c r="FP90" s="836"/>
      <c r="FQ90" s="843"/>
      <c r="FR90" s="843"/>
      <c r="FS90" s="843"/>
      <c r="FT90" s="823">
        <f t="shared" ref="FT90" si="387">COUNTA(FE90:FS90)</f>
        <v>3</v>
      </c>
      <c r="FU90" s="824">
        <v>79</v>
      </c>
      <c r="FW90" s="873">
        <v>45960</v>
      </c>
      <c r="FX90" s="879" t="s">
        <v>78</v>
      </c>
      <c r="FY90" s="880"/>
      <c r="FZ90" s="881"/>
      <c r="GA90" s="886" t="s">
        <v>156</v>
      </c>
      <c r="GB90" s="886"/>
      <c r="GC90" s="886"/>
      <c r="GD90" s="859"/>
      <c r="GE90" s="859"/>
      <c r="GF90" s="859"/>
      <c r="GG90" s="859"/>
      <c r="GH90" s="859"/>
      <c r="GI90" s="859"/>
      <c r="GJ90" s="844"/>
      <c r="GK90" s="844"/>
      <c r="GL90" s="844"/>
      <c r="GM90" s="844"/>
      <c r="GN90" s="844"/>
      <c r="GO90" s="844"/>
      <c r="GP90" s="823">
        <f>COUNTA(FX90:GO90)</f>
        <v>2</v>
      </c>
      <c r="GQ90" s="824">
        <v>78.099999999999994</v>
      </c>
      <c r="GR90" s="118"/>
      <c r="GS90" s="864">
        <v>45991</v>
      </c>
      <c r="GT90" s="882" t="s">
        <v>70</v>
      </c>
      <c r="GU90" s="883"/>
      <c r="GV90" s="884"/>
      <c r="GW90" s="861"/>
      <c r="GX90" s="862"/>
      <c r="GY90" s="863"/>
      <c r="GZ90" s="834"/>
      <c r="HA90" s="835"/>
      <c r="HB90" s="836"/>
      <c r="HC90" s="867"/>
      <c r="HD90" s="868"/>
      <c r="HE90" s="869"/>
      <c r="HF90" s="834"/>
      <c r="HG90" s="835"/>
      <c r="HH90" s="836"/>
      <c r="HI90" s="834"/>
      <c r="HJ90" s="835"/>
      <c r="HK90" s="836"/>
      <c r="HL90" s="823">
        <f>COUNTA(GT90:HK90)</f>
        <v>1</v>
      </c>
      <c r="HM90" s="824">
        <f>HM87</f>
        <v>76.8</v>
      </c>
      <c r="HN90" s="118"/>
      <c r="HO90" s="856">
        <v>46021</v>
      </c>
      <c r="HP90" s="859"/>
      <c r="HQ90" s="859"/>
      <c r="HR90" s="859"/>
      <c r="HS90" s="860"/>
      <c r="HT90" s="860"/>
      <c r="HU90" s="860"/>
      <c r="HV90" s="859"/>
      <c r="HW90" s="859"/>
      <c r="HX90" s="859"/>
      <c r="HY90" s="859"/>
      <c r="HZ90" s="859"/>
      <c r="IA90" s="859"/>
      <c r="IB90" s="844"/>
      <c r="IC90" s="844"/>
      <c r="ID90" s="844"/>
      <c r="IE90" s="834"/>
      <c r="IF90" s="835"/>
      <c r="IG90" s="836"/>
      <c r="IH90" s="823">
        <f>COUNTA(HP90:IG90)</f>
        <v>0</v>
      </c>
      <c r="II90" s="824">
        <f t="shared" ref="II90" si="388">II87</f>
        <v>76.900000000000006</v>
      </c>
      <c r="IK90" s="876">
        <v>46052</v>
      </c>
      <c r="IL90" s="848"/>
      <c r="IM90" s="848"/>
      <c r="IN90" s="848"/>
      <c r="IO90" s="848"/>
      <c r="IP90" s="848"/>
      <c r="IQ90" s="848"/>
      <c r="IR90" s="848"/>
      <c r="IS90" s="848"/>
      <c r="IT90" s="848"/>
      <c r="IU90" s="848"/>
      <c r="IV90" s="848"/>
      <c r="IW90" s="848"/>
      <c r="IX90" s="882"/>
      <c r="IY90" s="883"/>
      <c r="IZ90" s="884"/>
      <c r="JA90" s="882"/>
      <c r="JB90" s="883"/>
      <c r="JC90" s="884"/>
      <c r="JD90" s="232" t="s">
        <v>425</v>
      </c>
      <c r="JE90" s="823">
        <f>COUNTA(IL90:JC90)</f>
        <v>0</v>
      </c>
      <c r="JF90" s="824"/>
    </row>
    <row r="91" spans="27:269" ht="15">
      <c r="AQ91" s="230" cm="1">
        <f t="array" ref="AQ91">INDEX(AR:AR, (ROW()-ROW(AQ$91)+1)*3)</f>
        <v>94.6</v>
      </c>
      <c r="AR91" s="113" cm="1">
        <f t="array" ref="AR91">INDEX(AA:AA, (ROW()-ROW(AR$91)+1)*3)</f>
        <v>45689</v>
      </c>
      <c r="AT91" s="865"/>
      <c r="AU91" s="231" t="s">
        <v>59</v>
      </c>
      <c r="AV91" s="231" t="s">
        <v>73</v>
      </c>
      <c r="AW91" s="102" t="s">
        <v>4</v>
      </c>
      <c r="AX91" s="231" t="s">
        <v>59</v>
      </c>
      <c r="AY91" s="231" t="s">
        <v>73</v>
      </c>
      <c r="AZ91" s="102" t="s">
        <v>4</v>
      </c>
      <c r="BA91" s="231" t="s">
        <v>59</v>
      </c>
      <c r="BB91" s="231" t="s">
        <v>73</v>
      </c>
      <c r="BC91" s="102" t="s">
        <v>4</v>
      </c>
      <c r="BD91" s="231" t="s">
        <v>59</v>
      </c>
      <c r="BE91" s="231" t="s">
        <v>73</v>
      </c>
      <c r="BF91" s="102" t="s">
        <v>4</v>
      </c>
      <c r="BG91" s="107" t="s">
        <v>59</v>
      </c>
      <c r="BH91" s="107" t="s">
        <v>73</v>
      </c>
      <c r="BI91" s="108" t="s">
        <v>4</v>
      </c>
      <c r="BJ91" s="823"/>
      <c r="BK91" s="825"/>
      <c r="BL91" s="118"/>
      <c r="BM91" s="846"/>
      <c r="BN91" s="107" t="s">
        <v>59</v>
      </c>
      <c r="BO91" s="107" t="s">
        <v>73</v>
      </c>
      <c r="BP91" s="108" t="s">
        <v>4</v>
      </c>
      <c r="BQ91" s="107" t="s">
        <v>59</v>
      </c>
      <c r="BR91" s="107" t="s">
        <v>73</v>
      </c>
      <c r="BS91" s="108" t="s">
        <v>4</v>
      </c>
      <c r="BT91" s="107" t="s">
        <v>59</v>
      </c>
      <c r="BU91" s="107" t="s">
        <v>73</v>
      </c>
      <c r="BV91" s="108" t="s">
        <v>4</v>
      </c>
      <c r="BW91" s="107" t="s">
        <v>59</v>
      </c>
      <c r="BX91" s="107" t="s">
        <v>73</v>
      </c>
      <c r="BY91" s="108" t="s">
        <v>4</v>
      </c>
      <c r="BZ91" s="107" t="s">
        <v>59</v>
      </c>
      <c r="CA91" s="107" t="s">
        <v>73</v>
      </c>
      <c r="CB91" s="108" t="s">
        <v>4</v>
      </c>
      <c r="CC91" s="823"/>
      <c r="CD91" s="825"/>
      <c r="CF91" s="877"/>
      <c r="CG91" s="231" t="s">
        <v>59</v>
      </c>
      <c r="CH91" s="231" t="s">
        <v>73</v>
      </c>
      <c r="CI91" s="102" t="s">
        <v>4</v>
      </c>
      <c r="CJ91" s="231" t="s">
        <v>59</v>
      </c>
      <c r="CK91" s="231" t="s">
        <v>73</v>
      </c>
      <c r="CL91" s="102" t="s">
        <v>4</v>
      </c>
      <c r="CM91" s="107" t="s">
        <v>59</v>
      </c>
      <c r="CN91" s="107" t="s">
        <v>73</v>
      </c>
      <c r="CO91" s="108" t="s">
        <v>4</v>
      </c>
      <c r="CP91" s="107" t="s">
        <v>59</v>
      </c>
      <c r="CQ91" s="107" t="s">
        <v>73</v>
      </c>
      <c r="CR91" s="108" t="s">
        <v>4</v>
      </c>
      <c r="CS91" s="107" t="s">
        <v>59</v>
      </c>
      <c r="CT91" s="107" t="s">
        <v>73</v>
      </c>
      <c r="CU91" s="108" t="s">
        <v>4</v>
      </c>
      <c r="CV91" s="823"/>
      <c r="CW91" s="825"/>
      <c r="CX91" s="118"/>
      <c r="CY91" s="871"/>
      <c r="CZ91" s="231" t="s">
        <v>59</v>
      </c>
      <c r="DA91" s="231" t="s">
        <v>73</v>
      </c>
      <c r="DB91" s="102" t="s">
        <v>4</v>
      </c>
      <c r="DC91" s="231" t="s">
        <v>59</v>
      </c>
      <c r="DD91" s="231" t="s">
        <v>73</v>
      </c>
      <c r="DE91" s="102" t="s">
        <v>4</v>
      </c>
      <c r="DF91" s="231" t="s">
        <v>59</v>
      </c>
      <c r="DG91" s="231" t="s">
        <v>73</v>
      </c>
      <c r="DH91" s="102" t="s">
        <v>4</v>
      </c>
      <c r="DI91" s="107" t="s">
        <v>59</v>
      </c>
      <c r="DJ91" s="107" t="s">
        <v>73</v>
      </c>
      <c r="DK91" s="108" t="s">
        <v>4</v>
      </c>
      <c r="DL91" s="107" t="s">
        <v>59</v>
      </c>
      <c r="DM91" s="107" t="s">
        <v>73</v>
      </c>
      <c r="DN91" s="108" t="s">
        <v>4</v>
      </c>
      <c r="DO91" s="823"/>
      <c r="DP91" s="825"/>
      <c r="DR91" s="846"/>
      <c r="DS91" s="107" t="s">
        <v>59</v>
      </c>
      <c r="DT91" s="107" t="s">
        <v>73</v>
      </c>
      <c r="DU91" s="108" t="s">
        <v>4</v>
      </c>
      <c r="DV91" s="107" t="s">
        <v>59</v>
      </c>
      <c r="DW91" s="107" t="s">
        <v>73</v>
      </c>
      <c r="DX91" s="108" t="s">
        <v>4</v>
      </c>
      <c r="DY91" s="107" t="s">
        <v>59</v>
      </c>
      <c r="DZ91" s="107" t="s">
        <v>73</v>
      </c>
      <c r="EA91" s="108" t="s">
        <v>4</v>
      </c>
      <c r="EB91" s="107" t="s">
        <v>59</v>
      </c>
      <c r="EC91" s="107" t="s">
        <v>73</v>
      </c>
      <c r="ED91" s="108" t="s">
        <v>4</v>
      </c>
      <c r="EE91" s="107" t="s">
        <v>59</v>
      </c>
      <c r="EF91" s="107" t="s">
        <v>73</v>
      </c>
      <c r="EG91" s="108" t="s">
        <v>4</v>
      </c>
      <c r="EH91" s="823"/>
      <c r="EI91" s="825"/>
      <c r="EK91" s="841"/>
      <c r="EL91" s="107" t="s">
        <v>59</v>
      </c>
      <c r="EM91" s="107" t="s">
        <v>73</v>
      </c>
      <c r="EN91" s="108" t="s">
        <v>4</v>
      </c>
      <c r="EO91" s="107" t="s">
        <v>59</v>
      </c>
      <c r="EP91" s="107" t="s">
        <v>73</v>
      </c>
      <c r="EQ91" s="108" t="s">
        <v>4</v>
      </c>
      <c r="ER91" s="107" t="s">
        <v>59</v>
      </c>
      <c r="ES91" s="107" t="s">
        <v>73</v>
      </c>
      <c r="ET91" s="108" t="s">
        <v>4</v>
      </c>
      <c r="EU91" s="107" t="s">
        <v>59</v>
      </c>
      <c r="EV91" s="107" t="s">
        <v>73</v>
      </c>
      <c r="EW91" s="108" t="s">
        <v>4</v>
      </c>
      <c r="EX91" s="107" t="s">
        <v>59</v>
      </c>
      <c r="EY91" s="107" t="s">
        <v>73</v>
      </c>
      <c r="EZ91" s="108" t="s">
        <v>4</v>
      </c>
      <c r="FA91" s="823"/>
      <c r="FB91" s="825"/>
      <c r="FD91" s="857"/>
      <c r="FE91" s="231" t="s">
        <v>59</v>
      </c>
      <c r="FF91" s="231" t="s">
        <v>73</v>
      </c>
      <c r="FG91" s="102" t="s">
        <v>4</v>
      </c>
      <c r="FH91" s="231" t="s">
        <v>59</v>
      </c>
      <c r="FI91" s="231" t="s">
        <v>73</v>
      </c>
      <c r="FJ91" s="102" t="s">
        <v>4</v>
      </c>
      <c r="FK91" s="231" t="s">
        <v>59</v>
      </c>
      <c r="FL91" s="231" t="s">
        <v>73</v>
      </c>
      <c r="FM91" s="102" t="s">
        <v>4</v>
      </c>
      <c r="FN91" s="107" t="s">
        <v>59</v>
      </c>
      <c r="FO91" s="107" t="s">
        <v>73</v>
      </c>
      <c r="FP91" s="108" t="s">
        <v>4</v>
      </c>
      <c r="FQ91" s="107" t="s">
        <v>59</v>
      </c>
      <c r="FR91" s="107" t="s">
        <v>73</v>
      </c>
      <c r="FS91" s="108" t="s">
        <v>4</v>
      </c>
      <c r="FT91" s="823"/>
      <c r="FU91" s="825"/>
      <c r="FW91" s="874"/>
      <c r="FX91" s="231" t="s">
        <v>59</v>
      </c>
      <c r="FY91" s="231" t="s">
        <v>73</v>
      </c>
      <c r="FZ91" s="102" t="s">
        <v>4</v>
      </c>
      <c r="GA91" s="231" t="s">
        <v>59</v>
      </c>
      <c r="GB91" s="231" t="s">
        <v>73</v>
      </c>
      <c r="GC91" s="102" t="s">
        <v>4</v>
      </c>
      <c r="GD91" s="107" t="s">
        <v>59</v>
      </c>
      <c r="GE91" s="107" t="s">
        <v>73</v>
      </c>
      <c r="GF91" s="108" t="s">
        <v>4</v>
      </c>
      <c r="GG91" s="107" t="s">
        <v>59</v>
      </c>
      <c r="GH91" s="107" t="s">
        <v>73</v>
      </c>
      <c r="GI91" s="108" t="s">
        <v>4</v>
      </c>
      <c r="GJ91" s="107" t="s">
        <v>59</v>
      </c>
      <c r="GK91" s="107" t="s">
        <v>73</v>
      </c>
      <c r="GL91" s="108" t="s">
        <v>4</v>
      </c>
      <c r="GM91" s="107" t="s">
        <v>59</v>
      </c>
      <c r="GN91" s="107" t="s">
        <v>73</v>
      </c>
      <c r="GO91" s="108" t="s">
        <v>4</v>
      </c>
      <c r="GP91" s="823"/>
      <c r="GQ91" s="825"/>
      <c r="GR91" s="118"/>
      <c r="GS91" s="865"/>
      <c r="GT91" s="231" t="s">
        <v>59</v>
      </c>
      <c r="GU91" s="231" t="s">
        <v>73</v>
      </c>
      <c r="GV91" s="102" t="s">
        <v>4</v>
      </c>
      <c r="GW91" s="107" t="s">
        <v>59</v>
      </c>
      <c r="GX91" s="107" t="s">
        <v>73</v>
      </c>
      <c r="GY91" s="108" t="s">
        <v>4</v>
      </c>
      <c r="GZ91" s="107" t="s">
        <v>59</v>
      </c>
      <c r="HA91" s="107" t="s">
        <v>73</v>
      </c>
      <c r="HB91" s="108" t="s">
        <v>4</v>
      </c>
      <c r="HC91" s="107" t="s">
        <v>59</v>
      </c>
      <c r="HD91" s="107" t="s">
        <v>73</v>
      </c>
      <c r="HE91" s="108" t="s">
        <v>4</v>
      </c>
      <c r="HF91" s="107" t="s">
        <v>59</v>
      </c>
      <c r="HG91" s="107" t="s">
        <v>73</v>
      </c>
      <c r="HH91" s="108" t="s">
        <v>4</v>
      </c>
      <c r="HI91" s="107" t="s">
        <v>59</v>
      </c>
      <c r="HJ91" s="107" t="s">
        <v>73</v>
      </c>
      <c r="HK91" s="108" t="s">
        <v>4</v>
      </c>
      <c r="HL91" s="823"/>
      <c r="HM91" s="825"/>
      <c r="HN91" s="118"/>
      <c r="HO91" s="857"/>
      <c r="HP91" s="107" t="s">
        <v>59</v>
      </c>
      <c r="HQ91" s="107" t="s">
        <v>73</v>
      </c>
      <c r="HR91" s="108" t="s">
        <v>4</v>
      </c>
      <c r="HS91" s="107" t="s">
        <v>59</v>
      </c>
      <c r="HT91" s="107" t="s">
        <v>73</v>
      </c>
      <c r="HU91" s="108" t="s">
        <v>4</v>
      </c>
      <c r="HV91" s="107" t="s">
        <v>59</v>
      </c>
      <c r="HW91" s="107" t="s">
        <v>73</v>
      </c>
      <c r="HX91" s="108" t="s">
        <v>4</v>
      </c>
      <c r="HY91" s="107" t="s">
        <v>59</v>
      </c>
      <c r="HZ91" s="107" t="s">
        <v>73</v>
      </c>
      <c r="IA91" s="108" t="s">
        <v>4</v>
      </c>
      <c r="IB91" s="107" t="s">
        <v>59</v>
      </c>
      <c r="IC91" s="107" t="s">
        <v>73</v>
      </c>
      <c r="ID91" s="108" t="s">
        <v>4</v>
      </c>
      <c r="IE91" s="107" t="s">
        <v>59</v>
      </c>
      <c r="IF91" s="107" t="s">
        <v>73</v>
      </c>
      <c r="IG91" s="108" t="s">
        <v>4</v>
      </c>
      <c r="IH91" s="823"/>
      <c r="II91" s="825"/>
      <c r="IK91" s="877"/>
      <c r="IL91" s="231" t="s">
        <v>59</v>
      </c>
      <c r="IM91" s="231" t="s">
        <v>73</v>
      </c>
      <c r="IN91" s="102" t="s">
        <v>4</v>
      </c>
      <c r="IO91" s="231" t="s">
        <v>59</v>
      </c>
      <c r="IP91" s="231" t="s">
        <v>73</v>
      </c>
      <c r="IQ91" s="102" t="s">
        <v>4</v>
      </c>
      <c r="IR91" s="231" t="s">
        <v>59</v>
      </c>
      <c r="IS91" s="231" t="s">
        <v>73</v>
      </c>
      <c r="IT91" s="102" t="s">
        <v>4</v>
      </c>
      <c r="IU91" s="231" t="s">
        <v>59</v>
      </c>
      <c r="IV91" s="231" t="s">
        <v>73</v>
      </c>
      <c r="IW91" s="102" t="s">
        <v>4</v>
      </c>
      <c r="IX91" s="231" t="s">
        <v>59</v>
      </c>
      <c r="IY91" s="231" t="s">
        <v>73</v>
      </c>
      <c r="IZ91" s="102" t="s">
        <v>4</v>
      </c>
      <c r="JA91" s="231" t="s">
        <v>59</v>
      </c>
      <c r="JB91" s="231" t="s">
        <v>73</v>
      </c>
      <c r="JC91" s="102" t="s">
        <v>4</v>
      </c>
      <c r="JD91" s="948"/>
      <c r="JE91" s="823"/>
      <c r="JF91" s="825"/>
    </row>
    <row r="92" spans="27:269" ht="15">
      <c r="AQ92" s="230" cm="1">
        <f t="array" ref="AQ92">INDEX(AR:AR, (ROW()-ROW(AQ$91)+1)*3)</f>
        <v>94.6</v>
      </c>
      <c r="AR92" s="113" cm="1">
        <f t="array" ref="AR92">INDEX(AA:AA, (ROW()-ROW(AR$91)+1)*3)</f>
        <v>45690</v>
      </c>
      <c r="AT92" s="866"/>
      <c r="AU92" s="229">
        <v>4</v>
      </c>
      <c r="AV92" s="229">
        <v>10</v>
      </c>
      <c r="AW92" s="229">
        <v>22.5</v>
      </c>
      <c r="AX92" s="229">
        <v>4</v>
      </c>
      <c r="AY92" s="229">
        <v>10</v>
      </c>
      <c r="AZ92" s="229">
        <v>12.5</v>
      </c>
      <c r="BA92" s="229">
        <v>4</v>
      </c>
      <c r="BB92" s="229">
        <v>8</v>
      </c>
      <c r="BC92" s="229">
        <v>31.8</v>
      </c>
      <c r="BD92" s="229">
        <v>4</v>
      </c>
      <c r="BE92" s="229">
        <v>8</v>
      </c>
      <c r="BF92" s="229">
        <v>20</v>
      </c>
      <c r="BG92" s="233"/>
      <c r="BH92" s="233"/>
      <c r="BI92" s="233"/>
      <c r="BJ92" s="229">
        <f t="shared" ref="BJ92" si="389">(AU92*AV92*AW92)+(AX92*AY92*AZ92)+(BA92*BB92*BC92)+(BD92*BE92*BF92)+(BG92*BH92*BI92)</f>
        <v>3057.6</v>
      </c>
      <c r="BK92" s="826"/>
      <c r="BL92" s="118"/>
      <c r="BM92" s="847"/>
      <c r="BN92" s="233"/>
      <c r="BO92" s="233"/>
      <c r="BP92" s="233"/>
      <c r="BQ92" s="233"/>
      <c r="BR92" s="233"/>
      <c r="BS92" s="233"/>
      <c r="BT92" s="233"/>
      <c r="BU92" s="233"/>
      <c r="BV92" s="233"/>
      <c r="BW92" s="233"/>
      <c r="BX92" s="233"/>
      <c r="BY92" s="233"/>
      <c r="BZ92" s="233"/>
      <c r="CA92" s="233"/>
      <c r="CB92" s="233"/>
      <c r="CC92" s="229">
        <f t="shared" ref="CC92" si="390">(BN92*BO92*BP92)+(BQ92*BR92*BS92)+(BT92*BU92*BV92)+(BW92*BX92*BY92)+(BZ92*CA92*CB92)</f>
        <v>0</v>
      </c>
      <c r="CD92" s="826"/>
      <c r="CF92" s="878"/>
      <c r="CG92" s="229">
        <v>1</v>
      </c>
      <c r="CH92" s="229">
        <v>40</v>
      </c>
      <c r="CI92" s="229">
        <f>$CW90</f>
        <v>83.6</v>
      </c>
      <c r="CJ92" s="229">
        <v>1</v>
      </c>
      <c r="CK92" s="229">
        <v>60</v>
      </c>
      <c r="CL92" s="229">
        <f>$CW90</f>
        <v>83.6</v>
      </c>
      <c r="CM92" s="233"/>
      <c r="CN92" s="233"/>
      <c r="CO92" s="233"/>
      <c r="CP92" s="233"/>
      <c r="CQ92" s="233"/>
      <c r="CR92" s="233"/>
      <c r="CS92" s="233"/>
      <c r="CT92" s="233"/>
      <c r="CU92" s="233"/>
      <c r="CV92" s="229">
        <f t="shared" ref="CV92" si="391">(CG92*CH92*CI92)+(CJ92*CK92*CL92)+(CM92*CN92*CO92)+(CP92*CQ92*CR92)+(CS92*CT92*CU92)</f>
        <v>8360</v>
      </c>
      <c r="CW92" s="826"/>
      <c r="CX92" s="118"/>
      <c r="CY92" s="872"/>
      <c r="CZ92" s="229">
        <v>3</v>
      </c>
      <c r="DA92" s="229">
        <v>10</v>
      </c>
      <c r="DB92" s="229">
        <v>50</v>
      </c>
      <c r="DC92" s="229">
        <v>3</v>
      </c>
      <c r="DD92" s="126">
        <f>((12*1)+(8*2))/4</f>
        <v>7</v>
      </c>
      <c r="DE92" s="126">
        <f>((10*1)+(12.5*2))/4</f>
        <v>8.75</v>
      </c>
      <c r="DF92" s="229">
        <v>3</v>
      </c>
      <c r="DG92" s="126">
        <v>12</v>
      </c>
      <c r="DH92" s="229">
        <v>12.5</v>
      </c>
      <c r="DI92" s="233"/>
      <c r="DJ92" s="233"/>
      <c r="DK92" s="233"/>
      <c r="DL92" s="233"/>
      <c r="DM92" s="233"/>
      <c r="DN92" s="233"/>
      <c r="DO92" s="229">
        <f t="shared" ref="DO92" si="392">(CZ92*DA92*DB92)+(DC92*DD92*DE92)+(DF92*DG92*DH92)+(DI92*DJ92*DK92)+(DL92*DM92*DN92)</f>
        <v>2133.75</v>
      </c>
      <c r="DP92" s="826"/>
      <c r="DR92" s="847"/>
      <c r="DS92" s="233"/>
      <c r="DT92" s="233"/>
      <c r="DU92" s="233"/>
      <c r="DV92" s="233"/>
      <c r="DW92" s="233"/>
      <c r="DX92" s="233"/>
      <c r="DY92" s="233"/>
      <c r="DZ92" s="233"/>
      <c r="EA92" s="233"/>
      <c r="EB92" s="233"/>
      <c r="EC92" s="233"/>
      <c r="ED92" s="233"/>
      <c r="EE92" s="233"/>
      <c r="EF92" s="233"/>
      <c r="EG92" s="233"/>
      <c r="EH92" s="229">
        <f t="shared" ref="EH92" si="393">(DS92*DT92*DU92)+(DV92*DW92*DX92)+(DY92*DZ92*EA92)+(EB92*EC92*ED92)+(EE92*EF92*EG92)</f>
        <v>0</v>
      </c>
      <c r="EI92" s="826"/>
      <c r="EK92" s="842"/>
      <c r="EL92" s="233"/>
      <c r="EM92" s="233"/>
      <c r="EN92" s="233"/>
      <c r="EO92" s="233"/>
      <c r="EP92" s="233"/>
      <c r="EQ92" s="233"/>
      <c r="ER92" s="233"/>
      <c r="ES92" s="233"/>
      <c r="ET92" s="233"/>
      <c r="EU92" s="233"/>
      <c r="EV92" s="233"/>
      <c r="EW92" s="233"/>
      <c r="EX92" s="233"/>
      <c r="EY92" s="233"/>
      <c r="EZ92" s="233"/>
      <c r="FA92" s="229">
        <f t="shared" ref="FA92" si="394">(EL92*EM92*EN92)+(EO92*EP92*EQ92)+(ER92*ES92*ET92)+(EU92*EV92*EW92)+(EX92*EY92*EZ92)</f>
        <v>0</v>
      </c>
      <c r="FB92" s="826"/>
      <c r="FD92" s="858"/>
      <c r="FE92" s="229">
        <v>3</v>
      </c>
      <c r="FF92" s="229">
        <v>8</v>
      </c>
      <c r="FG92" s="229">
        <v>15</v>
      </c>
      <c r="FH92" s="229">
        <v>3</v>
      </c>
      <c r="FI92" s="229">
        <v>8</v>
      </c>
      <c r="FJ92" s="229">
        <v>54</v>
      </c>
      <c r="FK92" s="229">
        <v>2</v>
      </c>
      <c r="FL92" s="229">
        <v>8</v>
      </c>
      <c r="FM92" s="229">
        <v>15</v>
      </c>
      <c r="FN92" s="233"/>
      <c r="FO92" s="233"/>
      <c r="FP92" s="233"/>
      <c r="FQ92" s="233"/>
      <c r="FR92" s="233"/>
      <c r="FS92" s="233"/>
      <c r="FT92" s="229">
        <f t="shared" ref="FT92" si="395">(FE92*FF92*FG92)+(FH92*FI92*FJ92)+(FK92*FL92*FM92)+(FN92*FO92*FP92)+(FQ92*FR92*FS92)</f>
        <v>1896</v>
      </c>
      <c r="FU92" s="826"/>
      <c r="FW92" s="875"/>
      <c r="FX92" s="229">
        <v>2</v>
      </c>
      <c r="FY92" s="229">
        <v>12</v>
      </c>
      <c r="FZ92" s="229">
        <v>17.5</v>
      </c>
      <c r="GA92" s="229">
        <v>3</v>
      </c>
      <c r="GB92" s="229">
        <f>((10*1)+(12*2))/3</f>
        <v>11.333333333333334</v>
      </c>
      <c r="GC92" s="229">
        <f>((3.5*1)+(8.5*1)+(9.75*1))/3</f>
        <v>7.25</v>
      </c>
      <c r="GD92" s="233"/>
      <c r="GE92" s="233"/>
      <c r="GF92" s="233"/>
      <c r="GG92" s="233"/>
      <c r="GH92" s="233"/>
      <c r="GI92" s="233"/>
      <c r="GJ92" s="233"/>
      <c r="GK92" s="233"/>
      <c r="GL92" s="233"/>
      <c r="GM92" s="233"/>
      <c r="GN92" s="233"/>
      <c r="GO92" s="233"/>
      <c r="GP92" s="229">
        <f>(FX92*FY92*FZ92)+(GA92*GB92*GC92)+(GD92*GE92*GF92)+(GG92*GH92*GI92)+(GJ92*GK92*GL92)+(GM92*GN92*GO92)</f>
        <v>666.5</v>
      </c>
      <c r="GQ92" s="826"/>
      <c r="GR92" s="118"/>
      <c r="GS92" s="866"/>
      <c r="GT92" s="229">
        <v>1</v>
      </c>
      <c r="GU92" s="229">
        <v>30</v>
      </c>
      <c r="GV92" s="229">
        <f>HM90</f>
        <v>76.8</v>
      </c>
      <c r="GW92" s="233"/>
      <c r="GX92" s="233"/>
      <c r="GY92" s="233"/>
      <c r="GZ92" s="233"/>
      <c r="HA92" s="233"/>
      <c r="HB92" s="233"/>
      <c r="HC92" s="233"/>
      <c r="HD92" s="233"/>
      <c r="HE92" s="233"/>
      <c r="HF92" s="233"/>
      <c r="HG92" s="233"/>
      <c r="HH92" s="233"/>
      <c r="HI92" s="233"/>
      <c r="HJ92" s="233"/>
      <c r="HK92" s="233"/>
      <c r="HL92" s="229">
        <f>(GT92*GU92*GV92)+(GW92*GX92*GY92)+(GZ92*HA92*HB92)+(HC92*HD92*HE92)+(HF92*HG92*HH92)+(HI92*HJ92*HK92)</f>
        <v>2304</v>
      </c>
      <c r="HM92" s="826"/>
      <c r="HN92" s="118"/>
      <c r="HO92" s="858"/>
      <c r="HP92" s="233"/>
      <c r="HQ92" s="233"/>
      <c r="HR92" s="233"/>
      <c r="HS92" s="233"/>
      <c r="HT92" s="233"/>
      <c r="HU92" s="233"/>
      <c r="HV92" s="233"/>
      <c r="HW92" s="233"/>
      <c r="HX92" s="233"/>
      <c r="HY92" s="233"/>
      <c r="HZ92" s="233"/>
      <c r="IA92" s="233"/>
      <c r="IB92" s="233"/>
      <c r="IC92" s="233"/>
      <c r="ID92" s="233"/>
      <c r="IE92" s="233"/>
      <c r="IF92" s="233"/>
      <c r="IG92" s="233"/>
      <c r="IH92" s="229">
        <f>(HP92*HQ92*HR92)+(HS92*HT92*HU92)+(HV92*HW92*HX92)+(HY92*HZ92*IA92)+(IB92*IC92*ID92)+(IE92*IF92*IG92)</f>
        <v>0</v>
      </c>
      <c r="II92" s="826"/>
      <c r="IK92" s="878"/>
      <c r="IL92" s="229"/>
      <c r="IM92" s="229"/>
      <c r="IN92" s="229"/>
      <c r="IO92" s="229"/>
      <c r="IP92" s="229"/>
      <c r="IQ92" s="229"/>
      <c r="IR92" s="229"/>
      <c r="IS92" s="229"/>
      <c r="IT92" s="229"/>
      <c r="IU92" s="229"/>
      <c r="IV92" s="229"/>
      <c r="IW92" s="229"/>
      <c r="IX92" s="229"/>
      <c r="IY92" s="229"/>
      <c r="IZ92" s="229"/>
      <c r="JA92" s="229"/>
      <c r="JB92" s="229"/>
      <c r="JC92" s="229"/>
      <c r="JD92" s="949"/>
      <c r="JE92" s="229">
        <f>(IL92*IM92*IN92)+(IO92*IP92*IQ92)+(IR92*IS92*IT92)+(IU92*IV92*IW92)+(IX92*IY92*IZ92)+(JA92*JB92*JC92)</f>
        <v>0</v>
      </c>
      <c r="JF92" s="826"/>
    </row>
    <row r="93" spans="27:269" ht="15">
      <c r="AQ93" s="230" cm="1">
        <f t="array" ref="AQ93">INDEX(AR:AR, (ROW()-ROW(AQ$91)+1)*3)</f>
        <v>94.2</v>
      </c>
      <c r="AR93" s="113" cm="1">
        <f t="array" ref="AR93">INDEX(AA:AA, (ROW()-ROW(AR$91)+1)*3)</f>
        <v>45691</v>
      </c>
      <c r="AT93" s="870">
        <v>45747</v>
      </c>
      <c r="AU93" s="849" t="s">
        <v>72</v>
      </c>
      <c r="AV93" s="849"/>
      <c r="AW93" s="849"/>
      <c r="AX93" s="848" t="s">
        <v>128</v>
      </c>
      <c r="AY93" s="848"/>
      <c r="AZ93" s="848"/>
      <c r="BA93" s="882" t="s">
        <v>101</v>
      </c>
      <c r="BB93" s="883"/>
      <c r="BC93" s="884"/>
      <c r="BD93" s="879" t="s">
        <v>157</v>
      </c>
      <c r="BE93" s="880"/>
      <c r="BF93" s="881"/>
      <c r="BG93" s="848" t="s">
        <v>129</v>
      </c>
      <c r="BH93" s="848"/>
      <c r="BI93" s="848"/>
      <c r="BJ93" s="823">
        <f t="shared" ref="BJ93" si="396">COUNTA(AU93:BI93)</f>
        <v>5</v>
      </c>
      <c r="BK93" s="824">
        <v>87.9</v>
      </c>
      <c r="BL93" s="118"/>
      <c r="BM93" s="902"/>
      <c r="BN93" s="859"/>
      <c r="BO93" s="859"/>
      <c r="BP93" s="859"/>
      <c r="BQ93" s="844"/>
      <c r="BR93" s="844"/>
      <c r="BS93" s="844"/>
      <c r="BT93" s="834"/>
      <c r="BU93" s="835"/>
      <c r="BV93" s="836"/>
      <c r="BW93" s="867"/>
      <c r="BX93" s="868"/>
      <c r="BY93" s="869"/>
      <c r="BZ93" s="844"/>
      <c r="CA93" s="844"/>
      <c r="CB93" s="844"/>
      <c r="CC93" s="906">
        <f t="shared" ref="CC93" si="397">COUNTA(BN93:CB93)</f>
        <v>0</v>
      </c>
      <c r="CD93" s="907"/>
      <c r="CF93" s="840">
        <v>45808</v>
      </c>
      <c r="CG93" s="859"/>
      <c r="CH93" s="859"/>
      <c r="CI93" s="859"/>
      <c r="CJ93" s="859"/>
      <c r="CK93" s="859"/>
      <c r="CL93" s="859"/>
      <c r="CM93" s="844"/>
      <c r="CN93" s="844"/>
      <c r="CO93" s="844"/>
      <c r="CP93" s="844"/>
      <c r="CQ93" s="844"/>
      <c r="CR93" s="844"/>
      <c r="CS93" s="844"/>
      <c r="CT93" s="844"/>
      <c r="CU93" s="844"/>
      <c r="CV93" s="823">
        <f t="shared" ref="CV93" si="398">COUNTA(CG93:CU93)</f>
        <v>0</v>
      </c>
      <c r="CW93" s="824">
        <f>CW90</f>
        <v>83.6</v>
      </c>
      <c r="CX93" s="118"/>
      <c r="CY93" s="902"/>
      <c r="CZ93" s="859"/>
      <c r="DA93" s="859"/>
      <c r="DB93" s="859"/>
      <c r="DC93" s="859"/>
      <c r="DD93" s="859"/>
      <c r="DE93" s="859"/>
      <c r="DF93" s="844"/>
      <c r="DG93" s="844"/>
      <c r="DH93" s="844"/>
      <c r="DI93" s="844"/>
      <c r="DJ93" s="844"/>
      <c r="DK93" s="844"/>
      <c r="DL93" s="844"/>
      <c r="DM93" s="844"/>
      <c r="DN93" s="844"/>
      <c r="DO93" s="823">
        <f t="shared" ref="DO93" si="399">COUNTA(CZ93:DN93)</f>
        <v>0</v>
      </c>
      <c r="DP93" s="824"/>
      <c r="DR93" s="873">
        <v>45869</v>
      </c>
      <c r="DS93" s="848" t="s">
        <v>102</v>
      </c>
      <c r="DT93" s="848"/>
      <c r="DU93" s="848"/>
      <c r="DV93" s="886" t="s">
        <v>80</v>
      </c>
      <c r="DW93" s="886"/>
      <c r="DX93" s="886"/>
      <c r="DY93" s="860"/>
      <c r="DZ93" s="860"/>
      <c r="EA93" s="860"/>
      <c r="EB93" s="859"/>
      <c r="EC93" s="859"/>
      <c r="ED93" s="859"/>
      <c r="EE93" s="844"/>
      <c r="EF93" s="844"/>
      <c r="EG93" s="844"/>
      <c r="EH93" s="823">
        <f t="shared" ref="EH93" si="400">COUNTA(DS93:EG93)</f>
        <v>2</v>
      </c>
      <c r="EI93" s="824">
        <v>80.3</v>
      </c>
      <c r="EK93" s="864">
        <v>45900</v>
      </c>
      <c r="EL93" s="849" t="s">
        <v>89</v>
      </c>
      <c r="EM93" s="849"/>
      <c r="EN93" s="849"/>
      <c r="EO93" s="849" t="s">
        <v>113</v>
      </c>
      <c r="EP93" s="849"/>
      <c r="EQ93" s="849"/>
      <c r="ER93" s="890" t="s">
        <v>93</v>
      </c>
      <c r="ES93" s="890"/>
      <c r="ET93" s="890"/>
      <c r="EU93" s="882" t="s">
        <v>85</v>
      </c>
      <c r="EV93" s="883"/>
      <c r="EW93" s="884"/>
      <c r="EX93" s="848" t="s">
        <v>103</v>
      </c>
      <c r="EY93" s="848"/>
      <c r="EZ93" s="848"/>
      <c r="FA93" s="823">
        <f t="shared" ref="FA93" si="401">COUNTA(EL93:EZ93)</f>
        <v>5</v>
      </c>
      <c r="FB93" s="824">
        <v>79.599999999999994</v>
      </c>
      <c r="FD93" s="902"/>
      <c r="FE93" s="859"/>
      <c r="FF93" s="859"/>
      <c r="FG93" s="859"/>
      <c r="FH93" s="859"/>
      <c r="FI93" s="859"/>
      <c r="FJ93" s="859"/>
      <c r="FK93" s="844"/>
      <c r="FL93" s="844"/>
      <c r="FM93" s="844"/>
      <c r="FN93" s="844"/>
      <c r="FO93" s="844"/>
      <c r="FP93" s="844"/>
      <c r="FQ93" s="844"/>
      <c r="FR93" s="844"/>
      <c r="FS93" s="844"/>
      <c r="FT93" s="823">
        <f t="shared" ref="FT93" si="402">COUNTA(FE93:FS93)</f>
        <v>0</v>
      </c>
      <c r="FU93" s="824"/>
      <c r="FW93" s="876">
        <v>45961</v>
      </c>
      <c r="FX93" s="849" t="s">
        <v>89</v>
      </c>
      <c r="FY93" s="849"/>
      <c r="FZ93" s="849"/>
      <c r="GA93" s="849" t="s">
        <v>115</v>
      </c>
      <c r="GB93" s="849"/>
      <c r="GC93" s="849"/>
      <c r="GD93" s="890" t="s">
        <v>131</v>
      </c>
      <c r="GE93" s="890"/>
      <c r="GF93" s="890"/>
      <c r="GG93" s="843"/>
      <c r="GH93" s="843"/>
      <c r="GI93" s="843"/>
      <c r="GJ93" s="867"/>
      <c r="GK93" s="868"/>
      <c r="GL93" s="869"/>
      <c r="GM93" s="844"/>
      <c r="GN93" s="844"/>
      <c r="GO93" s="844"/>
      <c r="GP93" s="823">
        <f>COUNTA(FX93:GO93)</f>
        <v>3</v>
      </c>
      <c r="GQ93" s="824">
        <v>78.099999999999994</v>
      </c>
      <c r="GR93" s="118"/>
      <c r="GS93" s="894"/>
      <c r="GT93" s="844"/>
      <c r="GU93" s="844"/>
      <c r="GV93" s="844"/>
      <c r="GW93" s="859"/>
      <c r="GX93" s="859"/>
      <c r="GY93" s="859"/>
      <c r="GZ93" s="834"/>
      <c r="HA93" s="835"/>
      <c r="HB93" s="836"/>
      <c r="HC93" s="867"/>
      <c r="HD93" s="868"/>
      <c r="HE93" s="869"/>
      <c r="HF93" s="834"/>
      <c r="HG93" s="835"/>
      <c r="HH93" s="836"/>
      <c r="HI93" s="834"/>
      <c r="HJ93" s="835"/>
      <c r="HK93" s="836"/>
      <c r="HL93" s="823">
        <f>COUNTA(GT93:HK93)</f>
        <v>0</v>
      </c>
      <c r="HM93" s="824"/>
      <c r="HN93" s="118"/>
      <c r="HO93" s="845">
        <v>46022</v>
      </c>
      <c r="HP93" s="861"/>
      <c r="HQ93" s="862"/>
      <c r="HR93" s="863"/>
      <c r="HS93" s="861"/>
      <c r="HT93" s="862"/>
      <c r="HU93" s="863"/>
      <c r="HV93" s="834"/>
      <c r="HW93" s="835"/>
      <c r="HX93" s="836"/>
      <c r="HY93" s="834"/>
      <c r="HZ93" s="835"/>
      <c r="IA93" s="836"/>
      <c r="IB93" s="834"/>
      <c r="IC93" s="835"/>
      <c r="ID93" s="836"/>
      <c r="IE93" s="834"/>
      <c r="IF93" s="835"/>
      <c r="IG93" s="836"/>
      <c r="IH93" s="823">
        <f>COUNTA(HP93:IG93)</f>
        <v>0</v>
      </c>
      <c r="II93" s="824">
        <f t="shared" ref="II93" si="403">II90</f>
        <v>76.900000000000006</v>
      </c>
      <c r="IK93" s="840">
        <v>46053</v>
      </c>
      <c r="IL93" s="848"/>
      <c r="IM93" s="848"/>
      <c r="IN93" s="848"/>
      <c r="IO93" s="848"/>
      <c r="IP93" s="848"/>
      <c r="IQ93" s="848"/>
      <c r="IR93" s="848"/>
      <c r="IS93" s="848"/>
      <c r="IT93" s="848"/>
      <c r="IU93" s="848"/>
      <c r="IV93" s="848"/>
      <c r="IW93" s="848"/>
      <c r="IX93" s="882"/>
      <c r="IY93" s="883"/>
      <c r="IZ93" s="884"/>
      <c r="JA93" s="882"/>
      <c r="JB93" s="883"/>
      <c r="JC93" s="884"/>
      <c r="JD93" s="232" t="s">
        <v>425</v>
      </c>
      <c r="JE93" s="823">
        <f>COUNTA(IL93:JC93)</f>
        <v>0</v>
      </c>
      <c r="JF93" s="824"/>
    </row>
    <row r="94" spans="27:269" ht="15">
      <c r="AQ94" s="230" cm="1">
        <f t="array" ref="AQ94">INDEX(AR:AR, (ROW()-ROW(AQ$91)+1)*3)</f>
        <v>94.2</v>
      </c>
      <c r="AR94" s="113" cm="1">
        <f t="array" ref="AR94">INDEX(AA:AA, (ROW()-ROW(AR$91)+1)*3)</f>
        <v>45692</v>
      </c>
      <c r="AT94" s="871"/>
      <c r="AU94" s="231" t="s">
        <v>59</v>
      </c>
      <c r="AV94" s="231" t="s">
        <v>73</v>
      </c>
      <c r="AW94" s="102" t="s">
        <v>4</v>
      </c>
      <c r="AX94" s="231" t="s">
        <v>59</v>
      </c>
      <c r="AY94" s="231" t="s">
        <v>73</v>
      </c>
      <c r="AZ94" s="102" t="s">
        <v>4</v>
      </c>
      <c r="BA94" s="231" t="s">
        <v>59</v>
      </c>
      <c r="BB94" s="231" t="s">
        <v>73</v>
      </c>
      <c r="BC94" s="102" t="s">
        <v>4</v>
      </c>
      <c r="BD94" s="231" t="s">
        <v>59</v>
      </c>
      <c r="BE94" s="231" t="s">
        <v>73</v>
      </c>
      <c r="BF94" s="102" t="s">
        <v>4</v>
      </c>
      <c r="BG94" s="231" t="s">
        <v>59</v>
      </c>
      <c r="BH94" s="231" t="s">
        <v>73</v>
      </c>
      <c r="BI94" s="102" t="s">
        <v>4</v>
      </c>
      <c r="BJ94" s="823"/>
      <c r="BK94" s="825"/>
      <c r="BL94" s="118"/>
      <c r="BM94" s="903"/>
      <c r="BN94" s="107"/>
      <c r="BO94" s="107"/>
      <c r="BP94" s="108"/>
      <c r="BQ94" s="107"/>
      <c r="BR94" s="107"/>
      <c r="BS94" s="108"/>
      <c r="BT94" s="107"/>
      <c r="BU94" s="107"/>
      <c r="BV94" s="108"/>
      <c r="BW94" s="107"/>
      <c r="BX94" s="107"/>
      <c r="BY94" s="108"/>
      <c r="BZ94" s="107"/>
      <c r="CA94" s="107"/>
      <c r="CB94" s="108"/>
      <c r="CC94" s="906"/>
      <c r="CD94" s="908"/>
      <c r="CF94" s="841"/>
      <c r="CG94" s="107" t="s">
        <v>59</v>
      </c>
      <c r="CH94" s="107" t="s">
        <v>73</v>
      </c>
      <c r="CI94" s="108" t="s">
        <v>4</v>
      </c>
      <c r="CJ94" s="107" t="s">
        <v>59</v>
      </c>
      <c r="CK94" s="107" t="s">
        <v>73</v>
      </c>
      <c r="CL94" s="108" t="s">
        <v>4</v>
      </c>
      <c r="CM94" s="107" t="s">
        <v>59</v>
      </c>
      <c r="CN94" s="107" t="s">
        <v>73</v>
      </c>
      <c r="CO94" s="108" t="s">
        <v>4</v>
      </c>
      <c r="CP94" s="107" t="s">
        <v>59</v>
      </c>
      <c r="CQ94" s="107" t="s">
        <v>73</v>
      </c>
      <c r="CR94" s="108" t="s">
        <v>4</v>
      </c>
      <c r="CS94" s="107" t="s">
        <v>59</v>
      </c>
      <c r="CT94" s="107" t="s">
        <v>73</v>
      </c>
      <c r="CU94" s="108" t="s">
        <v>4</v>
      </c>
      <c r="CV94" s="823"/>
      <c r="CW94" s="825"/>
      <c r="CX94" s="118"/>
      <c r="CY94" s="903"/>
      <c r="CZ94" s="107" t="s">
        <v>59</v>
      </c>
      <c r="DA94" s="107" t="s">
        <v>73</v>
      </c>
      <c r="DB94" s="108" t="s">
        <v>4</v>
      </c>
      <c r="DC94" s="107" t="s">
        <v>59</v>
      </c>
      <c r="DD94" s="107" t="s">
        <v>73</v>
      </c>
      <c r="DE94" s="108" t="s">
        <v>4</v>
      </c>
      <c r="DF94" s="107" t="s">
        <v>59</v>
      </c>
      <c r="DG94" s="107" t="s">
        <v>73</v>
      </c>
      <c r="DH94" s="108" t="s">
        <v>4</v>
      </c>
      <c r="DI94" s="107" t="s">
        <v>59</v>
      </c>
      <c r="DJ94" s="107" t="s">
        <v>73</v>
      </c>
      <c r="DK94" s="108" t="s">
        <v>4</v>
      </c>
      <c r="DL94" s="107" t="s">
        <v>59</v>
      </c>
      <c r="DM94" s="107" t="s">
        <v>73</v>
      </c>
      <c r="DN94" s="108" t="s">
        <v>4</v>
      </c>
      <c r="DO94" s="823"/>
      <c r="DP94" s="825"/>
      <c r="DR94" s="874"/>
      <c r="DS94" s="231" t="s">
        <v>59</v>
      </c>
      <c r="DT94" s="231" t="s">
        <v>73</v>
      </c>
      <c r="DU94" s="102" t="s">
        <v>4</v>
      </c>
      <c r="DV94" s="231" t="s">
        <v>59</v>
      </c>
      <c r="DW94" s="231" t="s">
        <v>73</v>
      </c>
      <c r="DX94" s="102" t="s">
        <v>4</v>
      </c>
      <c r="DY94" s="107" t="s">
        <v>59</v>
      </c>
      <c r="DZ94" s="107" t="s">
        <v>73</v>
      </c>
      <c r="EA94" s="108" t="s">
        <v>4</v>
      </c>
      <c r="EB94" s="107" t="s">
        <v>59</v>
      </c>
      <c r="EC94" s="107" t="s">
        <v>73</v>
      </c>
      <c r="ED94" s="108" t="s">
        <v>4</v>
      </c>
      <c r="EE94" s="107" t="s">
        <v>59</v>
      </c>
      <c r="EF94" s="107" t="s">
        <v>73</v>
      </c>
      <c r="EG94" s="108" t="s">
        <v>4</v>
      </c>
      <c r="EH94" s="823"/>
      <c r="EI94" s="825"/>
      <c r="EK94" s="865"/>
      <c r="EL94" s="231" t="s">
        <v>59</v>
      </c>
      <c r="EM94" s="231" t="s">
        <v>73</v>
      </c>
      <c r="EN94" s="102" t="s">
        <v>4</v>
      </c>
      <c r="EO94" s="231" t="s">
        <v>59</v>
      </c>
      <c r="EP94" s="231" t="s">
        <v>73</v>
      </c>
      <c r="EQ94" s="102" t="s">
        <v>4</v>
      </c>
      <c r="ER94" s="231" t="s">
        <v>59</v>
      </c>
      <c r="ES94" s="231" t="s">
        <v>73</v>
      </c>
      <c r="ET94" s="102" t="s">
        <v>4</v>
      </c>
      <c r="EU94" s="231" t="s">
        <v>59</v>
      </c>
      <c r="EV94" s="231" t="s">
        <v>73</v>
      </c>
      <c r="EW94" s="102" t="s">
        <v>4</v>
      </c>
      <c r="EX94" s="231" t="s">
        <v>59</v>
      </c>
      <c r="EY94" s="231" t="s">
        <v>73</v>
      </c>
      <c r="EZ94" s="102" t="s">
        <v>4</v>
      </c>
      <c r="FA94" s="823"/>
      <c r="FB94" s="825"/>
      <c r="FD94" s="903"/>
      <c r="FE94" s="107" t="s">
        <v>59</v>
      </c>
      <c r="FF94" s="107" t="s">
        <v>73</v>
      </c>
      <c r="FG94" s="108" t="s">
        <v>4</v>
      </c>
      <c r="FH94" s="107" t="s">
        <v>59</v>
      </c>
      <c r="FI94" s="107" t="s">
        <v>73</v>
      </c>
      <c r="FJ94" s="108" t="s">
        <v>4</v>
      </c>
      <c r="FK94" s="107" t="s">
        <v>59</v>
      </c>
      <c r="FL94" s="107" t="s">
        <v>73</v>
      </c>
      <c r="FM94" s="108" t="s">
        <v>4</v>
      </c>
      <c r="FN94" s="107" t="s">
        <v>59</v>
      </c>
      <c r="FO94" s="107" t="s">
        <v>73</v>
      </c>
      <c r="FP94" s="108" t="s">
        <v>4</v>
      </c>
      <c r="FQ94" s="107" t="s">
        <v>59</v>
      </c>
      <c r="FR94" s="107" t="s">
        <v>73</v>
      </c>
      <c r="FS94" s="108" t="s">
        <v>4</v>
      </c>
      <c r="FT94" s="823"/>
      <c r="FU94" s="825"/>
      <c r="FW94" s="877"/>
      <c r="FX94" s="231" t="s">
        <v>59</v>
      </c>
      <c r="FY94" s="231" t="s">
        <v>73</v>
      </c>
      <c r="FZ94" s="102" t="s">
        <v>4</v>
      </c>
      <c r="GA94" s="231" t="s">
        <v>59</v>
      </c>
      <c r="GB94" s="231" t="s">
        <v>73</v>
      </c>
      <c r="GC94" s="102" t="s">
        <v>4</v>
      </c>
      <c r="GD94" s="231" t="s">
        <v>59</v>
      </c>
      <c r="GE94" s="231" t="s">
        <v>73</v>
      </c>
      <c r="GF94" s="102" t="s">
        <v>4</v>
      </c>
      <c r="GG94" s="107" t="s">
        <v>59</v>
      </c>
      <c r="GH94" s="107" t="s">
        <v>73</v>
      </c>
      <c r="GI94" s="108" t="s">
        <v>4</v>
      </c>
      <c r="GJ94" s="107" t="s">
        <v>59</v>
      </c>
      <c r="GK94" s="107" t="s">
        <v>73</v>
      </c>
      <c r="GL94" s="108" t="s">
        <v>4</v>
      </c>
      <c r="GM94" s="107" t="s">
        <v>59</v>
      </c>
      <c r="GN94" s="107" t="s">
        <v>73</v>
      </c>
      <c r="GO94" s="108" t="s">
        <v>4</v>
      </c>
      <c r="GP94" s="823"/>
      <c r="GQ94" s="825"/>
      <c r="GR94" s="118"/>
      <c r="GS94" s="895"/>
      <c r="GT94" s="107" t="s">
        <v>59</v>
      </c>
      <c r="GU94" s="107" t="s">
        <v>73</v>
      </c>
      <c r="GV94" s="108" t="s">
        <v>4</v>
      </c>
      <c r="GW94" s="107" t="s">
        <v>59</v>
      </c>
      <c r="GX94" s="107" t="s">
        <v>73</v>
      </c>
      <c r="GY94" s="108" t="s">
        <v>4</v>
      </c>
      <c r="GZ94" s="107" t="s">
        <v>59</v>
      </c>
      <c r="HA94" s="107" t="s">
        <v>73</v>
      </c>
      <c r="HB94" s="108" t="s">
        <v>4</v>
      </c>
      <c r="HC94" s="107" t="s">
        <v>59</v>
      </c>
      <c r="HD94" s="107" t="s">
        <v>73</v>
      </c>
      <c r="HE94" s="108" t="s">
        <v>4</v>
      </c>
      <c r="HF94" s="107" t="s">
        <v>59</v>
      </c>
      <c r="HG94" s="107" t="s">
        <v>73</v>
      </c>
      <c r="HH94" s="108" t="s">
        <v>4</v>
      </c>
      <c r="HI94" s="107" t="s">
        <v>59</v>
      </c>
      <c r="HJ94" s="107" t="s">
        <v>73</v>
      </c>
      <c r="HK94" s="108" t="s">
        <v>4</v>
      </c>
      <c r="HL94" s="823"/>
      <c r="HM94" s="825"/>
      <c r="HN94" s="118"/>
      <c r="HO94" s="846"/>
      <c r="HP94" s="107" t="s">
        <v>59</v>
      </c>
      <c r="HQ94" s="107" t="s">
        <v>73</v>
      </c>
      <c r="HR94" s="108" t="s">
        <v>4</v>
      </c>
      <c r="HS94" s="107" t="s">
        <v>59</v>
      </c>
      <c r="HT94" s="107" t="s">
        <v>73</v>
      </c>
      <c r="HU94" s="108" t="s">
        <v>4</v>
      </c>
      <c r="HV94" s="107" t="s">
        <v>59</v>
      </c>
      <c r="HW94" s="107" t="s">
        <v>73</v>
      </c>
      <c r="HX94" s="108" t="s">
        <v>4</v>
      </c>
      <c r="HY94" s="107" t="s">
        <v>59</v>
      </c>
      <c r="HZ94" s="107" t="s">
        <v>73</v>
      </c>
      <c r="IA94" s="108" t="s">
        <v>4</v>
      </c>
      <c r="IB94" s="107" t="s">
        <v>59</v>
      </c>
      <c r="IC94" s="107" t="s">
        <v>73</v>
      </c>
      <c r="ID94" s="108" t="s">
        <v>4</v>
      </c>
      <c r="IE94" s="107" t="s">
        <v>59</v>
      </c>
      <c r="IF94" s="107" t="s">
        <v>73</v>
      </c>
      <c r="IG94" s="108" t="s">
        <v>4</v>
      </c>
      <c r="IH94" s="823"/>
      <c r="II94" s="825"/>
      <c r="IK94" s="841"/>
      <c r="IL94" s="231" t="s">
        <v>59</v>
      </c>
      <c r="IM94" s="231" t="s">
        <v>73</v>
      </c>
      <c r="IN94" s="102" t="s">
        <v>4</v>
      </c>
      <c r="IO94" s="231" t="s">
        <v>59</v>
      </c>
      <c r="IP94" s="231" t="s">
        <v>73</v>
      </c>
      <c r="IQ94" s="102" t="s">
        <v>4</v>
      </c>
      <c r="IR94" s="231" t="s">
        <v>59</v>
      </c>
      <c r="IS94" s="231" t="s">
        <v>73</v>
      </c>
      <c r="IT94" s="102" t="s">
        <v>4</v>
      </c>
      <c r="IU94" s="231" t="s">
        <v>59</v>
      </c>
      <c r="IV94" s="231" t="s">
        <v>73</v>
      </c>
      <c r="IW94" s="102" t="s">
        <v>4</v>
      </c>
      <c r="IX94" s="231" t="s">
        <v>59</v>
      </c>
      <c r="IY94" s="231" t="s">
        <v>73</v>
      </c>
      <c r="IZ94" s="102" t="s">
        <v>4</v>
      </c>
      <c r="JA94" s="231" t="s">
        <v>59</v>
      </c>
      <c r="JB94" s="231" t="s">
        <v>73</v>
      </c>
      <c r="JC94" s="102" t="s">
        <v>4</v>
      </c>
      <c r="JD94" s="948"/>
      <c r="JE94" s="823"/>
      <c r="JF94" s="825"/>
    </row>
    <row r="95" spans="27:269" ht="15">
      <c r="AQ95" s="230" cm="1">
        <f t="array" ref="AQ95">INDEX(AR:AR, (ROW()-ROW(AQ$91)+1)*3)</f>
        <v>94.2</v>
      </c>
      <c r="AR95" s="113" cm="1">
        <f t="array" ref="AR95">INDEX(AA:AA, (ROW()-ROW(AR$91)+1)*3)</f>
        <v>45693</v>
      </c>
      <c r="AT95" s="872"/>
      <c r="AU95" s="229">
        <v>4</v>
      </c>
      <c r="AV95" s="229">
        <v>8</v>
      </c>
      <c r="AW95" s="229">
        <v>49.9</v>
      </c>
      <c r="AX95" s="229">
        <v>4</v>
      </c>
      <c r="AY95" s="229">
        <v>8</v>
      </c>
      <c r="AZ95" s="229">
        <v>12.5</v>
      </c>
      <c r="BA95" s="229">
        <v>4</v>
      </c>
      <c r="BB95" s="229">
        <v>8</v>
      </c>
      <c r="BC95" s="229">
        <v>22.7</v>
      </c>
      <c r="BD95" s="229">
        <v>4</v>
      </c>
      <c r="BE95" s="229">
        <v>8</v>
      </c>
      <c r="BF95" s="229">
        <v>15</v>
      </c>
      <c r="BG95" s="229">
        <v>4</v>
      </c>
      <c r="BH95" s="229">
        <v>8</v>
      </c>
      <c r="BI95" s="229">
        <v>15.9</v>
      </c>
      <c r="BJ95" s="229">
        <f t="shared" ref="BJ95" si="404">(AU95*AV95*AW95)+(AX95*AY95*AZ95)+(BA95*BB95*BC95)+(BD95*BE95*BF95)+(BG95*BH95*BI95)</f>
        <v>3712</v>
      </c>
      <c r="BK95" s="826"/>
      <c r="BL95" s="118"/>
      <c r="BM95" s="904"/>
      <c r="BN95" s="233"/>
      <c r="BO95" s="233"/>
      <c r="BP95" s="233"/>
      <c r="BQ95" s="233"/>
      <c r="BR95" s="233"/>
      <c r="BS95" s="233"/>
      <c r="BT95" s="233"/>
      <c r="BU95" s="233"/>
      <c r="BV95" s="233"/>
      <c r="BW95" s="233"/>
      <c r="BX95" s="233"/>
      <c r="BY95" s="233"/>
      <c r="BZ95" s="233"/>
      <c r="CA95" s="233"/>
      <c r="CB95" s="233"/>
      <c r="CC95" s="233">
        <f t="shared" ref="CC95" si="405">(BN95*BO95*BP95)+(BQ95*BR95*BS95)+(BT95*BU95*BV95)+(BW95*BX95*BY95)+(BZ95*CA95*CB95)</f>
        <v>0</v>
      </c>
      <c r="CD95" s="909"/>
      <c r="CF95" s="842"/>
      <c r="CG95" s="233"/>
      <c r="CH95" s="233"/>
      <c r="CI95" s="233"/>
      <c r="CJ95" s="233"/>
      <c r="CK95" s="233"/>
      <c r="CL95" s="233"/>
      <c r="CM95" s="233"/>
      <c r="CN95" s="233"/>
      <c r="CO95" s="233"/>
      <c r="CP95" s="233"/>
      <c r="CQ95" s="233"/>
      <c r="CR95" s="233"/>
      <c r="CS95" s="233"/>
      <c r="CT95" s="233"/>
      <c r="CU95" s="233"/>
      <c r="CV95" s="229">
        <f t="shared" ref="CV95" si="406">(CG95*CH95*CI95)+(CJ95*CK95*CL95)+(CM95*CN95*CO95)+(CP95*CQ95*CR95)+(CS95*CT95*CU95)</f>
        <v>0</v>
      </c>
      <c r="CW95" s="826"/>
      <c r="CX95" s="118"/>
      <c r="CY95" s="904"/>
      <c r="CZ95" s="233"/>
      <c r="DA95" s="233"/>
      <c r="DB95" s="233"/>
      <c r="DC95" s="233"/>
      <c r="DD95" s="233"/>
      <c r="DE95" s="233"/>
      <c r="DF95" s="233"/>
      <c r="DG95" s="233"/>
      <c r="DH95" s="233"/>
      <c r="DI95" s="233"/>
      <c r="DJ95" s="233"/>
      <c r="DK95" s="233"/>
      <c r="DL95" s="233"/>
      <c r="DM95" s="233"/>
      <c r="DN95" s="233"/>
      <c r="DO95" s="229">
        <f t="shared" ref="DO95" si="407">(CZ95*DA95*DB95)+(DC95*DD95*DE95)+(DF95*DG95*DH95)+(DI95*DJ95*DK95)+(DL95*DM95*DN95)</f>
        <v>0</v>
      </c>
      <c r="DP95" s="826"/>
      <c r="DR95" s="875"/>
      <c r="DS95" s="229">
        <v>3</v>
      </c>
      <c r="DT95" s="126">
        <v>10</v>
      </c>
      <c r="DU95" s="229">
        <v>13.6</v>
      </c>
      <c r="DV95" s="229">
        <v>3</v>
      </c>
      <c r="DW95" s="229">
        <v>8</v>
      </c>
      <c r="DX95" s="229">
        <v>20</v>
      </c>
      <c r="DY95" s="233"/>
      <c r="DZ95" s="233"/>
      <c r="EA95" s="233"/>
      <c r="EB95" s="233"/>
      <c r="EC95" s="233"/>
      <c r="ED95" s="233"/>
      <c r="EE95" s="233"/>
      <c r="EF95" s="233"/>
      <c r="EG95" s="233"/>
      <c r="EH95" s="229">
        <f t="shared" ref="EH95" si="408">(DS95*DT95*DU95)+(DV95*DW95*DX95)+(DY95*DZ95*EA95)+(EB95*EC95*ED95)+(EE95*EF95*EG95)</f>
        <v>888</v>
      </c>
      <c r="EI95" s="826"/>
      <c r="EK95" s="866"/>
      <c r="EL95" s="229">
        <v>3</v>
      </c>
      <c r="EM95" s="229">
        <f>((8*2)+(10*1))/3</f>
        <v>8.6666666666666661</v>
      </c>
      <c r="EN95" s="229">
        <v>59</v>
      </c>
      <c r="EO95" s="229">
        <v>3</v>
      </c>
      <c r="EP95" s="229">
        <v>10</v>
      </c>
      <c r="EQ95" s="229">
        <v>10</v>
      </c>
      <c r="ER95" s="229">
        <v>3</v>
      </c>
      <c r="ES95" s="229">
        <v>8</v>
      </c>
      <c r="ET95" s="126">
        <v>22.5</v>
      </c>
      <c r="EU95" s="229">
        <v>3</v>
      </c>
      <c r="EV95" s="229">
        <v>24</v>
      </c>
      <c r="EW95" s="229">
        <f>(1/3)*$FB93</f>
        <v>26.533333333333331</v>
      </c>
      <c r="EX95" s="229">
        <v>4</v>
      </c>
      <c r="EY95" s="229">
        <v>12</v>
      </c>
      <c r="EZ95" s="229">
        <v>7.5</v>
      </c>
      <c r="FA95" s="229">
        <f t="shared" ref="FA95" si="409">(EL95*EM95*EN95)+(EO95*EP95*EQ95)+(ER95*ES95*ET95)+(EU95*EV95*EW95)+(EX95*EY95*EZ95)</f>
        <v>4644.3999999999996</v>
      </c>
      <c r="FB95" s="826"/>
      <c r="FD95" s="904"/>
      <c r="FE95" s="233"/>
      <c r="FF95" s="233"/>
      <c r="FG95" s="233"/>
      <c r="FH95" s="233"/>
      <c r="FI95" s="233"/>
      <c r="FJ95" s="233"/>
      <c r="FK95" s="233"/>
      <c r="FL95" s="233"/>
      <c r="FM95" s="233"/>
      <c r="FN95" s="233"/>
      <c r="FO95" s="233"/>
      <c r="FP95" s="233"/>
      <c r="FQ95" s="233"/>
      <c r="FR95" s="233"/>
      <c r="FS95" s="233"/>
      <c r="FT95" s="229">
        <f t="shared" ref="FT95" si="410">(FE95*FF95*FG95)+(FH95*FI95*FJ95)+(FK95*FL95*FM95)+(FN95*FO95*FP95)+(FQ95*FR95*FS95)</f>
        <v>0</v>
      </c>
      <c r="FU95" s="826"/>
      <c r="FW95" s="878"/>
      <c r="FX95" s="229">
        <v>3</v>
      </c>
      <c r="FY95" s="229">
        <v>8</v>
      </c>
      <c r="FZ95" s="229">
        <v>63</v>
      </c>
      <c r="GA95" s="229">
        <v>3</v>
      </c>
      <c r="GB95" s="229">
        <f>((12*1)+(8*2))/3</f>
        <v>9.3333333333333339</v>
      </c>
      <c r="GC95" s="229">
        <f>((22.7*1)+(24.9*2))/3</f>
        <v>24.166666666666668</v>
      </c>
      <c r="GD95" s="229">
        <v>3</v>
      </c>
      <c r="GE95" s="229">
        <f>((12*1)+(8*2))/3</f>
        <v>9.3333333333333339</v>
      </c>
      <c r="GF95" s="229">
        <f>((13.5*1)+(18.5*2))/3</f>
        <v>16.833333333333332</v>
      </c>
      <c r="GG95" s="233"/>
      <c r="GH95" s="233"/>
      <c r="GI95" s="233"/>
      <c r="GJ95" s="233"/>
      <c r="GK95" s="233"/>
      <c r="GL95" s="233"/>
      <c r="GM95" s="233"/>
      <c r="GN95" s="233"/>
      <c r="GO95" s="233"/>
      <c r="GP95" s="229">
        <f>(FX95*FY95*FZ95)+(GA95*GB95*GC95)+(GD95*GE95*GF95)+(GG95*GH95*GI95)+(GJ95*GK95*GL95)+(GM95*GN95*GO95)</f>
        <v>2660.0000000000005</v>
      </c>
      <c r="GQ95" s="826"/>
      <c r="GR95" s="118"/>
      <c r="GS95" s="896"/>
      <c r="GT95" s="233"/>
      <c r="GU95" s="233"/>
      <c r="GV95" s="233"/>
      <c r="GW95" s="233"/>
      <c r="GX95" s="233"/>
      <c r="GY95" s="233"/>
      <c r="GZ95" s="233"/>
      <c r="HA95" s="233"/>
      <c r="HB95" s="233"/>
      <c r="HC95" s="233"/>
      <c r="HD95" s="233"/>
      <c r="HE95" s="233"/>
      <c r="HF95" s="233"/>
      <c r="HG95" s="233"/>
      <c r="HH95" s="233"/>
      <c r="HI95" s="233"/>
      <c r="HJ95" s="233"/>
      <c r="HK95" s="233"/>
      <c r="HL95" s="229">
        <f>(GT95*GU95*GV95)+(GW95*GX95*GY95)+(GZ95*HA95*HB95)+(HC95*HD95*HE95)+(HF95*HG95*HH95)+(HI95*HJ95*HK95)</f>
        <v>0</v>
      </c>
      <c r="HM95" s="826"/>
      <c r="HN95" s="118"/>
      <c r="HO95" s="847"/>
      <c r="HP95" s="233"/>
      <c r="HQ95" s="233"/>
      <c r="HR95" s="233"/>
      <c r="HS95" s="233"/>
      <c r="HT95" s="233"/>
      <c r="HU95" s="233"/>
      <c r="HV95" s="233"/>
      <c r="HW95" s="233"/>
      <c r="HX95" s="233"/>
      <c r="HY95" s="233"/>
      <c r="HZ95" s="233"/>
      <c r="IA95" s="233"/>
      <c r="IB95" s="233"/>
      <c r="IC95" s="233"/>
      <c r="ID95" s="233"/>
      <c r="IE95" s="233"/>
      <c r="IF95" s="233"/>
      <c r="IG95" s="233"/>
      <c r="IH95" s="229">
        <f>(HP95*HQ95*HR95)+(HS95*HT95*HU95)+(HV95*HW95*HX95)+(HY95*HZ95*IA95)+(IB95*IC95*ID95)+(IE95*IF95*IG95)</f>
        <v>0</v>
      </c>
      <c r="II95" s="826"/>
      <c r="IK95" s="842"/>
      <c r="IL95" s="229"/>
      <c r="IM95" s="229"/>
      <c r="IN95" s="229"/>
      <c r="IO95" s="229"/>
      <c r="IP95" s="229"/>
      <c r="IQ95" s="229"/>
      <c r="IR95" s="229"/>
      <c r="IS95" s="229"/>
      <c r="IT95" s="229"/>
      <c r="IU95" s="229"/>
      <c r="IV95" s="229"/>
      <c r="IW95" s="229"/>
      <c r="IX95" s="229"/>
      <c r="IY95" s="229"/>
      <c r="IZ95" s="229"/>
      <c r="JA95" s="229"/>
      <c r="JB95" s="229"/>
      <c r="JC95" s="229"/>
      <c r="JD95" s="949"/>
      <c r="JE95" s="229">
        <f>(IL95*IM95*IN95)+(IO95*IP95*IQ95)+(IR95*IS95*IT95)+(IU95*IV95*IW95)+(IX95*IY95*IZ95)+(JA95*JB95*JC95)</f>
        <v>0</v>
      </c>
      <c r="JF95" s="826"/>
    </row>
    <row r="96" spans="27:269" ht="15">
      <c r="AQ96" s="230" cm="1">
        <f t="array" ref="AQ96">INDEX(AR:AR, (ROW()-ROW(AQ$91)+1)*3)</f>
        <v>93.9</v>
      </c>
      <c r="AR96" s="113" cm="1">
        <f t="array" ref="AR96">INDEX(AA:AA, (ROW()-ROW(AR$91)+1)*3)</f>
        <v>45694</v>
      </c>
      <c r="BG96" s="831" t="s">
        <v>135</v>
      </c>
      <c r="BH96" s="831"/>
      <c r="BI96" s="831"/>
      <c r="BJ96" s="106" cm="1">
        <f t="array" ref="BJ96">SUMPRODUCT((MOD(ROW(BJ3:BJ93)-ROW(BJ3), 3)=0) * BJ3:BJ93)</f>
        <v>67</v>
      </c>
      <c r="BK96" s="829" cm="1">
        <f t="array" ref="BK96">LOOKUP(2, 1/(BK3:BK95&lt;&gt;""), BK3:BK86) - BK3</f>
        <v>-4.0999999999999943</v>
      </c>
      <c r="BL96" s="114"/>
      <c r="BZ96" s="831" t="s">
        <v>135</v>
      </c>
      <c r="CA96" s="831"/>
      <c r="CB96" s="831"/>
      <c r="CC96" s="106" cm="1">
        <f t="array" ref="CC96">SUMPRODUCT((MOD(ROW(CC3:CC93)-ROW(CC3), 3)=0) * CC3:CC93)</f>
        <v>65</v>
      </c>
      <c r="CD96" s="829" cm="1">
        <f t="array" ref="CD96">LOOKUP(2, 1/(CD3:CD95&lt;&gt;""), CD3:CD86) - CD3</f>
        <v>-2.7999999999999972</v>
      </c>
      <c r="CS96" s="827" t="s">
        <v>135</v>
      </c>
      <c r="CT96" s="827"/>
      <c r="CU96" s="828"/>
      <c r="CV96" s="106" cm="1">
        <f t="array" ref="CV96">SUMPRODUCT((MOD(ROW(CV3:CV93)-ROW(CV3), 3)=0) * CV3:CV93)</f>
        <v>49</v>
      </c>
      <c r="CW96" s="829" cm="1">
        <f t="array" ref="CW96">LOOKUP(2, 1/(CW3:CW95&lt;&gt;""), CW3:CW86) - CW3</f>
        <v>-2.1000000000000085</v>
      </c>
      <c r="CX96" s="114"/>
      <c r="DL96" s="827" t="s">
        <v>135</v>
      </c>
      <c r="DM96" s="827"/>
      <c r="DN96" s="828"/>
      <c r="DO96" s="106" cm="1">
        <f t="array" ref="DO96">SUMPRODUCT((MOD(ROW(DO3:DO93)-ROW(DO3), 3)=0) * DO3:DO93)</f>
        <v>52</v>
      </c>
      <c r="DP96" s="829" cm="1">
        <f t="array" ref="DP96">LOOKUP(2, 1/(DP3:DP95&lt;&gt;""), DP3:DP86) - DP3</f>
        <v>-1.3999999999999915</v>
      </c>
      <c r="EE96" s="827" t="s">
        <v>135</v>
      </c>
      <c r="EF96" s="827"/>
      <c r="EG96" s="828"/>
      <c r="EH96" s="106" cm="1">
        <f t="array" ref="EH96">SUMPRODUCT((MOD(ROW(EH3:EH93)-ROW(EH3), 3)=0) * EH3:EH93)</f>
        <v>47</v>
      </c>
      <c r="EI96" s="829" cm="1">
        <f t="array" ref="EI96">LOOKUP(2, 1/(EI3:EI95&lt;&gt;""), EI3:EI86) - EI3</f>
        <v>-1.7000000000000028</v>
      </c>
      <c r="EX96" s="827" t="s">
        <v>135</v>
      </c>
      <c r="EY96" s="827"/>
      <c r="EZ96" s="828"/>
      <c r="FA96" s="106" cm="1">
        <f t="array" ref="FA96">SUMPRODUCT((MOD(ROW(FA3:FA93)-ROW(FA3), 3)=0) * FA3:FA93)</f>
        <v>48</v>
      </c>
      <c r="FB96" s="829" cm="1">
        <f t="array" ref="FB96">LOOKUP(2, 1/(FB3:FB95&lt;&gt;""), FB3:FB86) - FB3</f>
        <v>-0.70000000000000284</v>
      </c>
      <c r="FQ96" s="827" t="s">
        <v>135</v>
      </c>
      <c r="FR96" s="827"/>
      <c r="FS96" s="828"/>
      <c r="FT96" s="106" cm="1">
        <f t="array" ref="FT96">SUMPRODUCT((MOD(ROW(FT3:FT93)-ROW(FT3), 3)=0) * FT3:FT93)</f>
        <v>58</v>
      </c>
      <c r="FU96" s="829" cm="1">
        <f t="array" ref="FU96">LOOKUP(2, 1/(FU3:FU95&lt;&gt;""), FU3:FU86) - FU3</f>
        <v>-0.59999999999999432</v>
      </c>
      <c r="GM96" s="827" t="s">
        <v>135</v>
      </c>
      <c r="GN96" s="827"/>
      <c r="GO96" s="828"/>
      <c r="GP96" s="106" cm="1">
        <f t="array" ref="GP96">SUMPRODUCT((MOD(ROW(GP3:GP93)-ROW(GP3), 3)=0) * GP3:GP93)</f>
        <v>61</v>
      </c>
      <c r="GQ96" s="829" cm="1">
        <f t="array" ref="GQ96">LOOKUP(2, 1/(GQ3:GQ95&lt;&gt;""), GQ3:GQ86) - GQ3</f>
        <v>-0.90000000000000568</v>
      </c>
      <c r="GR96" s="114"/>
      <c r="HI96" s="827" t="s">
        <v>135</v>
      </c>
      <c r="HJ96" s="827"/>
      <c r="HK96" s="828"/>
      <c r="HL96" s="106" cm="1">
        <f t="array" ref="HL96">SUMPRODUCT((MOD(ROW(HL3:HL93)-ROW(HL3), 3)=0) * HL3:HL93)</f>
        <v>52</v>
      </c>
      <c r="HM96" s="829" cm="1">
        <f t="array" ref="HM96">LOOKUP(2, 1/(HM3:HM95&lt;&gt;""), HM3:HM86) - HM3</f>
        <v>-1.2999999999999972</v>
      </c>
      <c r="HN96" s="114"/>
      <c r="IE96" s="827" t="s">
        <v>135</v>
      </c>
      <c r="IF96" s="827"/>
      <c r="IG96" s="828"/>
      <c r="IH96" s="106" cm="1">
        <f t="array" ref="IH96">SUMPRODUCT((MOD(ROW(IH3:IH93)-ROW(IH3), 3)=0) * IH3:IH93)</f>
        <v>38</v>
      </c>
      <c r="II96" s="829" cm="1">
        <f t="array" ref="II96">LOOKUP(2, 1/(II3:II95&lt;&gt;""), II3:II86) - II3</f>
        <v>0.10000000000000853</v>
      </c>
      <c r="JA96" s="827" t="s">
        <v>135</v>
      </c>
      <c r="JB96" s="827"/>
      <c r="JC96" s="827"/>
      <c r="JD96" s="285"/>
      <c r="JE96" s="106" cm="1">
        <f t="array" ref="JE96">SUMPRODUCT((MOD(ROW(JE3:JE93)-ROW(JE3), 3)=0) * JE3:JE93)</f>
        <v>32</v>
      </c>
      <c r="JF96" s="829" cm="1">
        <f t="array" ref="JF96">LOOKUP(2, 1/(JF3:JF95&lt;&gt;""), JF3:JF86) - JF3</f>
        <v>0.39999999999999147</v>
      </c>
      <c r="JI96" s="111">
        <f>SUM(DP96,CW96,CD96,BK96,AR87,EI96,FB96,FU96,GQ96,HJ96,II96)</f>
        <v>-16.799999999999983</v>
      </c>
    </row>
    <row r="97" spans="43:268" ht="15">
      <c r="AQ97" s="230" cm="1">
        <f t="array" ref="AQ97">INDEX(AR:AR, (ROW()-ROW(AQ$91)+1)*3)</f>
        <v>94</v>
      </c>
      <c r="AR97" s="113" cm="1">
        <f t="array" ref="AR97">INDEX(AA:AA, (ROW()-ROW(AR$91)+1)*3)</f>
        <v>45695</v>
      </c>
      <c r="BG97" s="831" t="s">
        <v>136</v>
      </c>
      <c r="BH97" s="831"/>
      <c r="BI97" s="831"/>
      <c r="BJ97" s="274" cm="1">
        <f t="array" ref="BJ97">SUMPRODUCT((MOD(ROW(BJ3:BJ95)-ROW(BJ5), 3)=0) * BJ3:BJ95)</f>
        <v>64668.099999999991</v>
      </c>
      <c r="BK97" s="830"/>
      <c r="BL97" s="39"/>
      <c r="BZ97" s="831" t="s">
        <v>136</v>
      </c>
      <c r="CA97" s="831"/>
      <c r="CB97" s="831"/>
      <c r="CC97" s="274" cm="1">
        <f t="array" ref="CC97">SUMPRODUCT((MOD(ROW(CC3:CC95)-ROW(CC5), 3)=0) * CC3:CC95)</f>
        <v>4554496.25</v>
      </c>
      <c r="CD97" s="830"/>
      <c r="CS97" s="831" t="s">
        <v>136</v>
      </c>
      <c r="CT97" s="831"/>
      <c r="CU97" s="832"/>
      <c r="CV97" s="274" cm="1">
        <f t="array" ref="CV97">SUMPRODUCT((MOD(ROW(CV3:CV95)-ROW(CV5), 3)=0) * CV3:CV95)</f>
        <v>75988.3</v>
      </c>
      <c r="CW97" s="830"/>
      <c r="CX97" s="39"/>
      <c r="DL97" s="831" t="s">
        <v>136</v>
      </c>
      <c r="DM97" s="831"/>
      <c r="DN97" s="832"/>
      <c r="DO97" s="274" cm="1">
        <f t="array" ref="DO97">SUMPRODUCT((MOD(ROW(DO3:DO95)-ROW(DO5), 3)=0) * DO3:DO95)</f>
        <v>46796.574999999997</v>
      </c>
      <c r="DP97" s="830"/>
      <c r="EE97" s="831" t="s">
        <v>136</v>
      </c>
      <c r="EF97" s="831"/>
      <c r="EG97" s="832"/>
      <c r="EH97" s="274" cm="1">
        <f t="array" ref="EH97">SUMPRODUCT((MOD(ROW(EH3:EH95)-ROW(EH5), 3)=0) * EH3:EH95)</f>
        <v>33706.133333333331</v>
      </c>
      <c r="EI97" s="830"/>
      <c r="EX97" s="831" t="s">
        <v>136</v>
      </c>
      <c r="EY97" s="831"/>
      <c r="EZ97" s="832"/>
      <c r="FA97" s="274" cm="1">
        <f t="array" ref="FA97">SUMPRODUCT((MOD(ROW(FA3:FA95)-ROW(FA5), 3)=0) * FA3:FA95)</f>
        <v>65743.299999999988</v>
      </c>
      <c r="FB97" s="830"/>
      <c r="FQ97" s="831" t="s">
        <v>136</v>
      </c>
      <c r="FR97" s="831"/>
      <c r="FS97" s="832"/>
      <c r="FT97" s="274" cm="1">
        <f t="array" ref="FT97">SUMPRODUCT((MOD(ROW(FT3:FT95)-ROW(FT5), 3)=0) * FT3:FT95)</f>
        <v>65741.712805555551</v>
      </c>
      <c r="FU97" s="830"/>
      <c r="GM97" s="831" t="s">
        <v>136</v>
      </c>
      <c r="GN97" s="831"/>
      <c r="GO97" s="832"/>
      <c r="GP97" s="274" cm="1">
        <f t="array" ref="GP97">SUMPRODUCT((MOD(ROW(GP3:GP95)-ROW(GP5), 3)=0) * GP3:GP95)</f>
        <v>69422.763888888876</v>
      </c>
      <c r="GQ97" s="830"/>
      <c r="GR97" s="39"/>
      <c r="HI97" s="831" t="s">
        <v>136</v>
      </c>
      <c r="HJ97" s="831"/>
      <c r="HK97" s="832"/>
      <c r="HL97" s="274" cm="1">
        <f t="array" ref="HL97">SUMPRODUCT((MOD(ROW(HL3:HL95)-ROW(HL5), 3)=0) * HL3:HL95)</f>
        <v>66224.833333333328</v>
      </c>
      <c r="HM97" s="830"/>
      <c r="HN97" s="39"/>
      <c r="IE97" s="831" t="s">
        <v>136</v>
      </c>
      <c r="IF97" s="831"/>
      <c r="IG97" s="832"/>
      <c r="IH97" s="274" cm="1">
        <f t="array" ref="IH97">SUMPRODUCT((MOD(ROW(IH3:IH95)-ROW(IH5), 3)=0) * IH3:IH95)</f>
        <v>55405.031111111108</v>
      </c>
      <c r="II97" s="830"/>
      <c r="JA97" s="831" t="s">
        <v>136</v>
      </c>
      <c r="JB97" s="831"/>
      <c r="JC97" s="831"/>
      <c r="JD97" s="286"/>
      <c r="JE97" s="274" cm="1">
        <f t="array" ref="JE97">SUMPRODUCT((MOD(ROW(JE3:JE95)-ROW(JE5), 3)=0) * JE3:JE95)</f>
        <v>32713.339999999997</v>
      </c>
      <c r="JF97" s="830"/>
    </row>
    <row r="98" spans="43:268" ht="18.75" customHeight="1">
      <c r="AQ98" s="230" cm="1">
        <f t="array" ref="AQ98">INDEX(AR:AR, (ROW()-ROW(AQ$91)+1)*3)</f>
        <v>94</v>
      </c>
      <c r="AR98" s="113" cm="1">
        <f t="array" ref="AR98">INDEX(AA:AA, (ROW()-ROW(AR$91)+1)*3)</f>
        <v>45696</v>
      </c>
    </row>
    <row r="99" spans="43:268" ht="18.75" customHeight="1">
      <c r="AQ99" s="230" cm="1">
        <f t="array" ref="AQ99">INDEX(AR:AR, (ROW()-ROW(AQ$91)+1)*3)</f>
        <v>92.3</v>
      </c>
      <c r="AR99" s="113" cm="1">
        <f t="array" ref="AR99">INDEX(AA:AA, (ROW()-ROW(AR$91)+1)*3)</f>
        <v>45697</v>
      </c>
      <c r="BJ99" s="232" t="s">
        <v>137</v>
      </c>
      <c r="BK99" s="232" t="s">
        <v>1</v>
      </c>
      <c r="BL99" s="41"/>
      <c r="CC99" s="232" t="s">
        <v>137</v>
      </c>
      <c r="CD99" s="232" t="s">
        <v>1</v>
      </c>
      <c r="CV99" s="232" t="s">
        <v>137</v>
      </c>
      <c r="CW99" s="232" t="s">
        <v>1</v>
      </c>
      <c r="CX99" s="41"/>
      <c r="DO99" s="232" t="s">
        <v>137</v>
      </c>
      <c r="DP99" s="232" t="s">
        <v>1</v>
      </c>
      <c r="EH99" s="232" t="s">
        <v>137</v>
      </c>
      <c r="EI99" s="232" t="s">
        <v>1</v>
      </c>
      <c r="FA99" s="232" t="s">
        <v>137</v>
      </c>
      <c r="FB99" s="232" t="s">
        <v>1</v>
      </c>
      <c r="FT99" s="232" t="s">
        <v>137</v>
      </c>
      <c r="FU99" s="232" t="s">
        <v>1</v>
      </c>
      <c r="GP99" s="232" t="s">
        <v>137</v>
      </c>
      <c r="GQ99" s="232" t="s">
        <v>1</v>
      </c>
      <c r="GR99" s="41"/>
      <c r="HL99" s="232" t="s">
        <v>137</v>
      </c>
      <c r="HM99" s="232" t="s">
        <v>1</v>
      </c>
      <c r="HN99" s="41"/>
      <c r="IH99" s="232" t="s">
        <v>137</v>
      </c>
      <c r="II99" s="232" t="s">
        <v>1</v>
      </c>
      <c r="JE99" s="232" t="s">
        <v>137</v>
      </c>
      <c r="JF99" s="232" t="s">
        <v>1</v>
      </c>
    </row>
    <row r="100" spans="43:268" ht="18.75" customHeight="1">
      <c r="AQ100" s="230" cm="1">
        <f t="array" ref="AQ100">INDEX(AR:AR, (ROW()-ROW(AQ$91)+1)*3)</f>
        <v>92.3</v>
      </c>
      <c r="AR100" s="113" cm="1">
        <f t="array" ref="AR100">INDEX(AA:AA, (ROW()-ROW(AR$91)+1)*3)</f>
        <v>45698</v>
      </c>
      <c r="BJ100" s="230" cm="1">
        <f t="array" ref="BJ100">INDEX(BK:BK, (ROW()-ROW(BJ$100)+1)*3)</f>
        <v>92</v>
      </c>
      <c r="BK100" s="113" cm="1">
        <f t="array" ref="BK100">INDEX(AT:AT, (ROW()-ROW(BK$100)+1)*3)</f>
        <v>45717</v>
      </c>
      <c r="BL100" s="115"/>
      <c r="CC100" s="230" cm="1">
        <f t="array" ref="CC100">INDEX(CD:CD, (ROW()-ROW(CC$100)+1)*3)</f>
        <v>88.5</v>
      </c>
      <c r="CD100" s="113" cm="1">
        <f t="array" ref="CD100">INDEX(BM:BM, (ROW()-ROW(CD$100)+1)*3)</f>
        <v>45748</v>
      </c>
      <c r="CV100" s="230" cm="1">
        <f t="array" ref="CV100">INDEX(CW:CW, (ROW()-ROW(CV$100)+1)*3)</f>
        <v>85.7</v>
      </c>
      <c r="CW100" s="113" cm="1">
        <f t="array" ref="CW100">INDEX(CF:CF, (ROW()-ROW(CW$100)+1)*3)</f>
        <v>45778</v>
      </c>
      <c r="CX100" s="115"/>
      <c r="DO100" s="230" cm="1">
        <f t="array" ref="DO100">INDEX(DP:DP, (ROW()-ROW(DO$100)+1)*3)</f>
        <v>83.6</v>
      </c>
      <c r="DP100" s="113" cm="1">
        <f t="array" ref="DP100">INDEX(CY:CY, (ROW()-ROW(DP$100)+1)*3)</f>
        <v>45809</v>
      </c>
      <c r="EH100" s="230" cm="1">
        <f t="array" ref="EH100">INDEX(EI:EI, (ROW()-ROW(EH$100)+1)*3)</f>
        <v>82</v>
      </c>
      <c r="EI100" s="113" cm="1">
        <f t="array" ref="EI100">INDEX(DR:DR, (ROW()-ROW(EI$100)+1)*3)</f>
        <v>45839</v>
      </c>
      <c r="FA100" s="230" cm="1">
        <f t="array" ref="FA100">INDEX(FB:FB, (ROW()-ROW(FA$100)+1)*3)</f>
        <v>80.3</v>
      </c>
      <c r="FB100" s="113" cm="1">
        <f t="array" ref="FB100">INDEX(EK:EK, (ROW()-ROW(FB$100)+1)*3)</f>
        <v>45870</v>
      </c>
      <c r="FT100" s="230" cm="1">
        <f t="array" ref="FT100">INDEX(FU:FU, (ROW()-ROW(FT$100)+1)*3)</f>
        <v>79.599999999999994</v>
      </c>
      <c r="FU100" s="113" cm="1">
        <f t="array" ref="FU100">INDEX(FD:FD, (ROW()-ROW(FU$100)+1)*3)</f>
        <v>45901</v>
      </c>
      <c r="GP100" s="230" cm="1">
        <f t="array" ref="GP100">INDEX(GQ:GQ, (ROW()-ROW(GP$100)+1)*3)</f>
        <v>79</v>
      </c>
      <c r="GQ100" s="113" cm="1">
        <f t="array" ref="GQ100">INDEX(FW:FW, (ROW()-ROW(GQ$100)+1)*3)</f>
        <v>45931</v>
      </c>
      <c r="GR100" s="115"/>
      <c r="HL100" s="230" cm="1">
        <f t="array" ref="HL100">INDEX(HM:HM, (ROW()-ROW(HL$100)+1)*3)</f>
        <v>78.099999999999994</v>
      </c>
      <c r="HM100" s="113" cm="1">
        <f t="array" ref="HM100">INDEX(GS:GS, (ROW()-ROW(HM$100)+1)*3)</f>
        <v>45962</v>
      </c>
      <c r="HN100" s="115"/>
      <c r="IH100" s="230" cm="1">
        <f t="array" ref="IH100">INDEX(II:II, (ROW()-ROW(IH$100)+1)*3)</f>
        <v>76.8</v>
      </c>
      <c r="II100" s="113" cm="1">
        <f t="array" ref="II100">INDEX(HO:HO, (ROW()-ROW(II$100)+1)*3)</f>
        <v>45992</v>
      </c>
      <c r="JE100" s="230" cm="1">
        <f t="array" ref="JE100">INDEX(JF:JF, (ROW()-ROW(JE$100)+1)*3)</f>
        <v>76.900000000000006</v>
      </c>
      <c r="JF100" s="113" cm="1">
        <f t="array" ref="JF100">INDEX(IK:IK, (ROW()-ROW(JF$100)+1)*3)</f>
        <v>46023</v>
      </c>
    </row>
    <row r="101" spans="43:268" ht="18.75" customHeight="1">
      <c r="AQ101" s="230" cm="1">
        <f t="array" ref="AQ101">INDEX(AR:AR, (ROW()-ROW(AQ$91)+1)*3)</f>
        <v>93.2</v>
      </c>
      <c r="AR101" s="113" cm="1">
        <f t="array" ref="AR101">INDEX(AA:AA, (ROW()-ROW(AR$91)+1)*3)</f>
        <v>45699</v>
      </c>
      <c r="BJ101" s="230" cm="1">
        <f t="array" ref="BJ101">INDEX(BK:BK, (ROW()-ROW(BJ$100)+1)*3)</f>
        <v>90.8</v>
      </c>
      <c r="BK101" s="113" cm="1">
        <f t="array" ref="BK101">INDEX(AT:AT, (ROW()-ROW(BK$100)+1)*3)</f>
        <v>45718</v>
      </c>
      <c r="BL101" s="115"/>
      <c r="CC101" s="230" cm="1">
        <f t="array" ref="CC101">INDEX(CD:CD, (ROW()-ROW(CC$100)+1)*3)</f>
        <v>88</v>
      </c>
      <c r="CD101" s="113" cm="1">
        <f t="array" ref="CD101">INDEX(BM:BM, (ROW()-ROW(CD$100)+1)*3)</f>
        <v>45749</v>
      </c>
      <c r="CV101" s="230" cm="1">
        <f t="array" ref="CV101">INDEX(CW:CW, (ROW()-ROW(CV$100)+1)*3)</f>
        <v>85.5</v>
      </c>
      <c r="CW101" s="113" cm="1">
        <f t="array" ref="CW101">INDEX(CF:CF, (ROW()-ROW(CW$100)+1)*3)</f>
        <v>45779</v>
      </c>
      <c r="CX101" s="115"/>
      <c r="DO101" s="230" cm="1">
        <f t="array" ref="DO101">INDEX(DP:DP, (ROW()-ROW(DO$100)+1)*3)</f>
        <v>83.6</v>
      </c>
      <c r="DP101" s="113" cm="1">
        <f t="array" ref="DP101">INDEX(CY:CY, (ROW()-ROW(DP$100)+1)*3)</f>
        <v>45810</v>
      </c>
      <c r="EH101" s="230" cm="1">
        <f t="array" ref="EH101">INDEX(EI:EI, (ROW()-ROW(EH$100)+1)*3)</f>
        <v>82</v>
      </c>
      <c r="EI101" s="113" cm="1">
        <f t="array" ref="EI101">INDEX(DR:DR, (ROW()-ROW(EI$100)+1)*3)</f>
        <v>45840</v>
      </c>
      <c r="FA101" s="230" cm="1">
        <f t="array" ref="FA101">INDEX(FB:FB, (ROW()-ROW(FA$100)+1)*3)</f>
        <v>80.3</v>
      </c>
      <c r="FB101" s="113" cm="1">
        <f t="array" ref="FB101">INDEX(EK:EK, (ROW()-ROW(FB$100)+1)*3)</f>
        <v>45871</v>
      </c>
      <c r="FT101" s="230" cm="1">
        <f t="array" ref="FT101">INDEX(FU:FU, (ROW()-ROW(FT$100)+1)*3)</f>
        <v>79.7</v>
      </c>
      <c r="FU101" s="113" cm="1">
        <f t="array" ref="FU101">INDEX(FD:FD, (ROW()-ROW(FU$100)+1)*3)</f>
        <v>45902</v>
      </c>
      <c r="GP101" s="230" cm="1">
        <f t="array" ref="GP101">INDEX(GQ:GQ, (ROW()-ROW(GP$100)+1)*3)</f>
        <v>79</v>
      </c>
      <c r="GQ101" s="113" cm="1">
        <f t="array" ref="GQ101">INDEX(FW:FW, (ROW()-ROW(GQ$100)+1)*3)</f>
        <v>45932</v>
      </c>
      <c r="GR101" s="115"/>
      <c r="HL101" s="230" cm="1">
        <f t="array" ref="HL101">INDEX(HM:HM, (ROW()-ROW(HL$100)+1)*3)</f>
        <v>78.099999999999994</v>
      </c>
      <c r="HM101" s="113" cm="1">
        <f t="array" ref="HM101">INDEX(GS:GS, (ROW()-ROW(HM$100)+1)*3)</f>
        <v>45963</v>
      </c>
      <c r="HN101" s="115"/>
      <c r="IH101" s="230" cm="1">
        <f t="array" ref="IH101">INDEX(II:II, (ROW()-ROW(IH$100)+1)*3)</f>
        <v>78.099999999999994</v>
      </c>
      <c r="II101" s="113" cm="1">
        <f t="array" ref="II101">INDEX(HO:HO, (ROW()-ROW(II$100)+1)*3)</f>
        <v>45993</v>
      </c>
      <c r="JE101" s="230" cm="1">
        <f t="array" ref="JE101">INDEX(JF:JF, (ROW()-ROW(JE$100)+1)*3)</f>
        <v>76.900000000000006</v>
      </c>
      <c r="JF101" s="113" cm="1">
        <f t="array" ref="JF101">INDEX(IK:IK, (ROW()-ROW(JF$100)+1)*3)</f>
        <v>46024</v>
      </c>
    </row>
    <row r="102" spans="43:268" ht="18.75" customHeight="1">
      <c r="AQ102" s="230" cm="1">
        <f t="array" ref="AQ102">INDEX(AR:AR, (ROW()-ROW(AQ$91)+1)*3)</f>
        <v>92.7</v>
      </c>
      <c r="AR102" s="113" cm="1">
        <f t="array" ref="AR102">INDEX(AA:AA, (ROW()-ROW(AR$91)+1)*3)</f>
        <v>45700</v>
      </c>
      <c r="BJ102" s="230" cm="1">
        <f t="array" ref="BJ102">INDEX(BK:BK, (ROW()-ROW(BJ$100)+1)*3)</f>
        <v>90.8</v>
      </c>
      <c r="BK102" s="113" cm="1">
        <f t="array" ref="BK102">INDEX(AT:AT, (ROW()-ROW(BK$100)+1)*3)</f>
        <v>45719</v>
      </c>
      <c r="BL102" s="115"/>
      <c r="CC102" s="230" cm="1">
        <f t="array" ref="CC102">INDEX(CD:CD, (ROW()-ROW(CC$100)+1)*3)</f>
        <v>87.5</v>
      </c>
      <c r="CD102" s="113" cm="1">
        <f t="array" ref="CD102">INDEX(BM:BM, (ROW()-ROW(CD$100)+1)*3)</f>
        <v>45750</v>
      </c>
      <c r="CV102" s="230" cm="1">
        <f t="array" ref="CV102">INDEX(CW:CW, (ROW()-ROW(CV$100)+1)*3)</f>
        <v>85.8</v>
      </c>
      <c r="CW102" s="113" cm="1">
        <f t="array" ref="CW102">INDEX(CF:CF, (ROW()-ROW(CW$100)+1)*3)</f>
        <v>45780</v>
      </c>
      <c r="CX102" s="115"/>
      <c r="DO102" s="230" cm="1">
        <f t="array" ref="DO102">INDEX(DP:DP, (ROW()-ROW(DO$100)+1)*3)</f>
        <v>83.6</v>
      </c>
      <c r="DP102" s="113" cm="1">
        <f t="array" ref="DP102">INDEX(CY:CY, (ROW()-ROW(DP$100)+1)*3)</f>
        <v>45811</v>
      </c>
      <c r="EH102" s="230" cm="1">
        <f t="array" ref="EH102">INDEX(EI:EI, (ROW()-ROW(EH$100)+1)*3)</f>
        <v>82</v>
      </c>
      <c r="EI102" s="113" cm="1">
        <f t="array" ref="EI102">INDEX(DR:DR, (ROW()-ROW(EI$100)+1)*3)</f>
        <v>45841</v>
      </c>
      <c r="FA102" s="230" cm="1">
        <f t="array" ref="FA102">INDEX(FB:FB, (ROW()-ROW(FA$100)+1)*3)</f>
        <v>80.3</v>
      </c>
      <c r="FB102" s="113" cm="1">
        <f t="array" ref="FB102">INDEX(EK:EK, (ROW()-ROW(FB$100)+1)*3)</f>
        <v>45872</v>
      </c>
      <c r="FT102" s="230" cm="1">
        <f t="array" ref="FT102">INDEX(FU:FU, (ROW()-ROW(FT$100)+1)*3)</f>
        <v>79.2</v>
      </c>
      <c r="FU102" s="113" cm="1">
        <f t="array" ref="FU102">INDEX(FD:FD, (ROW()-ROW(FU$100)+1)*3)</f>
        <v>45903</v>
      </c>
      <c r="GP102" s="230" cm="1">
        <f t="array" ref="GP102">INDEX(GQ:GQ, (ROW()-ROW(GP$100)+1)*3)</f>
        <v>79</v>
      </c>
      <c r="GQ102" s="113" cm="1">
        <f t="array" ref="GQ102">INDEX(FW:FW, (ROW()-ROW(GQ$100)+1)*3)</f>
        <v>45933</v>
      </c>
      <c r="GR102" s="115"/>
      <c r="HL102" s="230" cm="1">
        <f t="array" ref="HL102">INDEX(HM:HM, (ROW()-ROW(HL$100)+1)*3)</f>
        <v>78.099999999999994</v>
      </c>
      <c r="HM102" s="113" cm="1">
        <f t="array" ref="HM102">INDEX(GS:GS, (ROW()-ROW(HM$100)+1)*3)</f>
        <v>45964</v>
      </c>
      <c r="HN102" s="115"/>
      <c r="IH102" s="230" cm="1">
        <f t="array" ref="IH102">INDEX(II:II, (ROW()-ROW(IH$100)+1)*3)</f>
        <v>78.099999999999994</v>
      </c>
      <c r="II102" s="113" cm="1">
        <f t="array" ref="II102">INDEX(HO:HO, (ROW()-ROW(II$100)+1)*3)</f>
        <v>45994</v>
      </c>
      <c r="JE102" s="230" cm="1">
        <f t="array" ref="JE102">INDEX(JF:JF, (ROW()-ROW(JE$100)+1)*3)</f>
        <v>76.900000000000006</v>
      </c>
      <c r="JF102" s="113" cm="1">
        <f t="array" ref="JF102">INDEX(IK:IK, (ROW()-ROW(JF$100)+1)*3)</f>
        <v>46025</v>
      </c>
    </row>
    <row r="103" spans="43:268" ht="18.75" customHeight="1">
      <c r="AQ103" s="230" cm="1">
        <f t="array" ref="AQ103">INDEX(AR:AR, (ROW()-ROW(AQ$91)+1)*3)</f>
        <v>92.7</v>
      </c>
      <c r="AR103" s="113" cm="1">
        <f t="array" ref="AR103">INDEX(AA:AA, (ROW()-ROW(AR$91)+1)*3)</f>
        <v>45701</v>
      </c>
      <c r="BJ103" s="230" cm="1">
        <f t="array" ref="BJ103">INDEX(BK:BK, (ROW()-ROW(BJ$100)+1)*3)</f>
        <v>91.4</v>
      </c>
      <c r="BK103" s="113" cm="1">
        <f t="array" ref="BK103">INDEX(AT:AT, (ROW()-ROW(BK$100)+1)*3)</f>
        <v>45720</v>
      </c>
      <c r="BL103" s="115"/>
      <c r="CC103" s="230" cm="1">
        <f t="array" ref="CC103">INDEX(CD:CD, (ROW()-ROW(CC$100)+1)*3)</f>
        <v>87.5</v>
      </c>
      <c r="CD103" s="113" cm="1">
        <f t="array" ref="CD103">INDEX(BM:BM, (ROW()-ROW(CD$100)+1)*3)</f>
        <v>45751</v>
      </c>
      <c r="CV103" s="230" cm="1">
        <f t="array" ref="CV103">INDEX(CW:CW, (ROW()-ROW(CV$100)+1)*3)</f>
        <v>85.7</v>
      </c>
      <c r="CW103" s="113" cm="1">
        <f t="array" ref="CW103">INDEX(CF:CF, (ROW()-ROW(CW$100)+1)*3)</f>
        <v>45781</v>
      </c>
      <c r="CX103" s="115"/>
      <c r="DO103" s="230" cm="1">
        <f t="array" ref="DO103">INDEX(DP:DP, (ROW()-ROW(DO$100)+1)*3)</f>
        <v>83.3</v>
      </c>
      <c r="DP103" s="113" cm="1">
        <f t="array" ref="DP103">INDEX(CY:CY, (ROW()-ROW(DP$100)+1)*3)</f>
        <v>45812</v>
      </c>
      <c r="EH103" s="230" cm="1">
        <f t="array" ref="EH103">INDEX(EI:EI, (ROW()-ROW(EH$100)+1)*3)</f>
        <v>82</v>
      </c>
      <c r="EI103" s="113" cm="1">
        <f t="array" ref="EI103">INDEX(DR:DR, (ROW()-ROW(EI$100)+1)*3)</f>
        <v>45842</v>
      </c>
      <c r="FA103" s="230" cm="1">
        <f t="array" ref="FA103">INDEX(FB:FB, (ROW()-ROW(FA$100)+1)*3)</f>
        <v>79.099999999999994</v>
      </c>
      <c r="FB103" s="113" cm="1">
        <f t="array" ref="FB103">INDEX(EK:EK, (ROW()-ROW(FB$100)+1)*3)</f>
        <v>45873</v>
      </c>
      <c r="FT103" s="230" cm="1">
        <f t="array" ref="FT103">INDEX(FU:FU, (ROW()-ROW(FT$100)+1)*3)</f>
        <v>79.2</v>
      </c>
      <c r="FU103" s="113" cm="1">
        <f t="array" ref="FU103">INDEX(FD:FD, (ROW()-ROW(FU$100)+1)*3)</f>
        <v>45904</v>
      </c>
      <c r="GP103" s="230" cm="1">
        <f t="array" ref="GP103">INDEX(GQ:GQ, (ROW()-ROW(GP$100)+1)*3)</f>
        <v>78.5</v>
      </c>
      <c r="GQ103" s="113" cm="1">
        <f t="array" ref="GQ103">INDEX(FW:FW, (ROW()-ROW(GQ$100)+1)*3)</f>
        <v>45934</v>
      </c>
      <c r="GR103" s="115"/>
      <c r="HL103" s="230" cm="1">
        <f t="array" ref="HL103">INDEX(HM:HM, (ROW()-ROW(HL$100)+1)*3)</f>
        <v>79</v>
      </c>
      <c r="HM103" s="113" cm="1">
        <f t="array" ref="HM103">INDEX(GS:GS, (ROW()-ROW(HM$100)+1)*3)</f>
        <v>45965</v>
      </c>
      <c r="HN103" s="115"/>
      <c r="IH103" s="230" cm="1">
        <f t="array" ref="IH103">INDEX(II:II, (ROW()-ROW(IH$100)+1)*3)</f>
        <v>77.3</v>
      </c>
      <c r="II103" s="113" cm="1">
        <f t="array" ref="II103">INDEX(HO:HO, (ROW()-ROW(II$100)+1)*3)</f>
        <v>45995</v>
      </c>
      <c r="JE103" s="230" cm="1">
        <f t="array" ref="JE103">INDEX(JF:JF, (ROW()-ROW(JE$100)+1)*3)</f>
        <v>76.900000000000006</v>
      </c>
      <c r="JF103" s="113" cm="1">
        <f t="array" ref="JF103">INDEX(IK:IK, (ROW()-ROW(JF$100)+1)*3)</f>
        <v>46026</v>
      </c>
    </row>
    <row r="104" spans="43:268" ht="18.75" customHeight="1">
      <c r="AQ104" s="230" cm="1">
        <f t="array" ref="AQ104">INDEX(AR:AR, (ROW()-ROW(AQ$91)+1)*3)</f>
        <v>92.7</v>
      </c>
      <c r="AR104" s="113" cm="1">
        <f t="array" ref="AR104">INDEX(AA:AA, (ROW()-ROW(AR$91)+1)*3)</f>
        <v>45702</v>
      </c>
      <c r="BJ104" s="230" cm="1">
        <f t="array" ref="BJ104">INDEX(BK:BK, (ROW()-ROW(BJ$100)+1)*3)</f>
        <v>91.4</v>
      </c>
      <c r="BK104" s="113" cm="1">
        <f t="array" ref="BK104">INDEX(AT:AT, (ROW()-ROW(BK$100)+1)*3)</f>
        <v>45721</v>
      </c>
      <c r="BL104" s="115"/>
      <c r="CC104" s="230" cm="1">
        <f t="array" ref="CC104">INDEX(CD:CD, (ROW()-ROW(CC$100)+1)*3)</f>
        <v>87.7</v>
      </c>
      <c r="CD104" s="113" cm="1">
        <f t="array" ref="CD104">INDEX(BM:BM, (ROW()-ROW(CD$100)+1)*3)</f>
        <v>45752</v>
      </c>
      <c r="CV104" s="230" cm="1">
        <f t="array" ref="CV104">INDEX(CW:CW, (ROW()-ROW(CV$100)+1)*3)</f>
        <v>85.7</v>
      </c>
      <c r="CW104" s="113" cm="1">
        <f t="array" ref="CW104">INDEX(CF:CF, (ROW()-ROW(CW$100)+1)*3)</f>
        <v>45782</v>
      </c>
      <c r="CX104" s="115"/>
      <c r="DO104" s="230" cm="1">
        <f t="array" ref="DO104">INDEX(DP:DP, (ROW()-ROW(DO$100)+1)*3)</f>
        <v>83.3</v>
      </c>
      <c r="DP104" s="113" cm="1">
        <f t="array" ref="DP104">INDEX(CY:CY, (ROW()-ROW(DP$100)+1)*3)</f>
        <v>45813</v>
      </c>
      <c r="EH104" s="230" cm="1">
        <f t="array" ref="EH104">INDEX(EI:EI, (ROW()-ROW(EH$100)+1)*3)</f>
        <v>81.900000000000006</v>
      </c>
      <c r="EI104" s="113" cm="1">
        <f t="array" ref="EI104">INDEX(DR:DR, (ROW()-ROW(EI$100)+1)*3)</f>
        <v>45843</v>
      </c>
      <c r="FA104" s="230" cm="1">
        <f t="array" ref="FA104">INDEX(FB:FB, (ROW()-ROW(FA$100)+1)*3)</f>
        <v>79</v>
      </c>
      <c r="FB104" s="113" cm="1">
        <f t="array" ref="FB104">INDEX(EK:EK, (ROW()-ROW(FB$100)+1)*3)</f>
        <v>45874</v>
      </c>
      <c r="FT104" s="230" cm="1">
        <f t="array" ref="FT104">INDEX(FU:FU, (ROW()-ROW(FT$100)+1)*3)</f>
        <v>79.3</v>
      </c>
      <c r="FU104" s="113" cm="1">
        <f t="array" ref="FU104">INDEX(FD:FD, (ROW()-ROW(FU$100)+1)*3)</f>
        <v>45905</v>
      </c>
      <c r="GP104" s="230" cm="1">
        <f t="array" ref="GP104">INDEX(GQ:GQ, (ROW()-ROW(GP$100)+1)*3)</f>
        <v>78</v>
      </c>
      <c r="GQ104" s="113" cm="1">
        <f t="array" ref="GQ104">INDEX(FW:FW, (ROW()-ROW(GQ$100)+1)*3)</f>
        <v>45935</v>
      </c>
      <c r="GR104" s="115"/>
      <c r="HL104" s="230" cm="1">
        <f t="array" ref="HL104">INDEX(HM:HM, (ROW()-ROW(HL$100)+1)*3)</f>
        <v>79</v>
      </c>
      <c r="HM104" s="113" cm="1">
        <f t="array" ref="HM104">INDEX(GS:GS, (ROW()-ROW(HM$100)+1)*3)</f>
        <v>45966</v>
      </c>
      <c r="HN104" s="115"/>
      <c r="IH104" s="230" cm="1">
        <f t="array" ref="IH104">INDEX(II:II, (ROW()-ROW(IH$100)+1)*3)</f>
        <v>77.3</v>
      </c>
      <c r="II104" s="113" cm="1">
        <f t="array" ref="II104">INDEX(HO:HO, (ROW()-ROW(II$100)+1)*3)</f>
        <v>45996</v>
      </c>
      <c r="JE104" s="230" cm="1">
        <f t="array" ref="JE104">INDEX(JF:JF, (ROW()-ROW(JE$100)+1)*3)</f>
        <v>77.400000000000006</v>
      </c>
      <c r="JF104" s="113" cm="1">
        <f t="array" ref="JF104">INDEX(IK:IK, (ROW()-ROW(JF$100)+1)*3)</f>
        <v>46027</v>
      </c>
    </row>
    <row r="105" spans="43:268" ht="18.75" customHeight="1">
      <c r="AQ105" s="230" cm="1">
        <f t="array" ref="AQ105">INDEX(AR:AR, (ROW()-ROW(AQ$91)+1)*3)</f>
        <v>92.7</v>
      </c>
      <c r="AR105" s="113" cm="1">
        <f t="array" ref="AR105">INDEX(AA:AA, (ROW()-ROW(AR$91)+1)*3)</f>
        <v>45703</v>
      </c>
      <c r="BJ105" s="230" cm="1">
        <f t="array" ref="BJ105">INDEX(BK:BK, (ROW()-ROW(BJ$100)+1)*3)</f>
        <v>91.6</v>
      </c>
      <c r="BK105" s="113" cm="1">
        <f t="array" ref="BK105">INDEX(AT:AT, (ROW()-ROW(BK$100)+1)*3)</f>
        <v>45722</v>
      </c>
      <c r="BL105" s="115"/>
      <c r="CC105" s="230" cm="1">
        <f t="array" ref="CC105">INDEX(CD:CD, (ROW()-ROW(CC$100)+1)*3)</f>
        <v>88.4</v>
      </c>
      <c r="CD105" s="113" cm="1">
        <f t="array" ref="CD105">INDEX(BM:BM, (ROW()-ROW(CD$100)+1)*3)</f>
        <v>45753</v>
      </c>
      <c r="CV105" s="230" cm="1">
        <f t="array" ref="CV105">INDEX(CW:CW, (ROW()-ROW(CV$100)+1)*3)</f>
        <v>85.6</v>
      </c>
      <c r="CW105" s="113" cm="1">
        <f t="array" ref="CW105">INDEX(CF:CF, (ROW()-ROW(CW$100)+1)*3)</f>
        <v>45783</v>
      </c>
      <c r="CX105" s="115"/>
      <c r="DO105" s="230" cm="1">
        <f t="array" ref="DO105">INDEX(DP:DP, (ROW()-ROW(DO$100)+1)*3)</f>
        <v>83.3</v>
      </c>
      <c r="DP105" s="113" cm="1">
        <f t="array" ref="DP105">INDEX(CY:CY, (ROW()-ROW(DP$100)+1)*3)</f>
        <v>45814</v>
      </c>
      <c r="EH105" s="230" cm="1">
        <f t="array" ref="EH105">INDEX(EI:EI, (ROW()-ROW(EH$100)+1)*3)</f>
        <v>81.400000000000006</v>
      </c>
      <c r="EI105" s="113" cm="1">
        <f t="array" ref="EI105">INDEX(DR:DR, (ROW()-ROW(EI$100)+1)*3)</f>
        <v>45844</v>
      </c>
      <c r="FA105" s="230" cm="1">
        <f t="array" ref="FA105">INDEX(FB:FB, (ROW()-ROW(FA$100)+1)*3)</f>
        <v>79</v>
      </c>
      <c r="FB105" s="113" cm="1">
        <f t="array" ref="FB105">INDEX(EK:EK, (ROW()-ROW(FB$100)+1)*3)</f>
        <v>45875</v>
      </c>
      <c r="FT105" s="230" cm="1">
        <f t="array" ref="FT105">INDEX(FU:FU, (ROW()-ROW(FT$100)+1)*3)</f>
        <v>79.3</v>
      </c>
      <c r="FU105" s="113" cm="1">
        <f t="array" ref="FU105">INDEX(FD:FD, (ROW()-ROW(FU$100)+1)*3)</f>
        <v>45906</v>
      </c>
      <c r="GP105" s="230" cm="1">
        <f t="array" ref="GP105">INDEX(GQ:GQ, (ROW()-ROW(GP$100)+1)*3)</f>
        <v>78.099999999999994</v>
      </c>
      <c r="GQ105" s="113" cm="1">
        <f t="array" ref="GQ105">INDEX(FW:FW, (ROW()-ROW(GQ$100)+1)*3)</f>
        <v>45936</v>
      </c>
      <c r="GR105" s="115"/>
      <c r="HL105" s="230" cm="1">
        <f t="array" ref="HL105">INDEX(HM:HM, (ROW()-ROW(HL$100)+1)*3)</f>
        <v>79</v>
      </c>
      <c r="HM105" s="113" cm="1">
        <f t="array" ref="HM105">INDEX(GS:GS, (ROW()-ROW(HM$100)+1)*3)</f>
        <v>45967</v>
      </c>
      <c r="HN105" s="115"/>
      <c r="IH105" s="230" cm="1">
        <f t="array" ref="IH105">INDEX(II:II, (ROW()-ROW(IH$100)+1)*3)</f>
        <v>78.099999999999994</v>
      </c>
      <c r="II105" s="113" cm="1">
        <f t="array" ref="II105">INDEX(HO:HO, (ROW()-ROW(II$100)+1)*3)</f>
        <v>45997</v>
      </c>
      <c r="JE105" s="230" cm="1">
        <f t="array" ref="JE105">INDEX(JF:JF, (ROW()-ROW(JE$100)+1)*3)</f>
        <v>77.400000000000006</v>
      </c>
      <c r="JF105" s="113" cm="1">
        <f t="array" ref="JF105">INDEX(IK:IK, (ROW()-ROW(JF$100)+1)*3)</f>
        <v>46028</v>
      </c>
    </row>
    <row r="106" spans="43:268" ht="18.75" customHeight="1">
      <c r="AQ106" s="230" cm="1">
        <f t="array" ref="AQ106">INDEX(AR:AR, (ROW()-ROW(AQ$91)+1)*3)</f>
        <v>91.9</v>
      </c>
      <c r="AR106" s="113" cm="1">
        <f t="array" ref="AR106">INDEX(AA:AA, (ROW()-ROW(AR$91)+1)*3)</f>
        <v>45704</v>
      </c>
      <c r="BJ106" s="230" cm="1">
        <f t="array" ref="BJ106">INDEX(BK:BK, (ROW()-ROW(BJ$100)+1)*3)</f>
        <v>91.9</v>
      </c>
      <c r="BK106" s="113" cm="1">
        <f t="array" ref="BK106">INDEX(AT:AT, (ROW()-ROW(BK$100)+1)*3)</f>
        <v>45723</v>
      </c>
      <c r="BL106" s="115"/>
      <c r="CC106" s="230" cm="1">
        <f t="array" ref="CC106">INDEX(CD:CD, (ROW()-ROW(CC$100)+1)*3)</f>
        <v>88.4</v>
      </c>
      <c r="CD106" s="113" cm="1">
        <f t="array" ref="CD106">INDEX(BM:BM, (ROW()-ROW(CD$100)+1)*3)</f>
        <v>45754</v>
      </c>
      <c r="CV106" s="230" cm="1">
        <f t="array" ref="CV106">INDEX(CW:CW, (ROW()-ROW(CV$100)+1)*3)</f>
        <v>85.5</v>
      </c>
      <c r="CW106" s="113" cm="1">
        <f t="array" ref="CW106">INDEX(CF:CF, (ROW()-ROW(CW$100)+1)*3)</f>
        <v>45784</v>
      </c>
      <c r="CX106" s="115"/>
      <c r="DO106" s="230" cm="1">
        <f t="array" ref="DO106">INDEX(DP:DP, (ROW()-ROW(DO$100)+1)*3)</f>
        <v>83.3</v>
      </c>
      <c r="DP106" s="113" cm="1">
        <f t="array" ref="DP106">INDEX(CY:CY, (ROW()-ROW(DP$100)+1)*3)</f>
        <v>45815</v>
      </c>
      <c r="EH106" s="230" cm="1">
        <f t="array" ref="EH106">INDEX(EI:EI, (ROW()-ROW(EH$100)+1)*3)</f>
        <v>82</v>
      </c>
      <c r="EI106" s="113" cm="1">
        <f t="array" ref="EI106">INDEX(DR:DR, (ROW()-ROW(EI$100)+1)*3)</f>
        <v>45845</v>
      </c>
      <c r="FA106" s="230" cm="1">
        <f t="array" ref="FA106">INDEX(FB:FB, (ROW()-ROW(FA$100)+1)*3)</f>
        <v>79</v>
      </c>
      <c r="FB106" s="113" cm="1">
        <f t="array" ref="FB106">INDEX(EK:EK, (ROW()-ROW(FB$100)+1)*3)</f>
        <v>45876</v>
      </c>
      <c r="FT106" s="230" cm="1">
        <f t="array" ref="FT106">INDEX(FU:FU, (ROW()-ROW(FT$100)+1)*3)</f>
        <v>78.900000000000006</v>
      </c>
      <c r="FU106" s="113" cm="1">
        <f t="array" ref="FU106">INDEX(FD:FD, (ROW()-ROW(FU$100)+1)*3)</f>
        <v>45907</v>
      </c>
      <c r="GP106" s="230" cm="1">
        <f t="array" ref="GP106">INDEX(GQ:GQ, (ROW()-ROW(GP$100)+1)*3)</f>
        <v>79.3</v>
      </c>
      <c r="GQ106" s="113" cm="1">
        <f t="array" ref="GQ106">INDEX(FW:FW, (ROW()-ROW(GQ$100)+1)*3)</f>
        <v>45937</v>
      </c>
      <c r="GR106" s="115"/>
      <c r="HL106" s="230" cm="1">
        <f t="array" ref="HL106">INDEX(HM:HM, (ROW()-ROW(HL$100)+1)*3)</f>
        <v>79</v>
      </c>
      <c r="HM106" s="113" cm="1">
        <f t="array" ref="HM106">INDEX(GS:GS, (ROW()-ROW(HM$100)+1)*3)</f>
        <v>45968</v>
      </c>
      <c r="HN106" s="115"/>
      <c r="IH106" s="230" cm="1">
        <f t="array" ref="IH106">INDEX(II:II, (ROW()-ROW(IH$100)+1)*3)</f>
        <v>77.599999999999994</v>
      </c>
      <c r="II106" s="113" cm="1">
        <f t="array" ref="II106">INDEX(HO:HO, (ROW()-ROW(II$100)+1)*3)</f>
        <v>45998</v>
      </c>
      <c r="JE106" s="230" cm="1">
        <f t="array" ref="JE106">INDEX(JF:JF, (ROW()-ROW(JE$100)+1)*3)</f>
        <v>77.099999999999994</v>
      </c>
      <c r="JF106" s="113" cm="1">
        <f t="array" ref="JF106">INDEX(IK:IK, (ROW()-ROW(JF$100)+1)*3)</f>
        <v>46029</v>
      </c>
      <c r="JH106" s="111"/>
    </row>
    <row r="107" spans="43:268" ht="18.75" customHeight="1">
      <c r="AQ107" s="230" cm="1">
        <f t="array" ref="AQ107">INDEX(AR:AR, (ROW()-ROW(AQ$91)+1)*3)</f>
        <v>92.6</v>
      </c>
      <c r="AR107" s="113" cm="1">
        <f t="array" ref="AR107">INDEX(AA:AA, (ROW()-ROW(AR$91)+1)*3)</f>
        <v>45705</v>
      </c>
      <c r="BJ107" s="230" cm="1">
        <f t="array" ref="BJ107">INDEX(BK:BK, (ROW()-ROW(BJ$100)+1)*3)</f>
        <v>89.9</v>
      </c>
      <c r="BK107" s="113" cm="1">
        <f t="array" ref="BK107">INDEX(AT:AT, (ROW()-ROW(BK$100)+1)*3)</f>
        <v>45724</v>
      </c>
      <c r="BL107" s="115"/>
      <c r="CC107" s="230" cm="1">
        <f t="array" ref="CC107">INDEX(CD:CD, (ROW()-ROW(CC$100)+1)*3)</f>
        <v>87.8</v>
      </c>
      <c r="CD107" s="113" cm="1">
        <f t="array" ref="CD107">INDEX(BM:BM, (ROW()-ROW(CD$100)+1)*3)</f>
        <v>45755</v>
      </c>
      <c r="CV107" s="230" cm="1">
        <f t="array" ref="CV107">INDEX(CW:CW, (ROW()-ROW(CV$100)+1)*3)</f>
        <v>85.5</v>
      </c>
      <c r="CW107" s="113" cm="1">
        <f t="array" ref="CW107">INDEX(CF:CF, (ROW()-ROW(CW$100)+1)*3)</f>
        <v>45785</v>
      </c>
      <c r="CX107" s="115"/>
      <c r="DO107" s="230" cm="1">
        <f t="array" ref="DO107">INDEX(DP:DP, (ROW()-ROW(DO$100)+1)*3)</f>
        <v>83.4</v>
      </c>
      <c r="DP107" s="113" cm="1">
        <f t="array" ref="DP107">INDEX(CY:CY, (ROW()-ROW(DP$100)+1)*3)</f>
        <v>45816</v>
      </c>
      <c r="EH107" s="230" cm="1">
        <f t="array" ref="EH107">INDEX(EI:EI, (ROW()-ROW(EH$100)+1)*3)</f>
        <v>81.7</v>
      </c>
      <c r="EI107" s="113" cm="1">
        <f t="array" ref="EI107">INDEX(DR:DR, (ROW()-ROW(EI$100)+1)*3)</f>
        <v>45846</v>
      </c>
      <c r="FA107" s="230" cm="1">
        <f t="array" ref="FA107">INDEX(FB:FB, (ROW()-ROW(FA$100)+1)*3)</f>
        <v>81</v>
      </c>
      <c r="FB107" s="113" cm="1">
        <f t="array" ref="FB107">INDEX(EK:EK, (ROW()-ROW(FB$100)+1)*3)</f>
        <v>45877</v>
      </c>
      <c r="FT107" s="230" cm="1">
        <f t="array" ref="FT107">INDEX(FU:FU, (ROW()-ROW(FT$100)+1)*3)</f>
        <v>79</v>
      </c>
      <c r="FU107" s="113" cm="1">
        <f t="array" ref="FU107">INDEX(FD:FD, (ROW()-ROW(FU$100)+1)*3)</f>
        <v>45908</v>
      </c>
      <c r="GP107" s="230" cm="1">
        <f t="array" ref="GP107">INDEX(GQ:GQ, (ROW()-ROW(GP$100)+1)*3)</f>
        <v>79.3</v>
      </c>
      <c r="GQ107" s="113" cm="1">
        <f t="array" ref="GQ107">INDEX(FW:FW, (ROW()-ROW(GQ$100)+1)*3)</f>
        <v>45938</v>
      </c>
      <c r="GR107" s="115"/>
      <c r="HL107" s="230" cm="1">
        <f t="array" ref="HL107">INDEX(HM:HM, (ROW()-ROW(HL$100)+1)*3)</f>
        <v>79</v>
      </c>
      <c r="HM107" s="113" cm="1">
        <f t="array" ref="HM107">INDEX(GS:GS, (ROW()-ROW(HM$100)+1)*3)</f>
        <v>45969</v>
      </c>
      <c r="HN107" s="115"/>
      <c r="IH107" s="230" cm="1">
        <f t="array" ref="IH107">INDEX(II:II, (ROW()-ROW(IH$100)+1)*3)</f>
        <v>78.3</v>
      </c>
      <c r="II107" s="113" cm="1">
        <f t="array" ref="II107">INDEX(HO:HO, (ROW()-ROW(II$100)+1)*3)</f>
        <v>45999</v>
      </c>
      <c r="JE107" s="230" cm="1">
        <f t="array" ref="JE107">INDEX(JF:JF, (ROW()-ROW(JE$100)+1)*3)</f>
        <v>77.099999999999994</v>
      </c>
      <c r="JF107" s="113" cm="1">
        <f t="array" ref="JF107">INDEX(IK:IK, (ROW()-ROW(JF$100)+1)*3)</f>
        <v>46030</v>
      </c>
    </row>
    <row r="108" spans="43:268" ht="18.75" customHeight="1">
      <c r="AQ108" s="230" cm="1">
        <f t="array" ref="AQ108">INDEX(AR:AR, (ROW()-ROW(AQ$91)+1)*3)</f>
        <v>92.8</v>
      </c>
      <c r="AR108" s="113" cm="1">
        <f t="array" ref="AR108">INDEX(AA:AA, (ROW()-ROW(AR$91)+1)*3)</f>
        <v>45706</v>
      </c>
      <c r="BJ108" s="230" cm="1">
        <f t="array" ref="BJ108">INDEX(BK:BK, (ROW()-ROW(BJ$100)+1)*3)</f>
        <v>89.8</v>
      </c>
      <c r="BK108" s="113" cm="1">
        <f t="array" ref="BK108">INDEX(AT:AT, (ROW()-ROW(BK$100)+1)*3)</f>
        <v>45725</v>
      </c>
      <c r="BL108" s="115"/>
      <c r="CC108" s="230" cm="1">
        <f t="array" ref="CC108">INDEX(CD:CD, (ROW()-ROW(CC$100)+1)*3)</f>
        <v>87.8</v>
      </c>
      <c r="CD108" s="113" cm="1">
        <f t="array" ref="CD108">INDEX(BM:BM, (ROW()-ROW(CD$100)+1)*3)</f>
        <v>45756</v>
      </c>
      <c r="CV108" s="230" cm="1">
        <f t="array" ref="CV108">INDEX(CW:CW, (ROW()-ROW(CV$100)+1)*3)</f>
        <v>85.5</v>
      </c>
      <c r="CW108" s="113" cm="1">
        <f t="array" ref="CW108">INDEX(CF:CF, (ROW()-ROW(CW$100)+1)*3)</f>
        <v>45786</v>
      </c>
      <c r="CX108" s="115"/>
      <c r="DO108" s="230" cm="1">
        <f t="array" ref="DO108">INDEX(DP:DP, (ROW()-ROW(DO$100)+1)*3)</f>
        <v>84</v>
      </c>
      <c r="DP108" s="113" cm="1">
        <f t="array" ref="DP108">INDEX(CY:CY, (ROW()-ROW(DP$100)+1)*3)</f>
        <v>45817</v>
      </c>
      <c r="EH108" s="230" cm="1">
        <f t="array" ref="EH108">INDEX(EI:EI, (ROW()-ROW(EH$100)+1)*3)</f>
        <v>81.7</v>
      </c>
      <c r="EI108" s="113" cm="1">
        <f t="array" ref="EI108">INDEX(DR:DR, (ROW()-ROW(EI$100)+1)*3)</f>
        <v>45847</v>
      </c>
      <c r="FA108" s="230" cm="1">
        <f t="array" ref="FA108">INDEX(FB:FB, (ROW()-ROW(FA$100)+1)*3)</f>
        <v>81</v>
      </c>
      <c r="FB108" s="113" cm="1">
        <f t="array" ref="FB108">INDEX(EK:EK, (ROW()-ROW(FB$100)+1)*3)</f>
        <v>45878</v>
      </c>
      <c r="FT108" s="230" cm="1">
        <f t="array" ref="FT108">INDEX(FU:FU, (ROW()-ROW(FT$100)+1)*3)</f>
        <v>78.7</v>
      </c>
      <c r="FU108" s="113" cm="1">
        <f t="array" ref="FU108">INDEX(FD:FD, (ROW()-ROW(FU$100)+1)*3)</f>
        <v>45909</v>
      </c>
      <c r="GP108" s="230" cm="1">
        <f t="array" ref="GP108">INDEX(GQ:GQ, (ROW()-ROW(GP$100)+1)*3)</f>
        <v>79.400000000000006</v>
      </c>
      <c r="GQ108" s="113" cm="1">
        <f t="array" ref="GQ108">INDEX(FW:FW, (ROW()-ROW(GQ$100)+1)*3)</f>
        <v>45939</v>
      </c>
      <c r="GR108" s="115"/>
      <c r="HL108" s="230" cm="1">
        <f t="array" ref="HL108">INDEX(HM:HM, (ROW()-ROW(HL$100)+1)*3)</f>
        <v>78.099999999999994</v>
      </c>
      <c r="HM108" s="113" cm="1">
        <f t="array" ref="HM108">INDEX(GS:GS, (ROW()-ROW(HM$100)+1)*3)</f>
        <v>45970</v>
      </c>
      <c r="HN108" s="115"/>
      <c r="IH108" s="230" cm="1">
        <f t="array" ref="IH108">INDEX(II:II, (ROW()-ROW(IH$100)+1)*3)</f>
        <v>78.099999999999994</v>
      </c>
      <c r="II108" s="113" cm="1">
        <f t="array" ref="II108">INDEX(HO:HO, (ROW()-ROW(II$100)+1)*3)</f>
        <v>46000</v>
      </c>
      <c r="JE108" s="230" cm="1">
        <f t="array" ref="JE108">INDEX(JF:JF, (ROW()-ROW(JE$100)+1)*3)</f>
        <v>76.7</v>
      </c>
      <c r="JF108" s="113" cm="1">
        <f t="array" ref="JF108">INDEX(IK:IK, (ROW()-ROW(JF$100)+1)*3)</f>
        <v>46031</v>
      </c>
    </row>
    <row r="109" spans="43:268" ht="18.75" customHeight="1">
      <c r="AQ109" s="230" cm="1">
        <f t="array" ref="AQ109">INDEX(AR:AR, (ROW()-ROW(AQ$91)+1)*3)</f>
        <v>92.8</v>
      </c>
      <c r="AR109" s="113" cm="1">
        <f t="array" ref="AR109">INDEX(AA:AA, (ROW()-ROW(AR$91)+1)*3)</f>
        <v>45707</v>
      </c>
      <c r="BJ109" s="230" cm="1">
        <f t="array" ref="BJ109">INDEX(BK:BK, (ROW()-ROW(BJ$100)+1)*3)</f>
        <v>90.3</v>
      </c>
      <c r="BK109" s="113" cm="1">
        <f t="array" ref="BK109">INDEX(AT:AT, (ROW()-ROW(BK$100)+1)*3)</f>
        <v>45726</v>
      </c>
      <c r="BL109" s="115"/>
      <c r="CC109" s="230" cm="1">
        <f t="array" ref="CC109">INDEX(CD:CD, (ROW()-ROW(CC$100)+1)*3)</f>
        <v>87.8</v>
      </c>
      <c r="CD109" s="113" cm="1">
        <f t="array" ref="CD109">INDEX(BM:BM, (ROW()-ROW(CD$100)+1)*3)</f>
        <v>45757</v>
      </c>
      <c r="CV109" s="230" cm="1">
        <f t="array" ref="CV109">INDEX(CW:CW, (ROW()-ROW(CV$100)+1)*3)</f>
        <v>84.8</v>
      </c>
      <c r="CW109" s="113" cm="1">
        <f t="array" ref="CW109">INDEX(CF:CF, (ROW()-ROW(CW$100)+1)*3)</f>
        <v>45787</v>
      </c>
      <c r="CX109" s="115"/>
      <c r="DO109" s="230" cm="1">
        <f t="array" ref="DO109">INDEX(DP:DP, (ROW()-ROW(DO$100)+1)*3)</f>
        <v>83.4</v>
      </c>
      <c r="DP109" s="113" cm="1">
        <f t="array" ref="DP109">INDEX(CY:CY, (ROW()-ROW(DP$100)+1)*3)</f>
        <v>45818</v>
      </c>
      <c r="EH109" s="230" cm="1">
        <f t="array" ref="EH109">INDEX(EI:EI, (ROW()-ROW(EH$100)+1)*3)</f>
        <v>81.7</v>
      </c>
      <c r="EI109" s="113" cm="1">
        <f t="array" ref="EI109">INDEX(DR:DR, (ROW()-ROW(EI$100)+1)*3)</f>
        <v>45848</v>
      </c>
      <c r="FA109" s="230" cm="1">
        <f t="array" ref="FA109">INDEX(FB:FB, (ROW()-ROW(FA$100)+1)*3)</f>
        <v>80.599999999999994</v>
      </c>
      <c r="FB109" s="113" cm="1">
        <f t="array" ref="FB109">INDEX(EK:EK, (ROW()-ROW(FB$100)+1)*3)</f>
        <v>45879</v>
      </c>
      <c r="FT109" s="230" cm="1">
        <f t="array" ref="FT109">INDEX(FU:FU, (ROW()-ROW(FT$100)+1)*3)</f>
        <v>78.7</v>
      </c>
      <c r="FU109" s="113" cm="1">
        <f t="array" ref="FU109">INDEX(FD:FD, (ROW()-ROW(FU$100)+1)*3)</f>
        <v>45910</v>
      </c>
      <c r="GP109" s="230" cm="1">
        <f t="array" ref="GP109">INDEX(GQ:GQ, (ROW()-ROW(GP$100)+1)*3)</f>
        <v>79.400000000000006</v>
      </c>
      <c r="GQ109" s="113" cm="1">
        <f t="array" ref="GQ109">INDEX(FW:FW, (ROW()-ROW(GQ$100)+1)*3)</f>
        <v>45940</v>
      </c>
      <c r="GR109" s="115"/>
      <c r="HL109" s="230" cm="1">
        <f t="array" ref="HL109">INDEX(HM:HM, (ROW()-ROW(HL$100)+1)*3)</f>
        <v>78.099999999999994</v>
      </c>
      <c r="HM109" s="113" cm="1">
        <f t="array" ref="HM109">INDEX(GS:GS, (ROW()-ROW(HM$100)+1)*3)</f>
        <v>45971</v>
      </c>
      <c r="HN109" s="115"/>
      <c r="IH109" s="230" cm="1">
        <f t="array" ref="IH109">INDEX(II:II, (ROW()-ROW(IH$100)+1)*3)</f>
        <v>78.2</v>
      </c>
      <c r="II109" s="113" cm="1">
        <f t="array" ref="II109">INDEX(HO:HO, (ROW()-ROW(II$100)+1)*3)</f>
        <v>46001</v>
      </c>
      <c r="JE109" s="230" cm="1">
        <f t="array" ref="JE109">INDEX(JF:JF, (ROW()-ROW(JE$100)+1)*3)</f>
        <v>76.7</v>
      </c>
      <c r="JF109" s="113" cm="1">
        <f t="array" ref="JF109">INDEX(IK:IK, (ROW()-ROW(JF$100)+1)*3)</f>
        <v>46032</v>
      </c>
    </row>
    <row r="110" spans="43:268" ht="18.75" customHeight="1">
      <c r="AQ110" s="230" cm="1">
        <f t="array" ref="AQ110">INDEX(AR:AR, (ROW()-ROW(AQ$91)+1)*3)</f>
        <v>92.8</v>
      </c>
      <c r="AR110" s="113" cm="1">
        <f t="array" ref="AR110">INDEX(AA:AA, (ROW()-ROW(AR$91)+1)*3)</f>
        <v>45708</v>
      </c>
      <c r="BJ110" s="230" cm="1">
        <f t="array" ref="BJ110">INDEX(BK:BK, (ROW()-ROW(BJ$100)+1)*3)</f>
        <v>89.9</v>
      </c>
      <c r="BK110" s="113" cm="1">
        <f t="array" ref="BK110">INDEX(AT:AT, (ROW()-ROW(BK$100)+1)*3)</f>
        <v>45727</v>
      </c>
      <c r="BL110" s="115"/>
      <c r="CC110" s="230" cm="1">
        <f t="array" ref="CC110">INDEX(CD:CD, (ROW()-ROW(CC$100)+1)*3)</f>
        <v>87.7</v>
      </c>
      <c r="CD110" s="113" cm="1">
        <f t="array" ref="CD110">INDEX(BM:BM, (ROW()-ROW(CD$100)+1)*3)</f>
        <v>45758</v>
      </c>
      <c r="CV110" s="230" cm="1">
        <f t="array" ref="CV110">INDEX(CW:CW, (ROW()-ROW(CV$100)+1)*3)</f>
        <v>85.1</v>
      </c>
      <c r="CW110" s="113" cm="1">
        <f t="array" ref="CW110">INDEX(CF:CF, (ROW()-ROW(CW$100)+1)*3)</f>
        <v>45788</v>
      </c>
      <c r="CX110" s="115"/>
      <c r="DO110" s="230" cm="1">
        <f t="array" ref="DO110">INDEX(DP:DP, (ROW()-ROW(DO$100)+1)*3)</f>
        <v>83.4</v>
      </c>
      <c r="DP110" s="113" cm="1">
        <f t="array" ref="DP110">INDEX(CY:CY, (ROW()-ROW(DP$100)+1)*3)</f>
        <v>45819</v>
      </c>
      <c r="EH110" s="230" cm="1">
        <f t="array" ref="EH110">INDEX(EI:EI, (ROW()-ROW(EH$100)+1)*3)</f>
        <v>81.7</v>
      </c>
      <c r="EI110" s="113" cm="1">
        <f t="array" ref="EI110">INDEX(DR:DR, (ROW()-ROW(EI$100)+1)*3)</f>
        <v>45849</v>
      </c>
      <c r="FA110" s="230" cm="1">
        <f t="array" ref="FA110">INDEX(FB:FB, (ROW()-ROW(FA$100)+1)*3)</f>
        <v>80.2</v>
      </c>
      <c r="FB110" s="113" cm="1">
        <f t="array" ref="FB110">INDEX(EK:EK, (ROW()-ROW(FB$100)+1)*3)</f>
        <v>45880</v>
      </c>
      <c r="FT110" s="230" cm="1">
        <f t="array" ref="FT110">INDEX(FU:FU, (ROW()-ROW(FT$100)+1)*3)</f>
        <v>78.900000000000006</v>
      </c>
      <c r="FU110" s="113" cm="1">
        <f t="array" ref="FU110">INDEX(FD:FD, (ROW()-ROW(FU$100)+1)*3)</f>
        <v>45911</v>
      </c>
      <c r="GP110" s="230" cm="1">
        <f t="array" ref="GP110">INDEX(GQ:GQ, (ROW()-ROW(GP$100)+1)*3)</f>
        <v>79.400000000000006</v>
      </c>
      <c r="GQ110" s="113" cm="1">
        <f t="array" ref="GQ110">INDEX(FW:FW, (ROW()-ROW(GQ$100)+1)*3)</f>
        <v>45941</v>
      </c>
      <c r="GR110" s="115"/>
      <c r="HL110" s="230" cm="1">
        <f t="array" ref="HL110">INDEX(HM:HM, (ROW()-ROW(HL$100)+1)*3)</f>
        <v>78.8</v>
      </c>
      <c r="HM110" s="113" cm="1">
        <f t="array" ref="HM110">INDEX(GS:GS, (ROW()-ROW(HM$100)+1)*3)</f>
        <v>45972</v>
      </c>
      <c r="HN110" s="115"/>
      <c r="IH110" s="230" cm="1">
        <f t="array" ref="IH110">INDEX(II:II, (ROW()-ROW(IH$100)+1)*3)</f>
        <v>78.2</v>
      </c>
      <c r="II110" s="113" cm="1">
        <f t="array" ref="II110">INDEX(HO:HO, (ROW()-ROW(II$100)+1)*3)</f>
        <v>46002</v>
      </c>
      <c r="JE110" s="230" cm="1">
        <f t="array" ref="JE110">INDEX(JF:JF, (ROW()-ROW(JE$100)+1)*3)</f>
        <v>77</v>
      </c>
      <c r="JF110" s="113" cm="1">
        <f t="array" ref="JF110">INDEX(IK:IK, (ROW()-ROW(JF$100)+1)*3)</f>
        <v>46033</v>
      </c>
    </row>
    <row r="111" spans="43:268" ht="18.75" customHeight="1">
      <c r="AQ111" s="230" cm="1">
        <f t="array" ref="AQ111">INDEX(AR:AR, (ROW()-ROW(AQ$91)+1)*3)</f>
        <v>93.5</v>
      </c>
      <c r="AR111" s="113" cm="1">
        <f t="array" ref="AR111">INDEX(AA:AA, (ROW()-ROW(AR$91)+1)*3)</f>
        <v>45709</v>
      </c>
      <c r="BJ111" s="230" cm="1">
        <f t="array" ref="BJ111">INDEX(BK:BK, (ROW()-ROW(BJ$100)+1)*3)</f>
        <v>90.1</v>
      </c>
      <c r="BK111" s="113" cm="1">
        <f t="array" ref="BK111">INDEX(AT:AT, (ROW()-ROW(BK$100)+1)*3)</f>
        <v>45728</v>
      </c>
      <c r="BL111" s="115"/>
      <c r="CC111" s="230" cm="1">
        <f t="array" ref="CC111">INDEX(CD:CD, (ROW()-ROW(CC$100)+1)*3)</f>
        <v>87.7</v>
      </c>
      <c r="CD111" s="113" cm="1">
        <f t="array" ref="CD111">INDEX(BM:BM, (ROW()-ROW(CD$100)+1)*3)</f>
        <v>45759</v>
      </c>
      <c r="CV111" s="230" cm="1">
        <f t="array" ref="CV111">INDEX(CW:CW, (ROW()-ROW(CV$100)+1)*3)</f>
        <v>84.1</v>
      </c>
      <c r="CW111" s="113" cm="1">
        <f t="array" ref="CW111">INDEX(CF:CF, (ROW()-ROW(CW$100)+1)*3)</f>
        <v>45789</v>
      </c>
      <c r="CX111" s="115"/>
      <c r="DO111" s="230" cm="1">
        <f t="array" ref="DO111">INDEX(DP:DP, (ROW()-ROW(DO$100)+1)*3)</f>
        <v>83.8</v>
      </c>
      <c r="DP111" s="113" cm="1">
        <f t="array" ref="DP111">INDEX(CY:CY, (ROW()-ROW(DP$100)+1)*3)</f>
        <v>45820</v>
      </c>
      <c r="EH111" s="230" cm="1">
        <f t="array" ref="EH111">INDEX(EI:EI, (ROW()-ROW(EH$100)+1)*3)</f>
        <v>81.7</v>
      </c>
      <c r="EI111" s="113" cm="1">
        <f t="array" ref="EI111">INDEX(DR:DR, (ROW()-ROW(EI$100)+1)*3)</f>
        <v>45850</v>
      </c>
      <c r="FA111" s="230" cm="1">
        <f t="array" ref="FA111">INDEX(FB:FB, (ROW()-ROW(FA$100)+1)*3)</f>
        <v>80.599999999999994</v>
      </c>
      <c r="FB111" s="113" cm="1">
        <f t="array" ref="FB111">INDEX(EK:EK, (ROW()-ROW(FB$100)+1)*3)</f>
        <v>45881</v>
      </c>
      <c r="FT111" s="230" cm="1">
        <f t="array" ref="FT111">INDEX(FU:FU, (ROW()-ROW(FT$100)+1)*3)</f>
        <v>78.7</v>
      </c>
      <c r="FU111" s="113" cm="1">
        <f t="array" ref="FU111">INDEX(FD:FD, (ROW()-ROW(FU$100)+1)*3)</f>
        <v>45912</v>
      </c>
      <c r="GP111" s="230" cm="1">
        <f t="array" ref="GP111">INDEX(GQ:GQ, (ROW()-ROW(GP$100)+1)*3)</f>
        <v>79.400000000000006</v>
      </c>
      <c r="GQ111" s="113" cm="1">
        <f t="array" ref="GQ111">INDEX(FW:FW, (ROW()-ROW(GQ$100)+1)*3)</f>
        <v>45942</v>
      </c>
      <c r="GR111" s="115"/>
      <c r="HL111" s="230" cm="1">
        <f t="array" ref="HL111">INDEX(HM:HM, (ROW()-ROW(HL$100)+1)*3)</f>
        <v>78.8</v>
      </c>
      <c r="HM111" s="113" cm="1">
        <f t="array" ref="HM111">INDEX(GS:GS, (ROW()-ROW(HM$100)+1)*3)</f>
        <v>45973</v>
      </c>
      <c r="HN111" s="115"/>
      <c r="IH111" s="230" cm="1">
        <f t="array" ref="IH111">INDEX(II:II, (ROW()-ROW(IH$100)+1)*3)</f>
        <v>78.2</v>
      </c>
      <c r="II111" s="113" cm="1">
        <f t="array" ref="II111">INDEX(HO:HO, (ROW()-ROW(II$100)+1)*3)</f>
        <v>46003</v>
      </c>
      <c r="JE111" s="230" cm="1">
        <f t="array" ref="JE111">INDEX(JF:JF, (ROW()-ROW(JE$100)+1)*3)</f>
        <v>76.5</v>
      </c>
      <c r="JF111" s="113" cm="1">
        <f t="array" ref="JF111">INDEX(IK:IK, (ROW()-ROW(JF$100)+1)*3)</f>
        <v>46034</v>
      </c>
    </row>
    <row r="112" spans="43:268" ht="18.75" customHeight="1">
      <c r="AQ112" s="230" cm="1">
        <f t="array" ref="AQ112">INDEX(AR:AR, (ROW()-ROW(AQ$91)+1)*3)</f>
        <v>93.5</v>
      </c>
      <c r="AR112" s="113" cm="1">
        <f t="array" ref="AR112">INDEX(AA:AA, (ROW()-ROW(AR$91)+1)*3)</f>
        <v>45710</v>
      </c>
      <c r="BJ112" s="230" cm="1">
        <f t="array" ref="BJ112">INDEX(BK:BK, (ROW()-ROW(BJ$100)+1)*3)</f>
        <v>90.7</v>
      </c>
      <c r="BK112" s="113" cm="1">
        <f t="array" ref="BK112">INDEX(AT:AT, (ROW()-ROW(BK$100)+1)*3)</f>
        <v>45729</v>
      </c>
      <c r="BL112" s="115"/>
      <c r="CC112" s="230" cm="1">
        <f t="array" ref="CC112">INDEX(CD:CD, (ROW()-ROW(CC$100)+1)*3)</f>
        <v>86.9</v>
      </c>
      <c r="CD112" s="113" cm="1">
        <f t="array" ref="CD112">INDEX(BM:BM, (ROW()-ROW(CD$100)+1)*3)</f>
        <v>45760</v>
      </c>
      <c r="CV112" s="230" cm="1">
        <f t="array" ref="CV112">INDEX(CW:CW, (ROW()-ROW(CV$100)+1)*3)</f>
        <v>84.1</v>
      </c>
      <c r="CW112" s="113" cm="1">
        <f t="array" ref="CW112">INDEX(CF:CF, (ROW()-ROW(CW$100)+1)*3)</f>
        <v>45790</v>
      </c>
      <c r="CX112" s="115"/>
      <c r="DO112" s="230" cm="1">
        <f t="array" ref="DO112">INDEX(DP:DP, (ROW()-ROW(DO$100)+1)*3)</f>
        <v>83.7</v>
      </c>
      <c r="DP112" s="113" cm="1">
        <f t="array" ref="DP112">INDEX(CY:CY, (ROW()-ROW(DP$100)+1)*3)</f>
        <v>45821</v>
      </c>
      <c r="EH112" s="230" cm="1">
        <f t="array" ref="EH112">INDEX(EI:EI, (ROW()-ROW(EH$100)+1)*3)</f>
        <v>80.5</v>
      </c>
      <c r="EI112" s="113" cm="1">
        <f t="array" ref="EI112">INDEX(DR:DR, (ROW()-ROW(EI$100)+1)*3)</f>
        <v>45851</v>
      </c>
      <c r="FA112" s="230" cm="1">
        <f t="array" ref="FA112">INDEX(FB:FB, (ROW()-ROW(FA$100)+1)*3)</f>
        <v>80.599999999999994</v>
      </c>
      <c r="FB112" s="113" cm="1">
        <f t="array" ref="FB112">INDEX(EK:EK, (ROW()-ROW(FB$100)+1)*3)</f>
        <v>45882</v>
      </c>
      <c r="FT112" s="230" cm="1">
        <f t="array" ref="FT112">INDEX(FU:FU, (ROW()-ROW(FT$100)+1)*3)</f>
        <v>78.7</v>
      </c>
      <c r="FU112" s="113" cm="1">
        <f t="array" ref="FU112">INDEX(FD:FD, (ROW()-ROW(FU$100)+1)*3)</f>
        <v>45913</v>
      </c>
      <c r="GP112" s="230" cm="1">
        <f t="array" ref="GP112">INDEX(GQ:GQ, (ROW()-ROW(GP$100)+1)*3)</f>
        <v>77.900000000000006</v>
      </c>
      <c r="GQ112" s="113" cm="1">
        <f t="array" ref="GQ112">INDEX(FW:FW, (ROW()-ROW(GQ$100)+1)*3)</f>
        <v>45943</v>
      </c>
      <c r="GR112" s="115"/>
      <c r="HL112" s="230" cm="1">
        <f t="array" ref="HL112">INDEX(HM:HM, (ROW()-ROW(HL$100)+1)*3)</f>
        <v>78.8</v>
      </c>
      <c r="HM112" s="113" cm="1">
        <f t="array" ref="HM112">INDEX(GS:GS, (ROW()-ROW(HM$100)+1)*3)</f>
        <v>45974</v>
      </c>
      <c r="HN112" s="115"/>
      <c r="IH112" s="230" cm="1">
        <f t="array" ref="IH112">INDEX(II:II, (ROW()-ROW(IH$100)+1)*3)</f>
        <v>78.2</v>
      </c>
      <c r="II112" s="113" cm="1">
        <f t="array" ref="II112">INDEX(HO:HO, (ROW()-ROW(II$100)+1)*3)</f>
        <v>46004</v>
      </c>
      <c r="JE112" s="230" cm="1">
        <f t="array" ref="JE112">INDEX(JF:JF, (ROW()-ROW(JE$100)+1)*3)</f>
        <v>76.5</v>
      </c>
      <c r="JF112" s="113" cm="1">
        <f t="array" ref="JF112">INDEX(IK:IK, (ROW()-ROW(JF$100)+1)*3)</f>
        <v>46035</v>
      </c>
    </row>
    <row r="113" spans="43:266" ht="18.75" customHeight="1">
      <c r="AQ113" s="230" cm="1">
        <f t="array" ref="AQ113">INDEX(AR:AR, (ROW()-ROW(AQ$91)+1)*3)</f>
        <v>91.9</v>
      </c>
      <c r="AR113" s="113" cm="1">
        <f t="array" ref="AR113">INDEX(AA:AA, (ROW()-ROW(AR$91)+1)*3)</f>
        <v>45711</v>
      </c>
      <c r="BJ113" s="230" cm="1">
        <f t="array" ref="BJ113">INDEX(BK:BK, (ROW()-ROW(BJ$100)+1)*3)</f>
        <v>90.7</v>
      </c>
      <c r="BK113" s="113" cm="1">
        <f t="array" ref="BK113">INDEX(AT:AT, (ROW()-ROW(BK$100)+1)*3)</f>
        <v>45730</v>
      </c>
      <c r="BL113" s="115"/>
      <c r="CC113" s="230" cm="1">
        <f t="array" ref="CC113">INDEX(CD:CD, (ROW()-ROW(CC$100)+1)*3)</f>
        <v>86.3</v>
      </c>
      <c r="CD113" s="113" cm="1">
        <f t="array" ref="CD113">INDEX(BM:BM, (ROW()-ROW(CD$100)+1)*3)</f>
        <v>45761</v>
      </c>
      <c r="CV113" s="230" cm="1">
        <f t="array" ref="CV113">INDEX(CW:CW, (ROW()-ROW(CV$100)+1)*3)</f>
        <v>84.1</v>
      </c>
      <c r="CW113" s="113" cm="1">
        <f t="array" ref="CW113">INDEX(CF:CF, (ROW()-ROW(CW$100)+1)*3)</f>
        <v>45791</v>
      </c>
      <c r="CX113" s="115"/>
      <c r="DO113" s="230" cm="1">
        <f t="array" ref="DO113">INDEX(DP:DP, (ROW()-ROW(DO$100)+1)*3)</f>
        <v>83.7</v>
      </c>
      <c r="DP113" s="113" cm="1">
        <f t="array" ref="DP113">INDEX(CY:CY, (ROW()-ROW(DP$100)+1)*3)</f>
        <v>45822</v>
      </c>
      <c r="EH113" s="230" cm="1">
        <f t="array" ref="EH113">INDEX(EI:EI, (ROW()-ROW(EH$100)+1)*3)</f>
        <v>80.5</v>
      </c>
      <c r="EI113" s="113" cm="1">
        <f t="array" ref="EI113">INDEX(DR:DR, (ROW()-ROW(EI$100)+1)*3)</f>
        <v>45852</v>
      </c>
      <c r="FA113" s="230" cm="1">
        <f t="array" ref="FA113">INDEX(FB:FB, (ROW()-ROW(FA$100)+1)*3)</f>
        <v>81.099999999999994</v>
      </c>
      <c r="FB113" s="113" cm="1">
        <f t="array" ref="FB113">INDEX(EK:EK, (ROW()-ROW(FB$100)+1)*3)</f>
        <v>45883</v>
      </c>
      <c r="FT113" s="230" cm="1">
        <f t="array" ref="FT113">INDEX(FU:FU, (ROW()-ROW(FT$100)+1)*3)</f>
        <v>79.7</v>
      </c>
      <c r="FU113" s="113" cm="1">
        <f t="array" ref="FU113">INDEX(FD:FD, (ROW()-ROW(FU$100)+1)*3)</f>
        <v>45914</v>
      </c>
      <c r="GP113" s="230" cm="1">
        <f t="array" ref="GP113">INDEX(GQ:GQ, (ROW()-ROW(GP$100)+1)*3)</f>
        <v>78.2</v>
      </c>
      <c r="GQ113" s="113" cm="1">
        <f t="array" ref="GQ113">INDEX(FW:FW, (ROW()-ROW(GQ$100)+1)*3)</f>
        <v>45944</v>
      </c>
      <c r="GR113" s="115"/>
      <c r="HL113" s="230" cm="1">
        <f t="array" ref="HL113">INDEX(HM:HM, (ROW()-ROW(HL$100)+1)*3)</f>
        <v>78.3</v>
      </c>
      <c r="HM113" s="113" cm="1">
        <f t="array" ref="HM113">INDEX(GS:GS, (ROW()-ROW(HM$100)+1)*3)</f>
        <v>45975</v>
      </c>
      <c r="HN113" s="115"/>
      <c r="IH113" s="230" cm="1">
        <f t="array" ref="IH113">INDEX(II:II, (ROW()-ROW(IH$100)+1)*3)</f>
        <v>78.2</v>
      </c>
      <c r="II113" s="113" cm="1">
        <f t="array" ref="II113">INDEX(HO:HO, (ROW()-ROW(II$100)+1)*3)</f>
        <v>46005</v>
      </c>
      <c r="JE113" s="230" cm="1">
        <f t="array" ref="JE113">INDEX(JF:JF, (ROW()-ROW(JE$100)+1)*3)</f>
        <v>77</v>
      </c>
      <c r="JF113" s="113" cm="1">
        <f t="array" ref="JF113">INDEX(IK:IK, (ROW()-ROW(JF$100)+1)*3)</f>
        <v>46036</v>
      </c>
    </row>
    <row r="114" spans="43:266" ht="18.75" customHeight="1">
      <c r="AQ114" s="230" cm="1">
        <f t="array" ref="AQ114">INDEX(AR:AR, (ROW()-ROW(AQ$91)+1)*3)</f>
        <v>93</v>
      </c>
      <c r="AR114" s="113" cm="1">
        <f t="array" ref="AR114">INDEX(AA:AA, (ROW()-ROW(AR$91)+1)*3)</f>
        <v>45712</v>
      </c>
      <c r="BJ114" s="230" cm="1">
        <f t="array" ref="BJ114">INDEX(BK:BK, (ROW()-ROW(BJ$100)+1)*3)</f>
        <v>90</v>
      </c>
      <c r="BK114" s="113" cm="1">
        <f t="array" ref="BK114">INDEX(AT:AT, (ROW()-ROW(BK$100)+1)*3)</f>
        <v>45731</v>
      </c>
      <c r="BL114" s="115"/>
      <c r="CC114" s="230" cm="1">
        <f t="array" ref="CC114">INDEX(CD:CD, (ROW()-ROW(CC$100)+1)*3)</f>
        <v>86.3</v>
      </c>
      <c r="CD114" s="113" cm="1">
        <f t="array" ref="CD114">INDEX(BM:BM, (ROW()-ROW(CD$100)+1)*3)</f>
        <v>45762</v>
      </c>
      <c r="CV114" s="230" cm="1">
        <f t="array" ref="CV114">INDEX(CW:CW, (ROW()-ROW(CV$100)+1)*3)</f>
        <v>85.2</v>
      </c>
      <c r="CW114" s="113" cm="1">
        <f t="array" ref="CW114">INDEX(CF:CF, (ROW()-ROW(CW$100)+1)*3)</f>
        <v>45792</v>
      </c>
      <c r="CX114" s="115"/>
      <c r="DO114" s="230" cm="1">
        <f t="array" ref="DO114">INDEX(DP:DP, (ROW()-ROW(DO$100)+1)*3)</f>
        <v>82.6</v>
      </c>
      <c r="DP114" s="113" cm="1">
        <f t="array" ref="DP114">INDEX(CY:CY, (ROW()-ROW(DP$100)+1)*3)</f>
        <v>45823</v>
      </c>
      <c r="EH114" s="230" cm="1">
        <f t="array" ref="EH114">INDEX(EI:EI, (ROW()-ROW(EH$100)+1)*3)</f>
        <v>80.5</v>
      </c>
      <c r="EI114" s="113" cm="1">
        <f t="array" ref="EI114">INDEX(DR:DR, (ROW()-ROW(EI$100)+1)*3)</f>
        <v>45853</v>
      </c>
      <c r="FA114" s="230" cm="1">
        <f t="array" ref="FA114">INDEX(FB:FB, (ROW()-ROW(FA$100)+1)*3)</f>
        <v>81.099999999999994</v>
      </c>
      <c r="FB114" s="113" cm="1">
        <f t="array" ref="FB114">INDEX(EK:EK, (ROW()-ROW(FB$100)+1)*3)</f>
        <v>45884</v>
      </c>
      <c r="FT114" s="230" cm="1">
        <f t="array" ref="FT114">INDEX(FU:FU, (ROW()-ROW(FT$100)+1)*3)</f>
        <v>79.3</v>
      </c>
      <c r="FU114" s="113" cm="1">
        <f t="array" ref="FU114">INDEX(FD:FD, (ROW()-ROW(FU$100)+1)*3)</f>
        <v>45915</v>
      </c>
      <c r="GP114" s="230" cm="1">
        <f t="array" ref="GP114">INDEX(GQ:GQ, (ROW()-ROW(GP$100)+1)*3)</f>
        <v>78.2</v>
      </c>
      <c r="GQ114" s="113" cm="1">
        <f t="array" ref="GQ114">INDEX(FW:FW, (ROW()-ROW(GQ$100)+1)*3)</f>
        <v>45945</v>
      </c>
      <c r="GR114" s="115"/>
      <c r="HL114" s="230" cm="1">
        <f t="array" ref="HL114">INDEX(HM:HM, (ROW()-ROW(HL$100)+1)*3)</f>
        <v>78.3</v>
      </c>
      <c r="HM114" s="113" cm="1">
        <f t="array" ref="HM114">INDEX(GS:GS, (ROW()-ROW(HM$100)+1)*3)</f>
        <v>45976</v>
      </c>
      <c r="HN114" s="115"/>
      <c r="IH114" s="230" cm="1">
        <f t="array" ref="IH114">INDEX(II:II, (ROW()-ROW(IH$100)+1)*3)</f>
        <v>76.7</v>
      </c>
      <c r="II114" s="113" cm="1">
        <f t="array" ref="II114">INDEX(HO:HO, (ROW()-ROW(II$100)+1)*3)</f>
        <v>46006</v>
      </c>
      <c r="JE114" s="230" cm="1">
        <f t="array" ref="JE114">INDEX(JF:JF, (ROW()-ROW(JE$100)+1)*3)</f>
        <v>77.3</v>
      </c>
      <c r="JF114" s="113" cm="1">
        <f t="array" ref="JF114">INDEX(IK:IK, (ROW()-ROW(JF$100)+1)*3)</f>
        <v>46037</v>
      </c>
    </row>
    <row r="115" spans="43:266" ht="18.75" customHeight="1">
      <c r="AQ115" s="230" cm="1">
        <f t="array" ref="AQ115">INDEX(AR:AR, (ROW()-ROW(AQ$91)+1)*3)</f>
        <v>93</v>
      </c>
      <c r="AR115" s="113" cm="1">
        <f t="array" ref="AR115">INDEX(AA:AA, (ROW()-ROW(AR$91)+1)*3)</f>
        <v>45713</v>
      </c>
      <c r="BJ115" s="230" cm="1">
        <f t="array" ref="BJ115">INDEX(BK:BK, (ROW()-ROW(BJ$100)+1)*3)</f>
        <v>90.3</v>
      </c>
      <c r="BK115" s="113" cm="1">
        <f t="array" ref="BK115">INDEX(AT:AT, (ROW()-ROW(BK$100)+1)*3)</f>
        <v>45732</v>
      </c>
      <c r="BL115" s="115"/>
      <c r="CC115" s="230" cm="1">
        <f t="array" ref="CC115">INDEX(CD:CD, (ROW()-ROW(CC$100)+1)*3)</f>
        <v>86.5</v>
      </c>
      <c r="CD115" s="113" cm="1">
        <f t="array" ref="CD115">INDEX(BM:BM, (ROW()-ROW(CD$100)+1)*3)</f>
        <v>45763</v>
      </c>
      <c r="CV115" s="230" cm="1">
        <f t="array" ref="CV115">INDEX(CW:CW, (ROW()-ROW(CV$100)+1)*3)</f>
        <v>85.2</v>
      </c>
      <c r="CW115" s="113" cm="1">
        <f t="array" ref="CW115">INDEX(CF:CF, (ROW()-ROW(CW$100)+1)*3)</f>
        <v>45793</v>
      </c>
      <c r="CX115" s="115"/>
      <c r="DO115" s="230" cm="1">
        <f t="array" ref="DO115">INDEX(DP:DP, (ROW()-ROW(DO$100)+1)*3)</f>
        <v>82.6</v>
      </c>
      <c r="DP115" s="113" cm="1">
        <f t="array" ref="DP115">INDEX(CY:CY, (ROW()-ROW(DP$100)+1)*3)</f>
        <v>45824</v>
      </c>
      <c r="EH115" s="230" cm="1">
        <f t="array" ref="EH115">INDEX(EI:EI, (ROW()-ROW(EH$100)+1)*3)</f>
        <v>81.2</v>
      </c>
      <c r="EI115" s="113" cm="1">
        <f t="array" ref="EI115">INDEX(DR:DR, (ROW()-ROW(EI$100)+1)*3)</f>
        <v>45854</v>
      </c>
      <c r="FA115" s="230" cm="1">
        <f t="array" ref="FA115">INDEX(FB:FB, (ROW()-ROW(FA$100)+1)*3)</f>
        <v>79.8</v>
      </c>
      <c r="FB115" s="113" cm="1">
        <f t="array" ref="FB115">INDEX(EK:EK, (ROW()-ROW(FB$100)+1)*3)</f>
        <v>45885</v>
      </c>
      <c r="FT115" s="230" cm="1">
        <f t="array" ref="FT115">INDEX(FU:FU, (ROW()-ROW(FT$100)+1)*3)</f>
        <v>79.2</v>
      </c>
      <c r="FU115" s="113" cm="1">
        <f t="array" ref="FU115">INDEX(FD:FD, (ROW()-ROW(FU$100)+1)*3)</f>
        <v>45916</v>
      </c>
      <c r="GP115" s="230" cm="1">
        <f t="array" ref="GP115">INDEX(GQ:GQ, (ROW()-ROW(GP$100)+1)*3)</f>
        <v>78.8</v>
      </c>
      <c r="GQ115" s="113" cm="1">
        <f t="array" ref="GQ115">INDEX(FW:FW, (ROW()-ROW(GQ$100)+1)*3)</f>
        <v>45946</v>
      </c>
      <c r="GR115" s="115"/>
      <c r="HL115" s="230" cm="1">
        <f t="array" ref="HL115">INDEX(HM:HM, (ROW()-ROW(HL$100)+1)*3)</f>
        <v>77.5</v>
      </c>
      <c r="HM115" s="113" cm="1">
        <f t="array" ref="HM115">INDEX(GS:GS, (ROW()-ROW(HM$100)+1)*3)</f>
        <v>45977</v>
      </c>
      <c r="HN115" s="115"/>
      <c r="IH115" s="230" cm="1">
        <f t="array" ref="IH115">INDEX(II:II, (ROW()-ROW(IH$100)+1)*3)</f>
        <v>76.599999999999994</v>
      </c>
      <c r="II115" s="113" cm="1">
        <f t="array" ref="II115">INDEX(HO:HO, (ROW()-ROW(II$100)+1)*3)</f>
        <v>46007</v>
      </c>
      <c r="JE115" s="230"/>
      <c r="JF115" s="113" cm="1">
        <f t="array" ref="JF115">INDEX(IK:IK, (ROW()-ROW(JF$100)+1)*3)</f>
        <v>46038</v>
      </c>
    </row>
    <row r="116" spans="43:266" ht="18.75" customHeight="1">
      <c r="AQ116" s="230" cm="1">
        <f t="array" ref="AQ116">INDEX(AR:AR, (ROW()-ROW(AQ$91)+1)*3)</f>
        <v>93</v>
      </c>
      <c r="AR116" s="113" cm="1">
        <f t="array" ref="AR116">INDEX(AA:AA, (ROW()-ROW(AR$91)+1)*3)</f>
        <v>45714</v>
      </c>
      <c r="BJ116" s="230" cm="1">
        <f t="array" ref="BJ116">INDEX(BK:BK, (ROW()-ROW(BJ$100)+1)*3)</f>
        <v>89.5</v>
      </c>
      <c r="BK116" s="113" cm="1">
        <f t="array" ref="BK116">INDEX(AT:AT, (ROW()-ROW(BK$100)+1)*3)</f>
        <v>45733</v>
      </c>
      <c r="BL116" s="115"/>
      <c r="CC116" s="230" cm="1">
        <f t="array" ref="CC116">INDEX(CD:CD, (ROW()-ROW(CC$100)+1)*3)</f>
        <v>87.3</v>
      </c>
      <c r="CD116" s="113" cm="1">
        <f t="array" ref="CD116">INDEX(BM:BM, (ROW()-ROW(CD$100)+1)*3)</f>
        <v>45764</v>
      </c>
      <c r="CV116" s="230" cm="1">
        <f t="array" ref="CV116">INDEX(CW:CW, (ROW()-ROW(CV$100)+1)*3)</f>
        <v>85.2</v>
      </c>
      <c r="CW116" s="113" cm="1">
        <f t="array" ref="CW116">INDEX(CF:CF, (ROW()-ROW(CW$100)+1)*3)</f>
        <v>45794</v>
      </c>
      <c r="CX116" s="115"/>
      <c r="DO116" s="230" cm="1">
        <f t="array" ref="DO116">INDEX(DP:DP, (ROW()-ROW(DO$100)+1)*3)</f>
        <v>82.6</v>
      </c>
      <c r="DP116" s="113" cm="1">
        <f t="array" ref="DP116">INDEX(CY:CY, (ROW()-ROW(DP$100)+1)*3)</f>
        <v>45825</v>
      </c>
      <c r="EH116" s="230" cm="1">
        <f t="array" ref="EH116">INDEX(EI:EI, (ROW()-ROW(EH$100)+1)*3)</f>
        <v>82.1</v>
      </c>
      <c r="EI116" s="113" cm="1">
        <f t="array" ref="EI116">INDEX(DR:DR, (ROW()-ROW(EI$100)+1)*3)</f>
        <v>45855</v>
      </c>
      <c r="FA116" s="230" cm="1">
        <f t="array" ref="FA116">INDEX(FB:FB, (ROW()-ROW(FA$100)+1)*3)</f>
        <v>79.8</v>
      </c>
      <c r="FB116" s="113" cm="1">
        <f t="array" ref="FB116">INDEX(EK:EK, (ROW()-ROW(FB$100)+1)*3)</f>
        <v>45886</v>
      </c>
      <c r="FT116" s="230" cm="1">
        <f t="array" ref="FT116">INDEX(FU:FU, (ROW()-ROW(FT$100)+1)*3)</f>
        <v>79.2</v>
      </c>
      <c r="FU116" s="113" cm="1">
        <f t="array" ref="FU116">INDEX(FD:FD, (ROW()-ROW(FU$100)+1)*3)</f>
        <v>45917</v>
      </c>
      <c r="GP116" s="230" cm="1">
        <f t="array" ref="GP116">INDEX(GQ:GQ, (ROW()-ROW(GP$100)+1)*3)</f>
        <v>78.900000000000006</v>
      </c>
      <c r="GQ116" s="113" cm="1">
        <f t="array" ref="GQ116">INDEX(FW:FW, (ROW()-ROW(GQ$100)+1)*3)</f>
        <v>45947</v>
      </c>
      <c r="GR116" s="115"/>
      <c r="HL116" s="230" cm="1">
        <f t="array" ref="HL116">INDEX(HM:HM, (ROW()-ROW(HL$100)+1)*3)</f>
        <v>77.400000000000006</v>
      </c>
      <c r="HM116" s="113" cm="1">
        <f t="array" ref="HM116">INDEX(GS:GS, (ROW()-ROW(HM$100)+1)*3)</f>
        <v>45978</v>
      </c>
      <c r="HN116" s="115"/>
      <c r="IH116" s="230" cm="1">
        <f t="array" ref="IH116">INDEX(II:II, (ROW()-ROW(IH$100)+1)*3)</f>
        <v>76.599999999999994</v>
      </c>
      <c r="II116" s="113" cm="1">
        <f t="array" ref="II116">INDEX(HO:HO, (ROW()-ROW(II$100)+1)*3)</f>
        <v>46008</v>
      </c>
      <c r="JE116" s="230"/>
      <c r="JF116" s="113" cm="1">
        <f t="array" ref="JF116">INDEX(IK:IK, (ROW()-ROW(JF$100)+1)*3)</f>
        <v>46039</v>
      </c>
    </row>
    <row r="117" spans="43:266" ht="18.75" customHeight="1">
      <c r="AQ117" s="230" cm="1">
        <f t="array" ref="AQ117">INDEX(AR:AR, (ROW()-ROW(AQ$91)+1)*3)</f>
        <v>92.2</v>
      </c>
      <c r="AR117" s="113" cm="1">
        <f t="array" ref="AR117">INDEX(AA:AA, (ROW()-ROW(AR$91)+1)*3)</f>
        <v>45715</v>
      </c>
      <c r="BJ117" s="230" cm="1">
        <f t="array" ref="BJ117">INDEX(BK:BK, (ROW()-ROW(BJ$100)+1)*3)</f>
        <v>89.5</v>
      </c>
      <c r="BK117" s="113" cm="1">
        <f t="array" ref="BK117">INDEX(AT:AT, (ROW()-ROW(BK$100)+1)*3)</f>
        <v>45734</v>
      </c>
      <c r="BL117" s="115"/>
      <c r="CC117" s="230" cm="1">
        <f t="array" ref="CC117">INDEX(CD:CD, (ROW()-ROW(CC$100)+1)*3)</f>
        <v>86.6</v>
      </c>
      <c r="CD117" s="113" cm="1">
        <f t="array" ref="CD117">INDEX(BM:BM, (ROW()-ROW(CD$100)+1)*3)</f>
        <v>45765</v>
      </c>
      <c r="CV117" s="230" cm="1">
        <f t="array" ref="CV117">INDEX(CW:CW, (ROW()-ROW(CV$100)+1)*3)</f>
        <v>84</v>
      </c>
      <c r="CW117" s="113" cm="1">
        <f t="array" ref="CW117">INDEX(CF:CF, (ROW()-ROW(CW$100)+1)*3)</f>
        <v>45795</v>
      </c>
      <c r="CX117" s="115"/>
      <c r="DO117" s="230" cm="1">
        <f t="array" ref="DO117">INDEX(DP:DP, (ROW()-ROW(DO$100)+1)*3)</f>
        <v>83</v>
      </c>
      <c r="DP117" s="113" cm="1">
        <f t="array" ref="DP117">INDEX(CY:CY, (ROW()-ROW(DP$100)+1)*3)</f>
        <v>45826</v>
      </c>
      <c r="EH117" s="230" cm="1">
        <f t="array" ref="EH117">INDEX(EI:EI, (ROW()-ROW(EH$100)+1)*3)</f>
        <v>82.1</v>
      </c>
      <c r="EI117" s="113" cm="1">
        <f t="array" ref="EI117">INDEX(DR:DR, (ROW()-ROW(EI$100)+1)*3)</f>
        <v>45856</v>
      </c>
      <c r="FA117" s="230" cm="1">
        <f t="array" ref="FA117">INDEX(FB:FB, (ROW()-ROW(FA$100)+1)*3)</f>
        <v>79.8</v>
      </c>
      <c r="FB117" s="113" cm="1">
        <f t="array" ref="FB117">INDEX(EK:EK, (ROW()-ROW(FB$100)+1)*3)</f>
        <v>45887</v>
      </c>
      <c r="FT117" s="230" cm="1">
        <f t="array" ref="FT117">INDEX(FU:FU, (ROW()-ROW(FT$100)+1)*3)</f>
        <v>79.7</v>
      </c>
      <c r="FU117" s="113" cm="1">
        <f t="array" ref="FU117">INDEX(FD:FD, (ROW()-ROW(FU$100)+1)*3)</f>
        <v>45918</v>
      </c>
      <c r="GP117" s="230" cm="1">
        <f t="array" ref="GP117">INDEX(GQ:GQ, (ROW()-ROW(GP$100)+1)*3)</f>
        <v>78.900000000000006</v>
      </c>
      <c r="GQ117" s="113" cm="1">
        <f t="array" ref="GQ117">INDEX(FW:FW, (ROW()-ROW(GQ$100)+1)*3)</f>
        <v>45948</v>
      </c>
      <c r="GR117" s="115"/>
      <c r="HL117" s="230" cm="1">
        <f t="array" ref="HL117">INDEX(HM:HM, (ROW()-ROW(HL$100)+1)*3)</f>
        <v>77.900000000000006</v>
      </c>
      <c r="HM117" s="113" cm="1">
        <f t="array" ref="HM117">INDEX(GS:GS, (ROW()-ROW(HM$100)+1)*3)</f>
        <v>45979</v>
      </c>
      <c r="HN117" s="115"/>
      <c r="IH117" s="230" cm="1">
        <f t="array" ref="IH117">INDEX(II:II, (ROW()-ROW(IH$100)+1)*3)</f>
        <v>76.599999999999994</v>
      </c>
      <c r="II117" s="113" cm="1">
        <f t="array" ref="II117">INDEX(HO:HO, (ROW()-ROW(II$100)+1)*3)</f>
        <v>46009</v>
      </c>
      <c r="JE117" s="230"/>
      <c r="JF117" s="113" cm="1">
        <f t="array" ref="JF117">INDEX(IK:IK, (ROW()-ROW(JF$100)+1)*3)</f>
        <v>46040</v>
      </c>
    </row>
    <row r="118" spans="43:266" ht="18.75" customHeight="1">
      <c r="AQ118" s="230" cm="1">
        <f t="array" ref="AQ118">INDEX(AR:AR, (ROW()-ROW(AQ$91)+1)*3)</f>
        <v>92</v>
      </c>
      <c r="AR118" s="113" cm="1">
        <f t="array" ref="AR118">INDEX(AA:AA, (ROW()-ROW(AR$91)+1)*3)</f>
        <v>45716</v>
      </c>
      <c r="BJ118" s="230" cm="1">
        <f t="array" ref="BJ118">INDEX(BK:BK, (ROW()-ROW(BJ$100)+1)*3)</f>
        <v>89.5</v>
      </c>
      <c r="BK118" s="113" cm="1">
        <f t="array" ref="BK118">INDEX(AT:AT, (ROW()-ROW(BK$100)+1)*3)</f>
        <v>45735</v>
      </c>
      <c r="BL118" s="115"/>
      <c r="CC118" s="230" cm="1">
        <f t="array" ref="CC118">INDEX(CD:CD, (ROW()-ROW(CC$100)+1)*3)</f>
        <v>85.5</v>
      </c>
      <c r="CD118" s="113" cm="1">
        <f t="array" ref="CD118">INDEX(BM:BM, (ROW()-ROW(CD$100)+1)*3)</f>
        <v>45766</v>
      </c>
      <c r="CV118" s="230" cm="1">
        <f t="array" ref="CV118">INDEX(CW:CW, (ROW()-ROW(CV$100)+1)*3)</f>
        <v>84.4</v>
      </c>
      <c r="CW118" s="113" cm="1">
        <f t="array" ref="CW118">INDEX(CF:CF, (ROW()-ROW(CW$100)+1)*3)</f>
        <v>45796</v>
      </c>
      <c r="CX118" s="115"/>
      <c r="DO118" s="230" cm="1">
        <f t="array" ref="DO118">INDEX(DP:DP, (ROW()-ROW(DO$100)+1)*3)</f>
        <v>83</v>
      </c>
      <c r="DP118" s="113" cm="1">
        <f t="array" ref="DP118">INDEX(CY:CY, (ROW()-ROW(DP$100)+1)*3)</f>
        <v>45827</v>
      </c>
      <c r="EH118" s="230" cm="1">
        <f t="array" ref="EH118">INDEX(EI:EI, (ROW()-ROW(EH$100)+1)*3)</f>
        <v>82.1</v>
      </c>
      <c r="EI118" s="113" cm="1">
        <f t="array" ref="EI118">INDEX(DR:DR, (ROW()-ROW(EI$100)+1)*3)</f>
        <v>45857</v>
      </c>
      <c r="FA118" s="230" cm="1">
        <f t="array" ref="FA118">INDEX(FB:FB, (ROW()-ROW(FA$100)+1)*3)</f>
        <v>79.8</v>
      </c>
      <c r="FB118" s="113" cm="1">
        <f t="array" ref="FB118">INDEX(EK:EK, (ROW()-ROW(FB$100)+1)*3)</f>
        <v>45888</v>
      </c>
      <c r="FT118" s="230" cm="1">
        <f t="array" ref="FT118">INDEX(FU:FU, (ROW()-ROW(FT$100)+1)*3)</f>
        <v>79.400000000000006</v>
      </c>
      <c r="FU118" s="113" cm="1">
        <f t="array" ref="FU118">INDEX(FD:FD, (ROW()-ROW(FU$100)+1)*3)</f>
        <v>45919</v>
      </c>
      <c r="GP118" s="230" cm="1">
        <f t="array" ref="GP118">INDEX(GQ:GQ, (ROW()-ROW(GP$100)+1)*3)</f>
        <v>77.400000000000006</v>
      </c>
      <c r="GQ118" s="113" cm="1">
        <f t="array" ref="GQ118">INDEX(FW:FW, (ROW()-ROW(GQ$100)+1)*3)</f>
        <v>45949</v>
      </c>
      <c r="GR118" s="115"/>
      <c r="HL118" s="230" cm="1">
        <f t="array" ref="HL118">INDEX(HM:HM, (ROW()-ROW(HL$100)+1)*3)</f>
        <v>78.099999999999994</v>
      </c>
      <c r="HM118" s="113" cm="1">
        <f t="array" ref="HM118">INDEX(GS:GS, (ROW()-ROW(HM$100)+1)*3)</f>
        <v>45980</v>
      </c>
      <c r="HN118" s="115"/>
      <c r="IH118" s="230" cm="1">
        <f t="array" ref="IH118">INDEX(II:II, (ROW()-ROW(IH$100)+1)*3)</f>
        <v>76.599999999999994</v>
      </c>
      <c r="II118" s="113" cm="1">
        <f t="array" ref="II118">INDEX(HO:HO, (ROW()-ROW(II$100)+1)*3)</f>
        <v>46010</v>
      </c>
      <c r="JE118" s="230"/>
      <c r="JF118" s="113" cm="1">
        <f t="array" ref="JF118">INDEX(IK:IK, (ROW()-ROW(JF$100)+1)*3)</f>
        <v>46041</v>
      </c>
    </row>
    <row r="119" spans="43:266" ht="18.75" customHeight="1">
      <c r="AQ119" s="114"/>
      <c r="AR119" s="115"/>
      <c r="BJ119" s="230" cm="1">
        <f t="array" ref="BJ119">INDEX(BK:BK, (ROW()-ROW(BJ$100)+1)*3)</f>
        <v>89.5</v>
      </c>
      <c r="BK119" s="113" cm="1">
        <f t="array" ref="BK119">INDEX(AT:AT, (ROW()-ROW(BK$100)+1)*3)</f>
        <v>45736</v>
      </c>
      <c r="BL119" s="115"/>
      <c r="CC119" s="230" cm="1">
        <f t="array" ref="CC119">INDEX(CD:CD, (ROW()-ROW(CC$100)+1)*3)</f>
        <v>85.5</v>
      </c>
      <c r="CD119" s="113" cm="1">
        <f t="array" ref="CD119">INDEX(BM:BM, (ROW()-ROW(CD$100)+1)*3)</f>
        <v>45767</v>
      </c>
      <c r="CV119" s="230" cm="1">
        <f t="array" ref="CV119">INDEX(CW:CW, (ROW()-ROW(CV$100)+1)*3)</f>
        <v>84.5</v>
      </c>
      <c r="CW119" s="113" cm="1">
        <f t="array" ref="CW119">INDEX(CF:CF, (ROW()-ROW(CW$100)+1)*3)</f>
        <v>45797</v>
      </c>
      <c r="CX119" s="115"/>
      <c r="DO119" s="230" cm="1">
        <f t="array" ref="DO119">INDEX(DP:DP, (ROW()-ROW(DO$100)+1)*3)</f>
        <v>83.2</v>
      </c>
      <c r="DP119" s="113" cm="1">
        <f t="array" ref="DP119">INDEX(CY:CY, (ROW()-ROW(DP$100)+1)*3)</f>
        <v>45828</v>
      </c>
      <c r="EH119" s="230" cm="1">
        <f t="array" ref="EH119">INDEX(EI:EI, (ROW()-ROW(EH$100)+1)*3)</f>
        <v>82.1</v>
      </c>
      <c r="EI119" s="113" cm="1">
        <f t="array" ref="EI119">INDEX(DR:DR, (ROW()-ROW(EI$100)+1)*3)</f>
        <v>45858</v>
      </c>
      <c r="FA119" s="230" cm="1">
        <f t="array" ref="FA119">INDEX(FB:FB, (ROW()-ROW(FA$100)+1)*3)</f>
        <v>80.900000000000006</v>
      </c>
      <c r="FB119" s="113" cm="1">
        <f t="array" ref="FB119">INDEX(EK:EK, (ROW()-ROW(FB$100)+1)*3)</f>
        <v>45889</v>
      </c>
      <c r="FT119" s="230" cm="1">
        <f t="array" ref="FT119">INDEX(FU:FU, (ROW()-ROW(FT$100)+1)*3)</f>
        <v>78.5</v>
      </c>
      <c r="FU119" s="113" cm="1">
        <f t="array" ref="FU119">INDEX(FD:FD, (ROW()-ROW(FU$100)+1)*3)</f>
        <v>45920</v>
      </c>
      <c r="GP119" s="230" cm="1">
        <f t="array" ref="GP119">INDEX(GQ:GQ, (ROW()-ROW(GP$100)+1)*3)</f>
        <v>77.8</v>
      </c>
      <c r="GQ119" s="113" cm="1">
        <f t="array" ref="GQ119">INDEX(FW:FW, (ROW()-ROW(GQ$100)+1)*3)</f>
        <v>45950</v>
      </c>
      <c r="GR119" s="115"/>
      <c r="HL119" s="230" cm="1">
        <f t="array" ref="HL119">INDEX(HM:HM, (ROW()-ROW(HL$100)+1)*3)</f>
        <v>78.099999999999994</v>
      </c>
      <c r="HM119" s="113" cm="1">
        <f t="array" ref="HM119">INDEX(GS:GS, (ROW()-ROW(HM$100)+1)*3)</f>
        <v>45981</v>
      </c>
      <c r="HN119" s="115"/>
      <c r="IH119" s="230" cm="1">
        <f t="array" ref="IH119">INDEX(II:II, (ROW()-ROW(IH$100)+1)*3)</f>
        <v>76.599999999999994</v>
      </c>
      <c r="II119" s="113" cm="1">
        <f t="array" ref="II119">INDEX(HO:HO, (ROW()-ROW(II$100)+1)*3)</f>
        <v>46011</v>
      </c>
      <c r="JE119" s="230"/>
      <c r="JF119" s="113" cm="1">
        <f t="array" ref="JF119">INDEX(IK:IK, (ROW()-ROW(JF$100)+1)*3)</f>
        <v>46042</v>
      </c>
    </row>
    <row r="120" spans="43:266" ht="18.75" customHeight="1">
      <c r="AQ120" s="114"/>
      <c r="AR120" s="115"/>
      <c r="BJ120" s="230" cm="1">
        <f t="array" ref="BJ120">INDEX(BK:BK, (ROW()-ROW(BJ$100)+1)*3)</f>
        <v>89.5</v>
      </c>
      <c r="BK120" s="113" cm="1">
        <f t="array" ref="BK120">INDEX(AT:AT, (ROW()-ROW(BK$100)+1)*3)</f>
        <v>45737</v>
      </c>
      <c r="BL120" s="115"/>
      <c r="CC120" s="230" cm="1">
        <f t="array" ref="CC120">INDEX(CD:CD, (ROW()-ROW(CC$100)+1)*3)</f>
        <v>85.3</v>
      </c>
      <c r="CD120" s="113" cm="1">
        <f t="array" ref="CD120">INDEX(BM:BM, (ROW()-ROW(CD$100)+1)*3)</f>
        <v>45768</v>
      </c>
      <c r="CV120" s="230" cm="1">
        <f t="array" ref="CV120">INDEX(CW:CW, (ROW()-ROW(CV$100)+1)*3)</f>
        <v>84.2</v>
      </c>
      <c r="CW120" s="113" cm="1">
        <f t="array" ref="CW120">INDEX(CF:CF, (ROW()-ROW(CW$100)+1)*3)</f>
        <v>45798</v>
      </c>
      <c r="CX120" s="115"/>
      <c r="DO120" s="230" cm="1">
        <f t="array" ref="DO120">INDEX(DP:DP, (ROW()-ROW(DO$100)+1)*3)</f>
        <v>83.2</v>
      </c>
      <c r="DP120" s="113" cm="1">
        <f t="array" ref="DP120">INDEX(CY:CY, (ROW()-ROW(DP$100)+1)*3)</f>
        <v>45829</v>
      </c>
      <c r="EH120" s="230" cm="1">
        <f t="array" ref="EH120">INDEX(EI:EI, (ROW()-ROW(EH$100)+1)*3)</f>
        <v>80.099999999999994</v>
      </c>
      <c r="EI120" s="113" cm="1">
        <f t="array" ref="EI120">INDEX(DR:DR, (ROW()-ROW(EI$100)+1)*3)</f>
        <v>45859</v>
      </c>
      <c r="FA120" s="230" cm="1">
        <f t="array" ref="FA120">INDEX(FB:FB, (ROW()-ROW(FA$100)+1)*3)</f>
        <v>80.3</v>
      </c>
      <c r="FB120" s="113" cm="1">
        <f t="array" ref="FB120">INDEX(EK:EK, (ROW()-ROW(FB$100)+1)*3)</f>
        <v>45890</v>
      </c>
      <c r="FT120" s="230" cm="1">
        <f t="array" ref="FT120">INDEX(FU:FU, (ROW()-ROW(FT$100)+1)*3)</f>
        <v>79.2</v>
      </c>
      <c r="FU120" s="113" cm="1">
        <f t="array" ref="FU120">INDEX(FD:FD, (ROW()-ROW(FU$100)+1)*3)</f>
        <v>45921</v>
      </c>
      <c r="GP120" s="230" cm="1">
        <f t="array" ref="GP120">INDEX(GQ:GQ, (ROW()-ROW(GP$100)+1)*3)</f>
        <v>78.8</v>
      </c>
      <c r="GQ120" s="113" cm="1">
        <f t="array" ref="GQ120">INDEX(FW:FW, (ROW()-ROW(GQ$100)+1)*3)</f>
        <v>45951</v>
      </c>
      <c r="GR120" s="115"/>
      <c r="HL120" s="230" cm="1">
        <f t="array" ref="HL120">INDEX(HM:HM, (ROW()-ROW(HL$100)+1)*3)</f>
        <v>78.099999999999994</v>
      </c>
      <c r="HM120" s="113" cm="1">
        <f t="array" ref="HM120">INDEX(GS:GS, (ROW()-ROW(HM$100)+1)*3)</f>
        <v>45982</v>
      </c>
      <c r="HN120" s="115"/>
      <c r="IH120" s="230" cm="1">
        <f t="array" ref="IH120">INDEX(II:II, (ROW()-ROW(IH$100)+1)*3)</f>
        <v>77</v>
      </c>
      <c r="II120" s="113" cm="1">
        <f t="array" ref="II120">INDEX(HO:HO, (ROW()-ROW(II$100)+1)*3)</f>
        <v>46012</v>
      </c>
      <c r="JE120" s="230"/>
      <c r="JF120" s="113" cm="1">
        <f t="array" ref="JF120">INDEX(IK:IK, (ROW()-ROW(JF$100)+1)*3)</f>
        <v>46043</v>
      </c>
    </row>
    <row r="121" spans="43:266" ht="18.75" customHeight="1">
      <c r="AQ121" s="114"/>
      <c r="AR121" s="115"/>
      <c r="BJ121" s="230" cm="1">
        <f t="array" ref="BJ121">INDEX(BK:BK, (ROW()-ROW(BJ$100)+1)*3)</f>
        <v>88.3</v>
      </c>
      <c r="BK121" s="113" cm="1">
        <f t="array" ref="BK121">INDEX(AT:AT, (ROW()-ROW(BK$100)+1)*3)</f>
        <v>45738</v>
      </c>
      <c r="BL121" s="115"/>
      <c r="CC121" s="230" cm="1">
        <f t="array" ref="CC121">INDEX(CD:CD, (ROW()-ROW(CC$100)+1)*3)</f>
        <v>85.2</v>
      </c>
      <c r="CD121" s="113" cm="1">
        <f t="array" ref="CD121">INDEX(BM:BM, (ROW()-ROW(CD$100)+1)*3)</f>
        <v>45769</v>
      </c>
      <c r="CV121" s="230" cm="1">
        <f t="array" ref="CV121">INDEX(CW:CW, (ROW()-ROW(CV$100)+1)*3)</f>
        <v>83.8</v>
      </c>
      <c r="CW121" s="113" cm="1">
        <f t="array" ref="CW121">INDEX(CF:CF, (ROW()-ROW(CW$100)+1)*3)</f>
        <v>45799</v>
      </c>
      <c r="CX121" s="115"/>
      <c r="DO121" s="230" cm="1">
        <f t="array" ref="DO121">INDEX(DP:DP, (ROW()-ROW(DO$100)+1)*3)</f>
        <v>82.1</v>
      </c>
      <c r="DP121" s="113" cm="1">
        <f t="array" ref="DP121">INDEX(CY:CY, (ROW()-ROW(DP$100)+1)*3)</f>
        <v>45830</v>
      </c>
      <c r="EH121" s="230" cm="1">
        <f t="array" ref="EH121">INDEX(EI:EI, (ROW()-ROW(EH$100)+1)*3)</f>
        <v>80.099999999999994</v>
      </c>
      <c r="EI121" s="113" cm="1">
        <f t="array" ref="EI121">INDEX(DR:DR, (ROW()-ROW(EI$100)+1)*3)</f>
        <v>45860</v>
      </c>
      <c r="FA121" s="230" cm="1">
        <f t="array" ref="FA121">INDEX(FB:FB, (ROW()-ROW(FA$100)+1)*3)</f>
        <v>80.3</v>
      </c>
      <c r="FB121" s="113" cm="1">
        <f t="array" ref="FB121">INDEX(EK:EK, (ROW()-ROW(FB$100)+1)*3)</f>
        <v>45891</v>
      </c>
      <c r="FT121" s="230" cm="1">
        <f t="array" ref="FT121">INDEX(FU:FU, (ROW()-ROW(FT$100)+1)*3)</f>
        <v>78.7</v>
      </c>
      <c r="FU121" s="113" cm="1">
        <f t="array" ref="FU121">INDEX(FD:FD, (ROW()-ROW(FU$100)+1)*3)</f>
        <v>45922</v>
      </c>
      <c r="GP121" s="230" cm="1">
        <f t="array" ref="GP121">INDEX(GQ:GQ, (ROW()-ROW(GP$100)+1)*3)</f>
        <v>78.900000000000006</v>
      </c>
      <c r="GQ121" s="113" cm="1">
        <f t="array" ref="GQ121">INDEX(FW:FW, (ROW()-ROW(GQ$100)+1)*3)</f>
        <v>45952</v>
      </c>
      <c r="GR121" s="115"/>
      <c r="HL121" s="230" cm="1">
        <f t="array" ref="HL121">INDEX(HM:HM, (ROW()-ROW(HL$100)+1)*3)</f>
        <v>77.7</v>
      </c>
      <c r="HM121" s="113" cm="1">
        <f t="array" ref="HM121">INDEX(GS:GS, (ROW()-ROW(HM$100)+1)*3)</f>
        <v>45983</v>
      </c>
      <c r="HN121" s="115"/>
      <c r="IH121" s="230" cm="1">
        <f t="array" ref="IH121">INDEX(II:II, (ROW()-ROW(IH$100)+1)*3)</f>
        <v>77.8</v>
      </c>
      <c r="II121" s="113" cm="1">
        <f t="array" ref="II121">INDEX(HO:HO, (ROW()-ROW(II$100)+1)*3)</f>
        <v>46013</v>
      </c>
      <c r="JE121" s="230"/>
      <c r="JF121" s="113" cm="1">
        <f t="array" ref="JF121">INDEX(IK:IK, (ROW()-ROW(JF$100)+1)*3)</f>
        <v>46044</v>
      </c>
    </row>
    <row r="122" spans="43:266" ht="18.75" customHeight="1">
      <c r="AQ122" s="114"/>
      <c r="AR122" s="115"/>
      <c r="BJ122" s="230" cm="1">
        <f t="array" ref="BJ122">INDEX(BK:BK, (ROW()-ROW(BJ$100)+1)*3)</f>
        <v>89.2</v>
      </c>
      <c r="BK122" s="113" cm="1">
        <f t="array" ref="BK122">INDEX(AT:AT, (ROW()-ROW(BK$100)+1)*3)</f>
        <v>45739</v>
      </c>
      <c r="BL122" s="115"/>
      <c r="CC122" s="230" cm="1">
        <f t="array" ref="CC122">INDEX(CD:CD, (ROW()-ROW(CC$100)+1)*3)</f>
        <v>85.2</v>
      </c>
      <c r="CD122" s="113" cm="1">
        <f t="array" ref="CD122">INDEX(BM:BM, (ROW()-ROW(CD$100)+1)*3)</f>
        <v>45770</v>
      </c>
      <c r="CV122" s="230" cm="1">
        <f t="array" ref="CV122">INDEX(CW:CW, (ROW()-ROW(CV$100)+1)*3)</f>
        <v>83.8</v>
      </c>
      <c r="CW122" s="113" cm="1">
        <f t="array" ref="CW122">INDEX(CF:CF, (ROW()-ROW(CW$100)+1)*3)</f>
        <v>45800</v>
      </c>
      <c r="CX122" s="115"/>
      <c r="DO122" s="230" cm="1">
        <f t="array" ref="DO122">INDEX(DP:DP, (ROW()-ROW(DO$100)+1)*3)</f>
        <v>81.8</v>
      </c>
      <c r="DP122" s="113" cm="1">
        <f t="array" ref="DP122">INDEX(CY:CY, (ROW()-ROW(DP$100)+1)*3)</f>
        <v>45831</v>
      </c>
      <c r="EH122" s="230" cm="1">
        <f t="array" ref="EH122">INDEX(EI:EI, (ROW()-ROW(EH$100)+1)*3)</f>
        <v>80.099999999999994</v>
      </c>
      <c r="EI122" s="113" cm="1">
        <f t="array" ref="EI122">INDEX(DR:DR, (ROW()-ROW(EI$100)+1)*3)</f>
        <v>45861</v>
      </c>
      <c r="FA122" s="230" cm="1">
        <f t="array" ref="FA122">INDEX(FB:FB, (ROW()-ROW(FA$100)+1)*3)</f>
        <v>80.3</v>
      </c>
      <c r="FB122" s="113" cm="1">
        <f t="array" ref="FB122">INDEX(EK:EK, (ROW()-ROW(FB$100)+1)*3)</f>
        <v>45892</v>
      </c>
      <c r="FT122" s="230" cm="1">
        <f t="array" ref="FT122">INDEX(FU:FU, (ROW()-ROW(FT$100)+1)*3)</f>
        <v>79.5</v>
      </c>
      <c r="FU122" s="113" cm="1">
        <f t="array" ref="FU122">INDEX(FD:FD, (ROW()-ROW(FU$100)+1)*3)</f>
        <v>45923</v>
      </c>
      <c r="GP122" s="230" cm="1">
        <f t="array" ref="GP122">INDEX(GQ:GQ, (ROW()-ROW(GP$100)+1)*3)</f>
        <v>78.900000000000006</v>
      </c>
      <c r="GQ122" s="113" cm="1">
        <f t="array" ref="GQ122">INDEX(FW:FW, (ROW()-ROW(GQ$100)+1)*3)</f>
        <v>45953</v>
      </c>
      <c r="GR122" s="115"/>
      <c r="HL122" s="230" cm="1">
        <f t="array" ref="HL122">INDEX(HM:HM, (ROW()-ROW(HL$100)+1)*3)</f>
        <v>77.099999999999994</v>
      </c>
      <c r="HM122" s="113" cm="1">
        <f t="array" ref="HM122">INDEX(GS:GS, (ROW()-ROW(HM$100)+1)*3)</f>
        <v>45984</v>
      </c>
      <c r="HN122" s="115"/>
      <c r="IH122" s="230" cm="1">
        <f t="array" ref="IH122">INDEX(II:II, (ROW()-ROW(IH$100)+1)*3)</f>
        <v>76.5</v>
      </c>
      <c r="II122" s="113" cm="1">
        <f t="array" ref="II122">INDEX(HO:HO, (ROW()-ROW(II$100)+1)*3)</f>
        <v>46014</v>
      </c>
      <c r="JE122" s="230"/>
      <c r="JF122" s="113" cm="1">
        <f t="array" ref="JF122">INDEX(IK:IK, (ROW()-ROW(JF$100)+1)*3)</f>
        <v>46045</v>
      </c>
    </row>
    <row r="123" spans="43:266" ht="18.75" customHeight="1">
      <c r="AQ123" s="114"/>
      <c r="AR123" s="115"/>
      <c r="BJ123" s="230" cm="1">
        <f t="array" ref="BJ123">INDEX(BK:BK, (ROW()-ROW(BJ$100)+1)*3)</f>
        <v>89</v>
      </c>
      <c r="BK123" s="113" cm="1">
        <f t="array" ref="BK123">INDEX(AT:AT, (ROW()-ROW(BK$100)+1)*3)</f>
        <v>45740</v>
      </c>
      <c r="BL123" s="115"/>
      <c r="CC123" s="230" cm="1">
        <f t="array" ref="CC123">INDEX(CD:CD, (ROW()-ROW(CC$100)+1)*3)</f>
        <v>86</v>
      </c>
      <c r="CD123" s="113" cm="1">
        <f t="array" ref="CD123">INDEX(BM:BM, (ROW()-ROW(CD$100)+1)*3)</f>
        <v>45771</v>
      </c>
      <c r="CV123" s="230" cm="1">
        <f t="array" ref="CV123">INDEX(CW:CW, (ROW()-ROW(CV$100)+1)*3)</f>
        <v>83.8</v>
      </c>
      <c r="CW123" s="113" cm="1">
        <f t="array" ref="CW123">INDEX(CF:CF, (ROW()-ROW(CW$100)+1)*3)</f>
        <v>45801</v>
      </c>
      <c r="CX123" s="115"/>
      <c r="DO123" s="230" cm="1">
        <f t="array" ref="DO123">INDEX(DP:DP, (ROW()-ROW(DO$100)+1)*3)</f>
        <v>81.8</v>
      </c>
      <c r="DP123" s="113" cm="1">
        <f t="array" ref="DP123">INDEX(CY:CY, (ROW()-ROW(DP$100)+1)*3)</f>
        <v>45832</v>
      </c>
      <c r="EH123" s="230" cm="1">
        <f t="array" ref="EH123">INDEX(EI:EI, (ROW()-ROW(EH$100)+1)*3)</f>
        <v>81.3</v>
      </c>
      <c r="EI123" s="113" cm="1">
        <f t="array" ref="EI123">INDEX(DR:DR, (ROW()-ROW(EI$100)+1)*3)</f>
        <v>45862</v>
      </c>
      <c r="FA123" s="230" cm="1">
        <f t="array" ref="FA123">INDEX(FB:FB, (ROW()-ROW(FA$100)+1)*3)</f>
        <v>78.099999999999994</v>
      </c>
      <c r="FB123" s="113" cm="1">
        <f t="array" ref="FB123">INDEX(EK:EK, (ROW()-ROW(FB$100)+1)*3)</f>
        <v>45893</v>
      </c>
      <c r="FT123" s="230" cm="1">
        <f t="array" ref="FT123">INDEX(FU:FU, (ROW()-ROW(FT$100)+1)*3)</f>
        <v>79.5</v>
      </c>
      <c r="FU123" s="113" cm="1">
        <f t="array" ref="FU123">INDEX(FD:FD, (ROW()-ROW(FU$100)+1)*3)</f>
        <v>45924</v>
      </c>
      <c r="GP123" s="230" cm="1">
        <f t="array" ref="GP123">INDEX(GQ:GQ, (ROW()-ROW(GP$100)+1)*3)</f>
        <v>78.900000000000006</v>
      </c>
      <c r="GQ123" s="113" cm="1">
        <f t="array" ref="GQ123">INDEX(FW:FW, (ROW()-ROW(GQ$100)+1)*3)</f>
        <v>45954</v>
      </c>
      <c r="GR123" s="115"/>
      <c r="HL123" s="230" cm="1">
        <f t="array" ref="HL123">INDEX(HM:HM, (ROW()-ROW(HL$100)+1)*3)</f>
        <v>77.099999999999994</v>
      </c>
      <c r="HM123" s="113" cm="1">
        <f t="array" ref="HM123">INDEX(GS:GS, (ROW()-ROW(HM$100)+1)*3)</f>
        <v>45985</v>
      </c>
      <c r="HN123" s="115"/>
      <c r="IH123" s="230" cm="1">
        <f t="array" ref="IH123">INDEX(II:II, (ROW()-ROW(IH$100)+1)*3)</f>
        <v>76.900000000000006</v>
      </c>
      <c r="II123" s="113" cm="1">
        <f t="array" ref="II123">INDEX(HO:HO, (ROW()-ROW(II$100)+1)*3)</f>
        <v>46015</v>
      </c>
      <c r="JE123" s="230"/>
      <c r="JF123" s="113" cm="1">
        <f t="array" ref="JF123">INDEX(IK:IK, (ROW()-ROW(JF$100)+1)*3)</f>
        <v>46046</v>
      </c>
    </row>
    <row r="124" spans="43:266" ht="18.75" customHeight="1">
      <c r="AQ124" s="114"/>
      <c r="AR124" s="115"/>
      <c r="BJ124" s="230" cm="1">
        <f t="array" ref="BJ124">INDEX(BK:BK, (ROW()-ROW(BJ$100)+1)*3)</f>
        <v>88.5</v>
      </c>
      <c r="BK124" s="113" cm="1">
        <f t="array" ref="BK124">INDEX(AT:AT, (ROW()-ROW(BK$100)+1)*3)</f>
        <v>45741</v>
      </c>
      <c r="BL124" s="115"/>
      <c r="CC124" s="230" cm="1">
        <f t="array" ref="CC124">INDEX(CD:CD, (ROW()-ROW(CC$100)+1)*3)</f>
        <v>86</v>
      </c>
      <c r="CD124" s="113" cm="1">
        <f t="array" ref="CD124">INDEX(BM:BM, (ROW()-ROW(CD$100)+1)*3)</f>
        <v>45772</v>
      </c>
      <c r="CV124" s="230" cm="1">
        <f t="array" ref="CV124">INDEX(CW:CW, (ROW()-ROW(CV$100)+1)*3)</f>
        <v>83.8</v>
      </c>
      <c r="CW124" s="113" cm="1">
        <f t="array" ref="CW124">INDEX(CF:CF, (ROW()-ROW(CW$100)+1)*3)</f>
        <v>45802</v>
      </c>
      <c r="CX124" s="115"/>
      <c r="DO124" s="230" cm="1">
        <f t="array" ref="DO124">INDEX(DP:DP, (ROW()-ROW(DO$100)+1)*3)</f>
        <v>82.2</v>
      </c>
      <c r="DP124" s="113" cm="1">
        <f t="array" ref="DP124">INDEX(CY:CY, (ROW()-ROW(DP$100)+1)*3)</f>
        <v>45833</v>
      </c>
      <c r="EH124" s="230" cm="1">
        <f t="array" ref="EH124">INDEX(EI:EI, (ROW()-ROW(EH$100)+1)*3)</f>
        <v>81.099999999999994</v>
      </c>
      <c r="EI124" s="113" cm="1">
        <f t="array" ref="EI124">INDEX(DR:DR, (ROW()-ROW(EI$100)+1)*3)</f>
        <v>45863</v>
      </c>
      <c r="FA124" s="230" cm="1">
        <f t="array" ref="FA124">INDEX(FB:FB, (ROW()-ROW(FA$100)+1)*3)</f>
        <v>78.099999999999994</v>
      </c>
      <c r="FB124" s="113" cm="1">
        <f t="array" ref="FB124">INDEX(EK:EK, (ROW()-ROW(FB$100)+1)*3)</f>
        <v>45894</v>
      </c>
      <c r="FT124" s="230" cm="1">
        <f t="array" ref="FT124">INDEX(FU:FU, (ROW()-ROW(FT$100)+1)*3)</f>
        <v>79.5</v>
      </c>
      <c r="FU124" s="113" cm="1">
        <f t="array" ref="FU124">INDEX(FD:FD, (ROW()-ROW(FU$100)+1)*3)</f>
        <v>45925</v>
      </c>
      <c r="GP124" s="230" cm="1">
        <f t="array" ref="GP124">INDEX(GQ:GQ, (ROW()-ROW(GP$100)+1)*3)</f>
        <v>78.900000000000006</v>
      </c>
      <c r="GQ124" s="113" cm="1">
        <f t="array" ref="GQ124">INDEX(FW:FW, (ROW()-ROW(GQ$100)+1)*3)</f>
        <v>45955</v>
      </c>
      <c r="GR124" s="115"/>
      <c r="HL124" s="230" cm="1">
        <f t="array" ref="HL124">INDEX(HM:HM, (ROW()-ROW(HL$100)+1)*3)</f>
        <v>78.099999999999994</v>
      </c>
      <c r="HM124" s="113" cm="1">
        <f t="array" ref="HM124">INDEX(GS:GS, (ROW()-ROW(HM$100)+1)*3)</f>
        <v>45986</v>
      </c>
      <c r="HN124" s="115"/>
      <c r="IH124" s="230" cm="1">
        <f t="array" ref="IH124">INDEX(II:II, (ROW()-ROW(IH$100)+1)*3)</f>
        <v>76.900000000000006</v>
      </c>
      <c r="II124" s="113" cm="1">
        <f t="array" ref="II124">INDEX(HO:HO, (ROW()-ROW(II$100)+1)*3)</f>
        <v>46016</v>
      </c>
      <c r="JE124" s="230"/>
      <c r="JF124" s="113" cm="1">
        <f t="array" ref="JF124">INDEX(IK:IK, (ROW()-ROW(JF$100)+1)*3)</f>
        <v>46047</v>
      </c>
    </row>
    <row r="125" spans="43:266" ht="18.75" customHeight="1">
      <c r="AQ125" s="114"/>
      <c r="AR125" s="115"/>
      <c r="BJ125" s="230" cm="1">
        <f t="array" ref="BJ125">INDEX(BK:BK, (ROW()-ROW(BJ$100)+1)*3)</f>
        <v>88.5</v>
      </c>
      <c r="BK125" s="113" cm="1">
        <f t="array" ref="BK125">INDEX(AT:AT, (ROW()-ROW(BK$100)+1)*3)</f>
        <v>45742</v>
      </c>
      <c r="BL125" s="115"/>
      <c r="CC125" s="230" cm="1">
        <f t="array" ref="CC125">INDEX(CD:CD, (ROW()-ROW(CC$100)+1)*3)</f>
        <v>84.3</v>
      </c>
      <c r="CD125" s="113" cm="1">
        <f t="array" ref="CD125">INDEX(BM:BM, (ROW()-ROW(CD$100)+1)*3)</f>
        <v>45773</v>
      </c>
      <c r="CV125" s="230" cm="1">
        <f t="array" ref="CV125">INDEX(CW:CW, (ROW()-ROW(CV$100)+1)*3)</f>
        <v>84.6</v>
      </c>
      <c r="CW125" s="113" cm="1">
        <f t="array" ref="CW125">INDEX(CF:CF, (ROW()-ROW(CW$100)+1)*3)</f>
        <v>45803</v>
      </c>
      <c r="CX125" s="115"/>
      <c r="DO125" s="230" cm="1">
        <f t="array" ref="DO125">INDEX(DP:DP, (ROW()-ROW(DO$100)+1)*3)</f>
        <v>82.9</v>
      </c>
      <c r="DP125" s="113" cm="1">
        <f t="array" ref="DP125">INDEX(CY:CY, (ROW()-ROW(DP$100)+1)*3)</f>
        <v>45834</v>
      </c>
      <c r="EH125" s="230" cm="1">
        <f t="array" ref="EH125">INDEX(EI:EI, (ROW()-ROW(EH$100)+1)*3)</f>
        <v>81.099999999999994</v>
      </c>
      <c r="EI125" s="113" cm="1">
        <f t="array" ref="EI125">INDEX(DR:DR, (ROW()-ROW(EI$100)+1)*3)</f>
        <v>45864</v>
      </c>
      <c r="FA125" s="230" cm="1">
        <f t="array" ref="FA125">INDEX(FB:FB, (ROW()-ROW(FA$100)+1)*3)</f>
        <v>78.099999999999994</v>
      </c>
      <c r="FB125" s="113" cm="1">
        <f t="array" ref="FB125">INDEX(EK:EK, (ROW()-ROW(FB$100)+1)*3)</f>
        <v>45895</v>
      </c>
      <c r="FT125" s="230" cm="1">
        <f t="array" ref="FT125">INDEX(FU:FU, (ROW()-ROW(FT$100)+1)*3)</f>
        <v>79.5</v>
      </c>
      <c r="FU125" s="113" cm="1">
        <f t="array" ref="FU125">INDEX(FD:FD, (ROW()-ROW(FU$100)+1)*3)</f>
        <v>45926</v>
      </c>
      <c r="GP125" s="230" cm="1">
        <f t="array" ref="GP125">INDEX(GQ:GQ, (ROW()-ROW(GP$100)+1)*3)</f>
        <v>77.8</v>
      </c>
      <c r="GQ125" s="113" cm="1">
        <f t="array" ref="GQ125">INDEX(FW:FW, (ROW()-ROW(GQ$100)+1)*3)</f>
        <v>45956</v>
      </c>
      <c r="GR125" s="115"/>
      <c r="HL125" s="230" cm="1">
        <f t="array" ref="HL125">INDEX(HM:HM, (ROW()-ROW(HL$100)+1)*3)</f>
        <v>77.599999999999994</v>
      </c>
      <c r="HM125" s="113" cm="1">
        <f t="array" ref="HM125">INDEX(GS:GS, (ROW()-ROW(HM$100)+1)*3)</f>
        <v>45987</v>
      </c>
      <c r="HN125" s="115"/>
      <c r="IH125" s="230" cm="1">
        <f t="array" ref="IH125">INDEX(II:II, (ROW()-ROW(IH$100)+1)*3)</f>
        <v>76.900000000000006</v>
      </c>
      <c r="II125" s="113" cm="1">
        <f t="array" ref="II125">INDEX(HO:HO, (ROW()-ROW(II$100)+1)*3)</f>
        <v>46017</v>
      </c>
      <c r="JE125" s="230"/>
      <c r="JF125" s="113" cm="1">
        <f t="array" ref="JF125">INDEX(IK:IK, (ROW()-ROW(JF$100)+1)*3)</f>
        <v>46048</v>
      </c>
    </row>
    <row r="126" spans="43:266" ht="18.75" customHeight="1">
      <c r="AQ126" s="114"/>
      <c r="AR126" s="115"/>
      <c r="BJ126" s="230" cm="1">
        <f t="array" ref="BJ126">INDEX(BK:BK, (ROW()-ROW(BJ$100)+1)*3)</f>
        <v>89.2</v>
      </c>
      <c r="BK126" s="113" cm="1">
        <f t="array" ref="BK126">INDEX(AT:AT, (ROW()-ROW(BK$100)+1)*3)</f>
        <v>45743</v>
      </c>
      <c r="BL126" s="115"/>
      <c r="CC126" s="230" cm="1">
        <f t="array" ref="CC126">INDEX(CD:CD, (ROW()-ROW(CC$100)+1)*3)</f>
        <v>84.9</v>
      </c>
      <c r="CD126" s="113" cm="1">
        <f t="array" ref="CD126">INDEX(BM:BM, (ROW()-ROW(CD$100)+1)*3)</f>
        <v>45774</v>
      </c>
      <c r="CV126" s="230" cm="1">
        <f t="array" ref="CV126">INDEX(CW:CW, (ROW()-ROW(CV$100)+1)*3)</f>
        <v>84.1</v>
      </c>
      <c r="CW126" s="113" cm="1">
        <f t="array" ref="CW126">INDEX(CF:CF, (ROW()-ROW(CW$100)+1)*3)</f>
        <v>45804</v>
      </c>
      <c r="CX126" s="115"/>
      <c r="DO126" s="230" cm="1">
        <f t="array" ref="DO126">INDEX(DP:DP, (ROW()-ROW(DO$100)+1)*3)</f>
        <v>82.9</v>
      </c>
      <c r="DP126" s="113" cm="1">
        <f t="array" ref="DP126">INDEX(CY:CY, (ROW()-ROW(DP$100)+1)*3)</f>
        <v>45835</v>
      </c>
      <c r="EH126" s="230" cm="1">
        <f t="array" ref="EH126">INDEX(EI:EI, (ROW()-ROW(EH$100)+1)*3)</f>
        <v>81.099999999999994</v>
      </c>
      <c r="EI126" s="113" cm="1">
        <f t="array" ref="EI126">INDEX(DR:DR, (ROW()-ROW(EI$100)+1)*3)</f>
        <v>45865</v>
      </c>
      <c r="FA126" s="230" cm="1">
        <f t="array" ref="FA126">INDEX(FB:FB, (ROW()-ROW(FA$100)+1)*3)</f>
        <v>79.3</v>
      </c>
      <c r="FB126" s="113" cm="1">
        <f t="array" ref="FB126">INDEX(EK:EK, (ROW()-ROW(FB$100)+1)*3)</f>
        <v>45896</v>
      </c>
      <c r="FT126" s="230" cm="1">
        <f t="array" ref="FT126">INDEX(FU:FU, (ROW()-ROW(FT$100)+1)*3)</f>
        <v>79.5</v>
      </c>
      <c r="FU126" s="113" cm="1">
        <f t="array" ref="FU126">INDEX(FD:FD, (ROW()-ROW(FU$100)+1)*3)</f>
        <v>45927</v>
      </c>
      <c r="GP126" s="230" cm="1">
        <f t="array" ref="GP126">INDEX(GQ:GQ, (ROW()-ROW(GP$100)+1)*3)</f>
        <v>78.3</v>
      </c>
      <c r="GQ126" s="113" cm="1">
        <f t="array" ref="GQ126">INDEX(FW:FW, (ROW()-ROW(GQ$100)+1)*3)</f>
        <v>45957</v>
      </c>
      <c r="GR126" s="115"/>
      <c r="HL126" s="230" cm="1">
        <f t="array" ref="HL126">INDEX(HM:HM, (ROW()-ROW(HL$100)+1)*3)</f>
        <v>77.599999999999994</v>
      </c>
      <c r="HM126" s="113" cm="1">
        <f t="array" ref="HM126">INDEX(GS:GS, (ROW()-ROW(HM$100)+1)*3)</f>
        <v>45988</v>
      </c>
      <c r="HN126" s="115"/>
      <c r="IH126" s="230" cm="1">
        <f t="array" ref="IH126">INDEX(II:II, (ROW()-ROW(IH$100)+1)*3)</f>
        <v>76.900000000000006</v>
      </c>
      <c r="II126" s="113" cm="1">
        <f t="array" ref="II126">INDEX(HO:HO, (ROW()-ROW(II$100)+1)*3)</f>
        <v>46018</v>
      </c>
      <c r="JE126" s="230"/>
      <c r="JF126" s="113" cm="1">
        <f t="array" ref="JF126">INDEX(IK:IK, (ROW()-ROW(JF$100)+1)*3)</f>
        <v>46049</v>
      </c>
    </row>
    <row r="127" spans="43:266" ht="18.75" customHeight="1">
      <c r="AQ127" s="114"/>
      <c r="AR127" s="115"/>
      <c r="BJ127" s="230" cm="1">
        <f t="array" ref="BJ127">INDEX(BK:BK, (ROW()-ROW(BJ$100)+1)*3)</f>
        <v>88.9</v>
      </c>
      <c r="BK127" s="113" cm="1">
        <f t="array" ref="BK127">INDEX(AT:AT, (ROW()-ROW(BK$100)+1)*3)</f>
        <v>45744</v>
      </c>
      <c r="BL127" s="115"/>
      <c r="CC127" s="230" cm="1">
        <f t="array" ref="CC127">INDEX(CD:CD, (ROW()-ROW(CC$100)+1)*3)</f>
        <v>85.3</v>
      </c>
      <c r="CD127" s="113" cm="1">
        <f t="array" ref="CD127">INDEX(BM:BM, (ROW()-ROW(CD$100)+1)*3)</f>
        <v>45775</v>
      </c>
      <c r="CV127" s="230" cm="1">
        <f t="array" ref="CV127">INDEX(CW:CW, (ROW()-ROW(CV$100)+1)*3)</f>
        <v>84.9</v>
      </c>
      <c r="CW127" s="113" cm="1">
        <f t="array" ref="CW127">INDEX(CF:CF, (ROW()-ROW(CW$100)+1)*3)</f>
        <v>45805</v>
      </c>
      <c r="CX127" s="115"/>
      <c r="DO127" s="230" cm="1">
        <f t="array" ref="DO127">INDEX(DP:DP, (ROW()-ROW(DO$100)+1)*3)</f>
        <v>82.9</v>
      </c>
      <c r="DP127" s="113" cm="1">
        <f t="array" ref="DP127">INDEX(CY:CY, (ROW()-ROW(DP$100)+1)*3)</f>
        <v>45836</v>
      </c>
      <c r="EH127" s="230" cm="1">
        <f t="array" ref="EH127">INDEX(EI:EI, (ROW()-ROW(EH$100)+1)*3)</f>
        <v>80.099999999999994</v>
      </c>
      <c r="EI127" s="113" cm="1">
        <f t="array" ref="EI127">INDEX(DR:DR, (ROW()-ROW(EI$100)+1)*3)</f>
        <v>45866</v>
      </c>
      <c r="FA127" s="230" cm="1">
        <f t="array" ref="FA127">INDEX(FB:FB, (ROW()-ROW(FA$100)+1)*3)</f>
        <v>79.2</v>
      </c>
      <c r="FB127" s="113" cm="1">
        <f t="array" ref="FB127">INDEX(EK:EK, (ROW()-ROW(FB$100)+1)*3)</f>
        <v>45897</v>
      </c>
      <c r="FT127" s="230" cm="1">
        <f t="array" ref="FT127">INDEX(FU:FU, (ROW()-ROW(FT$100)+1)*3)</f>
        <v>78.599999999999994</v>
      </c>
      <c r="FU127" s="113" cm="1">
        <f t="array" ref="FU127">INDEX(FD:FD, (ROW()-ROW(FU$100)+1)*3)</f>
        <v>45928</v>
      </c>
      <c r="GP127" s="230" cm="1">
        <f t="array" ref="GP127">INDEX(GQ:GQ, (ROW()-ROW(GP$100)+1)*3)</f>
        <v>78.400000000000006</v>
      </c>
      <c r="GQ127" s="113" cm="1">
        <f t="array" ref="GQ127">INDEX(FW:FW, (ROW()-ROW(GQ$100)+1)*3)</f>
        <v>45958</v>
      </c>
      <c r="GR127" s="115"/>
      <c r="HL127" s="230" cm="1">
        <f t="array" ref="HL127">INDEX(HM:HM, (ROW()-ROW(HL$100)+1)*3)</f>
        <v>77.599999999999994</v>
      </c>
      <c r="HM127" s="113" cm="1">
        <f t="array" ref="HM127">INDEX(GS:GS, (ROW()-ROW(HM$100)+1)*3)</f>
        <v>45989</v>
      </c>
      <c r="HN127" s="115"/>
      <c r="IH127" s="230" cm="1">
        <f t="array" ref="IH127">INDEX(II:II, (ROW()-ROW(IH$100)+1)*3)</f>
        <v>76.900000000000006</v>
      </c>
      <c r="II127" s="113" cm="1">
        <f t="array" ref="II127">INDEX(HO:HO, (ROW()-ROW(II$100)+1)*3)</f>
        <v>46019</v>
      </c>
      <c r="JE127" s="230"/>
      <c r="JF127" s="113" cm="1">
        <f t="array" ref="JF127">INDEX(IK:IK, (ROW()-ROW(JF$100)+1)*3)</f>
        <v>46050</v>
      </c>
    </row>
    <row r="128" spans="43:266" ht="18.75" customHeight="1">
      <c r="AQ128" s="114"/>
      <c r="AR128" s="115"/>
      <c r="BJ128" s="230" cm="1">
        <f t="array" ref="BJ128">INDEX(BK:BK, (ROW()-ROW(BJ$100)+1)*3)</f>
        <v>87.6</v>
      </c>
      <c r="BK128" s="113" cm="1">
        <f t="array" ref="BK128">INDEX(AT:AT, (ROW()-ROW(BK$100)+1)*3)</f>
        <v>45745</v>
      </c>
      <c r="BL128" s="115"/>
      <c r="CC128" s="230" cm="1">
        <f t="array" ref="CC128">INDEX(CD:CD, (ROW()-ROW(CC$100)+1)*3)</f>
        <v>85.7</v>
      </c>
      <c r="CD128" s="113" cm="1">
        <f t="array" ref="CD128">INDEX(BM:BM, (ROW()-ROW(CD$100)+1)*3)</f>
        <v>45776</v>
      </c>
      <c r="CV128" s="230" cm="1">
        <f t="array" ref="CV128">INDEX(CW:CW, (ROW()-ROW(CV$100)+1)*3)</f>
        <v>84.9</v>
      </c>
      <c r="CW128" s="113" cm="1">
        <f t="array" ref="CW128">INDEX(CF:CF, (ROW()-ROW(CW$100)+1)*3)</f>
        <v>45806</v>
      </c>
      <c r="CX128" s="115"/>
      <c r="DO128" s="230" cm="1">
        <f t="array" ref="DO128">INDEX(DP:DP, (ROW()-ROW(DO$100)+1)*3)</f>
        <v>81.599999999999994</v>
      </c>
      <c r="DP128" s="113" cm="1">
        <f t="array" ref="DP128">INDEX(CY:CY, (ROW()-ROW(DP$100)+1)*3)</f>
        <v>45837</v>
      </c>
      <c r="EH128" s="230" cm="1">
        <f t="array" ref="EH128">INDEX(EI:EI, (ROW()-ROW(EH$100)+1)*3)</f>
        <v>80.599999999999994</v>
      </c>
      <c r="EI128" s="113" cm="1">
        <f t="array" ref="EI128">INDEX(DR:DR, (ROW()-ROW(EI$100)+1)*3)</f>
        <v>45867</v>
      </c>
      <c r="FA128" s="230" cm="1">
        <f t="array" ref="FA128">INDEX(FB:FB, (ROW()-ROW(FA$100)+1)*3)</f>
        <v>79.2</v>
      </c>
      <c r="FB128" s="113" cm="1">
        <f t="array" ref="FB128">INDEX(EK:EK, (ROW()-ROW(FB$100)+1)*3)</f>
        <v>45898</v>
      </c>
      <c r="FT128" s="230" cm="1">
        <f t="array" ref="FT128">INDEX(FU:FU, (ROW()-ROW(FT$100)+1)*3)</f>
        <v>78.599999999999994</v>
      </c>
      <c r="FU128" s="113" cm="1">
        <f t="array" ref="FU128">INDEX(FD:FD, (ROW()-ROW(FU$100)+1)*3)</f>
        <v>45929</v>
      </c>
      <c r="GP128" s="230" cm="1">
        <f t="array" ref="GP128">INDEX(GQ:GQ, (ROW()-ROW(GP$100)+1)*3)</f>
        <v>78.400000000000006</v>
      </c>
      <c r="GQ128" s="113" cm="1">
        <f t="array" ref="GQ128">INDEX(FW:FW, (ROW()-ROW(GQ$100)+1)*3)</f>
        <v>45959</v>
      </c>
      <c r="GR128" s="115"/>
      <c r="HL128" s="230" cm="1">
        <f t="array" ref="HL128">INDEX(HM:HM, (ROW()-ROW(HL$100)+1)*3)</f>
        <v>76.8</v>
      </c>
      <c r="HM128" s="113" cm="1">
        <f t="array" ref="HM128">INDEX(GS:GS, (ROW()-ROW(HM$100)+1)*3)</f>
        <v>45990</v>
      </c>
      <c r="HN128" s="115"/>
      <c r="IH128" s="230" cm="1">
        <f t="array" ref="IH128">INDEX(II:II, (ROW()-ROW(IH$100)+1)*3)</f>
        <v>76.900000000000006</v>
      </c>
      <c r="II128" s="113" cm="1">
        <f t="array" ref="II128">INDEX(HO:HO, (ROW()-ROW(II$100)+1)*3)</f>
        <v>46020</v>
      </c>
      <c r="JE128" s="230"/>
      <c r="JF128" s="113" cm="1">
        <f t="array" ref="JF128">INDEX(IK:IK, (ROW()-ROW(JF$100)+1)*3)</f>
        <v>46051</v>
      </c>
    </row>
    <row r="129" spans="43:266" ht="18.75" customHeight="1">
      <c r="AQ129" s="114"/>
      <c r="AR129" s="115"/>
      <c r="BJ129" s="230" cm="1">
        <f t="array" ref="BJ129">INDEX(BK:BK, (ROW()-ROW(BJ$100)+1)*3)</f>
        <v>87.6</v>
      </c>
      <c r="BK129" s="113" cm="1">
        <f t="array" ref="BK129">INDEX(AT:AT, (ROW()-ROW(BK$100)+1)*3)</f>
        <v>45746</v>
      </c>
      <c r="BL129" s="115"/>
      <c r="CC129" s="230" cm="1">
        <f t="array" ref="CC129">INDEX(CD:CD, (ROW()-ROW(CC$100)+1)*3)</f>
        <v>85.7</v>
      </c>
      <c r="CD129" s="113" cm="1">
        <f t="array" ref="CD129">INDEX(BM:BM, (ROW()-ROW(CD$100)+1)*3)</f>
        <v>45777</v>
      </c>
      <c r="CV129" s="230" cm="1">
        <f t="array" ref="CV129">INDEX(CW:CW, (ROW()-ROW(CV$100)+1)*3)</f>
        <v>83.6</v>
      </c>
      <c r="CW129" s="113" cm="1">
        <f t="array" ref="CW129">INDEX(CF:CF, (ROW()-ROW(CW$100)+1)*3)</f>
        <v>45807</v>
      </c>
      <c r="CX129" s="115"/>
      <c r="DO129" s="230" cm="1">
        <f t="array" ref="DO129">INDEX(DP:DP, (ROW()-ROW(DO$100)+1)*3)</f>
        <v>82.2</v>
      </c>
      <c r="DP129" s="113" cm="1">
        <f t="array" ref="DP129">INDEX(CY:CY, (ROW()-ROW(DP$100)+1)*3)</f>
        <v>45838</v>
      </c>
      <c r="EH129" s="230" cm="1">
        <f t="array" ref="EH129">INDEX(EI:EI, (ROW()-ROW(EH$100)+1)*3)</f>
        <v>80.599999999999994</v>
      </c>
      <c r="EI129" s="113" cm="1">
        <f t="array" ref="EI129">INDEX(DR:DR, (ROW()-ROW(EI$100)+1)*3)</f>
        <v>45868</v>
      </c>
      <c r="FA129" s="230" cm="1">
        <f t="array" ref="FA129">INDEX(FB:FB, (ROW()-ROW(FA$100)+1)*3)</f>
        <v>79.2</v>
      </c>
      <c r="FB129" s="113" cm="1">
        <f t="array" ref="FB129">INDEX(EK:EK, (ROW()-ROW(FB$100)+1)*3)</f>
        <v>45899</v>
      </c>
      <c r="FT129" s="230" cm="1">
        <f t="array" ref="FT129">INDEX(FU:FU, (ROW()-ROW(FT$100)+1)*3)</f>
        <v>79</v>
      </c>
      <c r="FU129" s="113" cm="1">
        <f t="array" ref="FU129">INDEX(FD:FD, (ROW()-ROW(FU$100)+1)*3)</f>
        <v>45930</v>
      </c>
      <c r="GP129" s="230" cm="1">
        <f t="array" ref="GP129">INDEX(GQ:GQ, (ROW()-ROW(GP$100)+1)*3)</f>
        <v>78.099999999999994</v>
      </c>
      <c r="GQ129" s="113" cm="1">
        <f t="array" ref="GQ129">INDEX(FW:FW, (ROW()-ROW(GQ$100)+1)*3)</f>
        <v>45960</v>
      </c>
      <c r="GR129" s="115"/>
      <c r="HL129" s="230" cm="1">
        <f t="array" ref="HL129">INDEX(HM:HM, (ROW()-ROW(HL$100)+1)*3)</f>
        <v>76.8</v>
      </c>
      <c r="HM129" s="113" cm="1">
        <f t="array" ref="HM129">INDEX(GS:GS, (ROW()-ROW(HM$100)+1)*3)</f>
        <v>45991</v>
      </c>
      <c r="HN129" s="115"/>
      <c r="IH129" s="230" cm="1">
        <f t="array" ref="IH129">INDEX(II:II, (ROW()-ROW(IH$100)+1)*3)</f>
        <v>76.900000000000006</v>
      </c>
      <c r="II129" s="113" cm="1">
        <f t="array" ref="II129">INDEX(HO:HO, (ROW()-ROW(II$100)+1)*3)</f>
        <v>46021</v>
      </c>
      <c r="JE129" s="230"/>
      <c r="JF129" s="113" cm="1">
        <f t="array" ref="JF129">INDEX(IK:IK, (ROW()-ROW(JF$100)+1)*3)</f>
        <v>46052</v>
      </c>
    </row>
    <row r="130" spans="43:266" ht="18.75" customHeight="1">
      <c r="AQ130" s="114"/>
      <c r="AR130" s="115"/>
      <c r="BJ130" s="230" cm="1">
        <f t="array" ref="BJ130">INDEX(BK:BK, (ROW()-ROW(BJ$100)+1)*3)</f>
        <v>87.9</v>
      </c>
      <c r="BK130" s="113" cm="1">
        <f t="array" ref="BK130">INDEX(AT:AT, (ROW()-ROW(BK$100)+1)*3)</f>
        <v>45747</v>
      </c>
      <c r="BL130" s="115"/>
      <c r="CC130" s="119"/>
      <c r="CD130" s="120" cm="1">
        <f t="array" ref="CD130">INDEX(BM:BM, (ROW()-ROW(CD$100)+1)*3)</f>
        <v>0</v>
      </c>
      <c r="CV130" s="230" cm="1">
        <f t="array" ref="CV130">INDEX(CW:CW, (ROW()-ROW(CV$100)+1)*3)</f>
        <v>83.6</v>
      </c>
      <c r="CW130" s="113" cm="1">
        <f t="array" ref="CW130">INDEX(CF:CF, (ROW()-ROW(CW$100)+1)*3)</f>
        <v>45808</v>
      </c>
      <c r="CX130" s="115"/>
      <c r="DO130" s="119"/>
      <c r="DP130" s="120" cm="1">
        <f t="array" ref="DP130">INDEX(CY:CY, (ROW()-ROW(DP$100)+1)*3)</f>
        <v>0</v>
      </c>
      <c r="EH130" s="230" cm="1">
        <f t="array" ref="EH130">INDEX(EI:EI, (ROW()-ROW(EH$100)+1)*3)</f>
        <v>80.3</v>
      </c>
      <c r="EI130" s="113" cm="1">
        <f t="array" ref="EI130">INDEX(DR:DR, (ROW()-ROW(EI$100)+1)*3)</f>
        <v>45869</v>
      </c>
      <c r="FA130" s="230" cm="1">
        <f t="array" ref="FA130">INDEX(FB:FB, (ROW()-ROW(FA$100)+1)*3)</f>
        <v>79.599999999999994</v>
      </c>
      <c r="FB130" s="113" cm="1">
        <f t="array" ref="FB130">INDEX(EK:EK, (ROW()-ROW(FB$100)+1)*3)</f>
        <v>45900</v>
      </c>
      <c r="FT130" s="119"/>
      <c r="FU130" s="120" cm="1">
        <f t="array" ref="FU130">INDEX(FD:FD, (ROW()-ROW(FU$100)+1)*3)</f>
        <v>0</v>
      </c>
      <c r="GP130" s="230" cm="1">
        <f t="array" ref="GP130">INDEX(GQ:GQ, (ROW()-ROW(GP$100)+1)*3)</f>
        <v>78.099999999999994</v>
      </c>
      <c r="GQ130" s="113" cm="1">
        <f t="array" ref="GQ130">INDEX(FW:FW, (ROW()-ROW(GQ$100)+1)*3)</f>
        <v>45961</v>
      </c>
      <c r="GR130" s="115"/>
      <c r="HL130" s="119"/>
      <c r="HM130" s="120"/>
      <c r="HN130" s="115"/>
      <c r="IH130" s="230" cm="1">
        <f t="array" ref="IH130">INDEX(II:II, (ROW()-ROW(IH$100)+1)*3)</f>
        <v>76.900000000000006</v>
      </c>
      <c r="II130" s="113" cm="1">
        <f t="array" ref="II130">INDEX(HO:HO, (ROW()-ROW(II$100)+1)*3)</f>
        <v>46022</v>
      </c>
      <c r="JE130" s="230"/>
      <c r="JF130" s="113" cm="1">
        <f t="array" ref="JF130">INDEX(IK:IK, (ROW()-ROW(JF$100)+1)*3)</f>
        <v>46053</v>
      </c>
    </row>
    <row r="131" spans="43:266" ht="18.75" customHeight="1">
      <c r="AQ131" s="114"/>
      <c r="AR131" s="115"/>
      <c r="BJ131" s="111"/>
      <c r="BK131" s="112"/>
      <c r="BL131" s="112"/>
      <c r="CC131" s="111"/>
      <c r="CD131" s="112"/>
      <c r="CV131" s="111"/>
      <c r="CW131" s="112"/>
      <c r="CX131" s="112"/>
      <c r="DO131" s="111"/>
      <c r="DP131" s="112"/>
      <c r="EH131" s="111"/>
      <c r="EI131" s="112"/>
      <c r="FA131" s="111"/>
      <c r="FB131" s="112"/>
      <c r="FT131" s="111"/>
      <c r="FU131" s="112"/>
      <c r="GP131" s="111"/>
      <c r="GQ131" s="112"/>
      <c r="GR131" s="112"/>
      <c r="HL131" s="111"/>
      <c r="HM131" s="112"/>
      <c r="HN131" s="112"/>
      <c r="IH131" s="111"/>
      <c r="II131" s="112"/>
      <c r="JE131" s="111"/>
      <c r="JF131" s="112"/>
    </row>
    <row r="132" spans="43:266" ht="18.75" customHeight="1">
      <c r="AQ132" s="114"/>
      <c r="AR132" s="115"/>
      <c r="BJ132" s="111"/>
      <c r="BK132" s="112"/>
      <c r="BL132" s="112"/>
      <c r="CC132" s="111"/>
      <c r="CD132" s="112"/>
      <c r="CV132" s="111"/>
      <c r="CW132" s="112"/>
      <c r="CX132" s="112"/>
      <c r="DO132" s="111"/>
      <c r="DP132" s="112"/>
      <c r="EH132" s="111"/>
      <c r="EI132" s="112"/>
      <c r="FA132" s="111"/>
      <c r="FB132" s="112"/>
      <c r="FT132" s="111"/>
      <c r="FU132" s="112"/>
      <c r="GP132" s="111"/>
      <c r="GQ132" s="112"/>
      <c r="GR132" s="112"/>
      <c r="HL132" s="111"/>
      <c r="HM132" s="112"/>
      <c r="HN132" s="112"/>
      <c r="IH132" s="111"/>
      <c r="II132" s="112"/>
      <c r="JE132" s="111"/>
      <c r="JF132" s="112"/>
    </row>
    <row r="133" spans="43:266" ht="18.75" customHeight="1">
      <c r="BJ133" s="111"/>
      <c r="BK133" s="112"/>
      <c r="BL133" s="112"/>
      <c r="CC133" s="111"/>
      <c r="CD133" s="112"/>
      <c r="CV133" s="111"/>
      <c r="CW133" s="112"/>
      <c r="CX133" s="112"/>
      <c r="DO133" s="111"/>
      <c r="DP133" s="112"/>
      <c r="EH133" s="111"/>
      <c r="EI133" s="112"/>
      <c r="FA133" s="111"/>
      <c r="FB133" s="112"/>
      <c r="FT133" s="111"/>
      <c r="FU133" s="112"/>
      <c r="GP133" s="111"/>
      <c r="GQ133" s="112"/>
      <c r="GR133" s="112"/>
      <c r="HL133" s="111"/>
      <c r="HM133" s="112"/>
      <c r="HN133" s="112"/>
      <c r="IH133" s="111"/>
      <c r="II133" s="112"/>
      <c r="JE133" s="111"/>
      <c r="JF133" s="112"/>
    </row>
    <row r="134" spans="43:266" ht="18.75" customHeight="1">
      <c r="BJ134" s="111"/>
      <c r="BK134" s="112"/>
      <c r="BL134" s="112"/>
      <c r="CC134" s="111"/>
      <c r="CD134" s="112"/>
      <c r="CV134" s="111"/>
      <c r="CW134" s="112"/>
      <c r="CX134" s="112"/>
      <c r="DO134" s="111"/>
      <c r="DP134" s="112"/>
      <c r="EH134" s="111"/>
      <c r="EI134" s="112"/>
      <c r="FA134" s="111"/>
      <c r="FB134" s="112"/>
      <c r="FT134" s="111"/>
      <c r="FU134" s="112"/>
      <c r="GP134" s="111"/>
      <c r="GQ134" s="112"/>
      <c r="GR134" s="112"/>
      <c r="HL134" s="111"/>
      <c r="HM134" s="112"/>
      <c r="HN134" s="112"/>
      <c r="IH134" s="111"/>
      <c r="II134" s="112"/>
      <c r="JE134" s="111"/>
      <c r="JF134" s="112"/>
    </row>
    <row r="135" spans="43:266" ht="18.75" customHeight="1">
      <c r="BJ135" s="111"/>
      <c r="BK135" s="112"/>
      <c r="BL135" s="112"/>
      <c r="CC135" s="111"/>
      <c r="CD135" s="112"/>
      <c r="CV135" s="111"/>
      <c r="CW135" s="112"/>
      <c r="CX135" s="112"/>
      <c r="DO135" s="111"/>
      <c r="DP135" s="112"/>
      <c r="EH135" s="111"/>
      <c r="EI135" s="112"/>
      <c r="FA135" s="111"/>
      <c r="FB135" s="112"/>
      <c r="FT135" s="111"/>
      <c r="FU135" s="112"/>
      <c r="GP135" s="111"/>
      <c r="GQ135" s="112"/>
      <c r="GR135" s="112"/>
      <c r="HL135" s="111"/>
      <c r="HM135" s="112"/>
      <c r="HN135" s="112"/>
      <c r="IH135" s="111"/>
      <c r="II135" s="112"/>
      <c r="JE135" s="111"/>
      <c r="JF135" s="112"/>
    </row>
    <row r="136" spans="43:266" ht="18.75" customHeight="1">
      <c r="BJ136" s="111"/>
      <c r="BK136" s="112"/>
      <c r="BL136" s="112"/>
      <c r="CC136" s="111"/>
      <c r="CD136" s="112"/>
      <c r="CV136" s="111"/>
      <c r="CW136" s="112"/>
      <c r="CX136" s="112"/>
      <c r="DO136" s="111"/>
      <c r="DP136" s="112"/>
      <c r="EH136" s="111"/>
      <c r="EI136" s="112"/>
      <c r="FA136" s="111"/>
      <c r="FB136" s="112"/>
      <c r="FT136" s="111"/>
      <c r="FU136" s="112"/>
      <c r="GP136" s="111"/>
      <c r="GQ136" s="112"/>
      <c r="GR136" s="112"/>
      <c r="HL136" s="111"/>
      <c r="HM136" s="112"/>
      <c r="HN136" s="112"/>
      <c r="IH136" s="111"/>
      <c r="II136" s="112"/>
      <c r="JE136" s="111"/>
      <c r="JF136" s="112"/>
    </row>
    <row r="137" spans="43:266" ht="18.75" customHeight="1">
      <c r="BJ137" s="111"/>
      <c r="BK137" s="112"/>
      <c r="BL137" s="112"/>
      <c r="CC137" s="111"/>
      <c r="CD137" s="112"/>
      <c r="CV137" s="111"/>
      <c r="CW137" s="112"/>
      <c r="CX137" s="112"/>
      <c r="DO137" s="111"/>
      <c r="DP137" s="112"/>
      <c r="EH137" s="111"/>
      <c r="EI137" s="112"/>
      <c r="FA137" s="111"/>
      <c r="FB137" s="112"/>
      <c r="FT137" s="111"/>
      <c r="FU137" s="112"/>
      <c r="GP137" s="111"/>
      <c r="GQ137" s="112"/>
      <c r="GR137" s="112"/>
      <c r="HL137" s="111"/>
      <c r="HM137" s="112"/>
      <c r="HN137" s="112"/>
      <c r="IH137" s="111"/>
      <c r="II137" s="112"/>
      <c r="JE137" s="111"/>
      <c r="JF137" s="112"/>
    </row>
    <row r="138" spans="43:266" ht="18.75" customHeight="1">
      <c r="BJ138" s="111"/>
      <c r="BK138" s="112"/>
      <c r="BL138" s="112"/>
      <c r="CC138" s="111"/>
      <c r="CD138" s="112"/>
      <c r="CV138" s="111"/>
      <c r="CW138" s="112"/>
      <c r="CX138" s="112"/>
      <c r="DO138" s="111"/>
      <c r="DP138" s="112"/>
      <c r="EH138" s="111"/>
      <c r="EI138" s="112"/>
      <c r="FA138" s="111"/>
      <c r="FB138" s="112"/>
      <c r="FT138" s="111"/>
      <c r="FU138" s="112"/>
      <c r="GP138" s="111"/>
      <c r="GQ138" s="112"/>
      <c r="GR138" s="112"/>
      <c r="HL138" s="111"/>
      <c r="HM138" s="112"/>
      <c r="HN138" s="112"/>
      <c r="IH138" s="111"/>
      <c r="II138" s="112"/>
      <c r="JE138" s="111"/>
      <c r="JF138" s="112"/>
    </row>
    <row r="139" spans="43:266" ht="18.75" customHeight="1">
      <c r="BJ139" s="111"/>
      <c r="BK139" s="112"/>
      <c r="BL139" s="112"/>
      <c r="CC139" s="111"/>
      <c r="CD139" s="112"/>
      <c r="CV139" s="111"/>
      <c r="CW139" s="112"/>
      <c r="CX139" s="112"/>
      <c r="DO139" s="111"/>
      <c r="DP139" s="112"/>
      <c r="EH139" s="111"/>
      <c r="EI139" s="112"/>
      <c r="FA139" s="111"/>
      <c r="FB139" s="112"/>
      <c r="FT139" s="111"/>
      <c r="FU139" s="112"/>
      <c r="GP139" s="111"/>
      <c r="GQ139" s="112"/>
      <c r="GR139" s="112"/>
      <c r="HL139" s="111"/>
      <c r="HM139" s="112"/>
      <c r="HN139" s="112"/>
      <c r="IH139" s="111"/>
      <c r="II139" s="112"/>
      <c r="JE139" s="111"/>
      <c r="JF139" s="112"/>
    </row>
    <row r="140" spans="43:266" ht="18.75" customHeight="1">
      <c r="BJ140" s="111"/>
      <c r="BK140" s="112"/>
      <c r="BL140" s="112"/>
      <c r="CC140" s="111"/>
      <c r="CD140" s="112"/>
      <c r="CV140" s="111"/>
      <c r="CW140" s="112"/>
      <c r="CX140" s="112"/>
      <c r="DO140" s="111"/>
      <c r="DP140" s="112"/>
      <c r="EH140" s="111"/>
      <c r="EI140" s="112"/>
      <c r="FA140" s="111"/>
      <c r="FB140" s="112"/>
      <c r="FT140" s="111"/>
      <c r="FU140" s="112"/>
      <c r="GP140" s="111"/>
      <c r="GQ140" s="112"/>
      <c r="GR140" s="112"/>
      <c r="HL140" s="111"/>
      <c r="HM140" s="112"/>
      <c r="HN140" s="112"/>
      <c r="IH140" s="111"/>
      <c r="II140" s="112"/>
      <c r="JE140" s="111"/>
      <c r="JF140" s="112"/>
    </row>
    <row r="141" spans="43:266" ht="18.75" customHeight="1">
      <c r="BJ141" s="111"/>
      <c r="BK141" s="112"/>
      <c r="BL141" s="112"/>
      <c r="CC141" s="111"/>
      <c r="CD141" s="112"/>
      <c r="CV141" s="111"/>
      <c r="CW141" s="112"/>
      <c r="CX141" s="112"/>
      <c r="DO141" s="111"/>
      <c r="DP141" s="112"/>
      <c r="EH141" s="111"/>
      <c r="EI141" s="112"/>
      <c r="FA141" s="111"/>
      <c r="FB141" s="112"/>
      <c r="FT141" s="111"/>
      <c r="FU141" s="112"/>
      <c r="GP141" s="111"/>
      <c r="GQ141" s="112"/>
      <c r="GR141" s="112"/>
      <c r="HL141" s="111"/>
      <c r="HM141" s="112"/>
      <c r="HN141" s="112"/>
      <c r="IH141" s="111"/>
      <c r="II141" s="112"/>
      <c r="JE141" s="111"/>
      <c r="JF141" s="112"/>
    </row>
    <row r="142" spans="43:266" ht="18.75" customHeight="1">
      <c r="BJ142" s="111"/>
      <c r="BK142" s="112"/>
      <c r="BL142" s="112"/>
      <c r="CC142" s="111"/>
      <c r="CD142" s="112"/>
      <c r="CV142" s="111"/>
      <c r="CW142" s="112"/>
      <c r="CX142" s="112"/>
      <c r="DO142" s="111"/>
      <c r="DP142" s="112"/>
      <c r="EH142" s="111"/>
      <c r="EI142" s="112"/>
      <c r="FA142" s="111"/>
      <c r="FB142" s="112"/>
      <c r="FT142" s="111"/>
      <c r="FU142" s="112"/>
      <c r="GP142" s="111"/>
      <c r="GQ142" s="112"/>
      <c r="GR142" s="112"/>
      <c r="HL142" s="111"/>
      <c r="HM142" s="112"/>
      <c r="HN142" s="112"/>
      <c r="IH142" s="111"/>
      <c r="II142" s="112"/>
      <c r="JE142" s="111"/>
      <c r="JF142" s="112"/>
    </row>
    <row r="143" spans="43:266" ht="18.75" customHeight="1">
      <c r="BJ143" s="111"/>
      <c r="BK143" s="112"/>
      <c r="BL143" s="112"/>
      <c r="CC143" s="111"/>
      <c r="CD143" s="112"/>
      <c r="CV143" s="111"/>
      <c r="CW143" s="112"/>
      <c r="CX143" s="112"/>
      <c r="DO143" s="111"/>
      <c r="DP143" s="112"/>
      <c r="EH143" s="111"/>
      <c r="EI143" s="112"/>
      <c r="FA143" s="111"/>
      <c r="FB143" s="112"/>
      <c r="FT143" s="111"/>
      <c r="FU143" s="112"/>
      <c r="GP143" s="111"/>
      <c r="GQ143" s="112"/>
      <c r="GR143" s="112"/>
      <c r="HL143" s="111"/>
      <c r="HM143" s="112"/>
      <c r="HN143" s="112"/>
      <c r="IH143" s="111"/>
      <c r="II143" s="112"/>
      <c r="JE143" s="111"/>
      <c r="JF143" s="112"/>
    </row>
    <row r="144" spans="43:266" ht="18.75" customHeight="1">
      <c r="BJ144" s="111"/>
      <c r="BK144" s="112"/>
      <c r="BL144" s="112"/>
      <c r="CC144" s="111"/>
      <c r="CD144" s="112"/>
      <c r="CV144" s="111"/>
      <c r="CW144" s="112"/>
      <c r="CX144" s="112"/>
      <c r="DO144" s="111"/>
      <c r="DP144" s="112"/>
      <c r="EH144" s="111"/>
      <c r="EI144" s="112"/>
      <c r="FA144" s="111"/>
      <c r="FB144" s="112"/>
      <c r="FT144" s="111"/>
      <c r="FU144" s="112"/>
      <c r="GP144" s="111"/>
      <c r="GQ144" s="112"/>
      <c r="GR144" s="112"/>
      <c r="HL144" s="111"/>
      <c r="HM144" s="112"/>
      <c r="HN144" s="112"/>
      <c r="IH144" s="111"/>
      <c r="II144" s="112"/>
      <c r="JE144" s="111"/>
      <c r="JF144" s="112"/>
    </row>
    <row r="145" spans="62:266" ht="18.75" customHeight="1">
      <c r="BJ145" s="111"/>
      <c r="BK145" s="112"/>
      <c r="BL145" s="112"/>
      <c r="CC145" s="111"/>
      <c r="CD145" s="112"/>
      <c r="CV145" s="111"/>
      <c r="CW145" s="112"/>
      <c r="CX145" s="112"/>
      <c r="DO145" s="111"/>
      <c r="DP145" s="112"/>
      <c r="EH145" s="111"/>
      <c r="EI145" s="112"/>
      <c r="FA145" s="111"/>
      <c r="FB145" s="112"/>
      <c r="FT145" s="111"/>
      <c r="FU145" s="112"/>
      <c r="GP145" s="111"/>
      <c r="GQ145" s="112"/>
      <c r="GR145" s="112"/>
      <c r="HL145" s="111"/>
      <c r="HM145" s="112"/>
      <c r="HN145" s="112"/>
      <c r="IH145" s="111"/>
      <c r="II145" s="112"/>
      <c r="JE145" s="111"/>
      <c r="JF145" s="112"/>
    </row>
    <row r="146" spans="62:266" ht="18.75" customHeight="1">
      <c r="BJ146" s="111"/>
      <c r="BK146" s="112"/>
      <c r="BL146" s="112"/>
      <c r="CC146" s="111"/>
      <c r="CD146" s="112"/>
      <c r="CV146" s="111"/>
      <c r="CW146" s="112"/>
      <c r="CX146" s="112"/>
      <c r="DO146" s="111"/>
      <c r="DP146" s="112"/>
      <c r="EH146" s="111"/>
      <c r="EI146" s="112"/>
      <c r="FA146" s="111"/>
      <c r="FB146" s="112"/>
      <c r="FT146" s="111"/>
      <c r="FU146" s="112"/>
      <c r="GP146" s="111"/>
      <c r="GQ146" s="112"/>
      <c r="GR146" s="112"/>
      <c r="HL146" s="111"/>
      <c r="HM146" s="112"/>
      <c r="HN146" s="112"/>
      <c r="IH146" s="111"/>
      <c r="II146" s="112"/>
      <c r="JE146" s="111"/>
      <c r="JF146" s="112"/>
    </row>
    <row r="147" spans="62:266" ht="18.75" customHeight="1">
      <c r="BJ147" s="111"/>
      <c r="BK147" s="112"/>
      <c r="BL147" s="112"/>
      <c r="CC147" s="111"/>
      <c r="CD147" s="112"/>
      <c r="CV147" s="111"/>
      <c r="CW147" s="112"/>
      <c r="CX147" s="112"/>
      <c r="DO147" s="111"/>
      <c r="DP147" s="112"/>
      <c r="EH147" s="111"/>
      <c r="EI147" s="112"/>
      <c r="FA147" s="111"/>
      <c r="FB147" s="112"/>
      <c r="FT147" s="111"/>
      <c r="FU147" s="112"/>
      <c r="GP147" s="111"/>
      <c r="GQ147" s="112"/>
      <c r="GR147" s="112"/>
      <c r="HL147" s="111"/>
      <c r="HM147" s="112"/>
      <c r="HN147" s="112"/>
      <c r="IH147" s="111"/>
      <c r="II147" s="112"/>
      <c r="JE147" s="111"/>
      <c r="JF147" s="112"/>
    </row>
    <row r="148" spans="62:266" ht="18.75" customHeight="1">
      <c r="BJ148" s="111"/>
      <c r="BK148" s="112"/>
      <c r="BL148" s="112"/>
      <c r="CC148" s="111"/>
      <c r="CD148" s="112"/>
      <c r="CV148" s="111"/>
      <c r="CW148" s="112"/>
      <c r="CX148" s="112"/>
      <c r="DO148" s="111"/>
      <c r="DP148" s="112"/>
      <c r="EH148" s="111"/>
      <c r="EI148" s="112"/>
      <c r="FA148" s="111"/>
      <c r="FB148" s="112"/>
      <c r="FT148" s="111"/>
      <c r="FU148" s="112"/>
      <c r="GP148" s="111"/>
      <c r="GQ148" s="112"/>
      <c r="GR148" s="112"/>
      <c r="HL148" s="111"/>
      <c r="HM148" s="112"/>
      <c r="HN148" s="112"/>
      <c r="IH148" s="111"/>
      <c r="II148" s="112"/>
      <c r="JE148" s="111"/>
      <c r="JF148" s="112"/>
    </row>
    <row r="149" spans="62:266" ht="18.75" customHeight="1">
      <c r="BJ149" s="111"/>
      <c r="BK149" s="112"/>
      <c r="BL149" s="112"/>
      <c r="CC149" s="111"/>
      <c r="CD149" s="112"/>
      <c r="CV149" s="111"/>
      <c r="CW149" s="112"/>
      <c r="CX149" s="112"/>
      <c r="DO149" s="111"/>
      <c r="DP149" s="112"/>
      <c r="EH149" s="111"/>
      <c r="EI149" s="112"/>
      <c r="FA149" s="111"/>
      <c r="FB149" s="112"/>
      <c r="FT149" s="111"/>
      <c r="FU149" s="112"/>
      <c r="GP149" s="111"/>
      <c r="GQ149" s="112"/>
      <c r="GR149" s="112"/>
      <c r="HL149" s="111"/>
      <c r="HM149" s="112"/>
      <c r="HN149" s="112"/>
      <c r="IH149" s="111"/>
      <c r="II149" s="112"/>
      <c r="JE149" s="111"/>
      <c r="JF149" s="112"/>
    </row>
    <row r="150" spans="62:266" ht="18.75" customHeight="1">
      <c r="BJ150" s="111"/>
      <c r="BK150" s="112"/>
      <c r="BL150" s="112"/>
      <c r="CC150" s="111"/>
      <c r="CD150" s="112"/>
      <c r="CV150" s="111"/>
      <c r="CW150" s="112"/>
      <c r="CX150" s="112"/>
      <c r="DO150" s="111"/>
      <c r="DP150" s="112"/>
      <c r="EH150" s="111"/>
      <c r="EI150" s="112"/>
      <c r="FA150" s="111"/>
      <c r="FB150" s="112"/>
      <c r="FT150" s="111"/>
      <c r="FU150" s="112"/>
      <c r="GP150" s="111"/>
      <c r="GQ150" s="112"/>
      <c r="GR150" s="112"/>
      <c r="HL150" s="111"/>
      <c r="HM150" s="112"/>
      <c r="HN150" s="112"/>
      <c r="IH150" s="111"/>
      <c r="II150" s="112"/>
      <c r="JE150" s="111"/>
      <c r="JF150" s="112"/>
    </row>
    <row r="151" spans="62:266" ht="18.75" customHeight="1">
      <c r="BJ151" s="111"/>
      <c r="BK151" s="112"/>
      <c r="BL151" s="112"/>
      <c r="CC151" s="111"/>
      <c r="CD151" s="112"/>
      <c r="CV151" s="111"/>
      <c r="CW151" s="112"/>
      <c r="CX151" s="112"/>
      <c r="DO151" s="111"/>
      <c r="DP151" s="112"/>
      <c r="EH151" s="111"/>
      <c r="EI151" s="112"/>
      <c r="FA151" s="111"/>
      <c r="FB151" s="112"/>
      <c r="FT151" s="111"/>
      <c r="FU151" s="112"/>
      <c r="GP151" s="111"/>
      <c r="GQ151" s="112"/>
      <c r="GR151" s="112"/>
      <c r="HL151" s="111"/>
      <c r="HM151" s="112"/>
      <c r="HN151" s="112"/>
      <c r="IH151" s="111"/>
      <c r="II151" s="112"/>
      <c r="JE151" s="111"/>
      <c r="JF151" s="112"/>
    </row>
    <row r="152" spans="62:266" ht="18.75" customHeight="1">
      <c r="BJ152" s="111"/>
      <c r="BK152" s="112"/>
      <c r="BL152" s="112"/>
      <c r="CC152" s="111"/>
      <c r="CD152" s="112"/>
      <c r="CV152" s="111"/>
      <c r="CW152" s="112"/>
      <c r="CX152" s="112"/>
      <c r="DO152" s="111"/>
      <c r="DP152" s="112"/>
      <c r="EH152" s="111"/>
      <c r="EI152" s="112"/>
      <c r="FA152" s="111"/>
      <c r="FB152" s="112"/>
      <c r="FT152" s="111"/>
      <c r="FU152" s="112"/>
      <c r="GP152" s="111"/>
      <c r="GQ152" s="112"/>
      <c r="GR152" s="112"/>
      <c r="HL152" s="111"/>
      <c r="HM152" s="112"/>
      <c r="HN152" s="112"/>
      <c r="IH152" s="111"/>
      <c r="II152" s="112"/>
      <c r="JE152" s="111"/>
      <c r="JF152" s="112"/>
    </row>
    <row r="153" spans="62:266" ht="18.75" customHeight="1">
      <c r="BJ153" s="111"/>
      <c r="BK153" s="112"/>
      <c r="BL153" s="112"/>
      <c r="CC153" s="111"/>
      <c r="CD153" s="112"/>
      <c r="CV153" s="111"/>
      <c r="CW153" s="112"/>
      <c r="CX153" s="112"/>
      <c r="DO153" s="111"/>
      <c r="DP153" s="112"/>
      <c r="EH153" s="111"/>
      <c r="EI153" s="112"/>
      <c r="FA153" s="111"/>
      <c r="FB153" s="112"/>
      <c r="FT153" s="111"/>
      <c r="FU153" s="112"/>
      <c r="GP153" s="111"/>
      <c r="GQ153" s="112"/>
      <c r="GR153" s="112"/>
      <c r="HL153" s="111"/>
      <c r="HM153" s="112"/>
      <c r="HN153" s="112"/>
      <c r="IH153" s="111"/>
      <c r="II153" s="112"/>
      <c r="JE153" s="111"/>
      <c r="JF153" s="112"/>
    </row>
    <row r="154" spans="62:266" ht="18.75" customHeight="1">
      <c r="BJ154" s="111"/>
      <c r="BK154" s="112"/>
      <c r="BL154" s="112"/>
      <c r="CC154" s="111"/>
      <c r="CD154" s="112"/>
      <c r="CV154" s="111"/>
      <c r="CW154" s="112"/>
      <c r="CX154" s="112"/>
      <c r="DO154" s="111"/>
      <c r="DP154" s="112"/>
      <c r="EH154" s="111"/>
      <c r="EI154" s="112"/>
      <c r="FA154" s="111"/>
      <c r="FB154" s="112"/>
      <c r="FT154" s="111"/>
      <c r="FU154" s="112"/>
      <c r="GP154" s="111"/>
      <c r="GQ154" s="112"/>
      <c r="GR154" s="112"/>
      <c r="HL154" s="111"/>
      <c r="HM154" s="112"/>
      <c r="HN154" s="112"/>
      <c r="IH154" s="111"/>
      <c r="II154" s="112"/>
      <c r="JE154" s="111"/>
      <c r="JF154" s="112"/>
    </row>
    <row r="155" spans="62:266" ht="18.75" customHeight="1">
      <c r="BJ155" s="111"/>
      <c r="BK155" s="112"/>
      <c r="BL155" s="112"/>
      <c r="CC155" s="111"/>
      <c r="CD155" s="112"/>
      <c r="CV155" s="111"/>
      <c r="CW155" s="112"/>
      <c r="CX155" s="112"/>
      <c r="DO155" s="111"/>
      <c r="DP155" s="112"/>
      <c r="EH155" s="111"/>
      <c r="EI155" s="112"/>
      <c r="FA155" s="111"/>
      <c r="FB155" s="112"/>
      <c r="FT155" s="111"/>
      <c r="FU155" s="112"/>
      <c r="GP155" s="111"/>
      <c r="GQ155" s="112"/>
      <c r="GR155" s="112"/>
      <c r="HL155" s="111"/>
      <c r="HM155" s="112"/>
      <c r="HN155" s="112"/>
      <c r="IH155" s="111"/>
      <c r="II155" s="112"/>
      <c r="JE155" s="111"/>
      <c r="JF155" s="112"/>
    </row>
    <row r="156" spans="62:266" ht="18.75" customHeight="1">
      <c r="BJ156" s="111"/>
      <c r="BK156" s="112"/>
      <c r="BL156" s="112"/>
      <c r="CC156" s="111"/>
      <c r="CD156" s="112"/>
      <c r="CV156" s="111"/>
      <c r="CW156" s="112"/>
      <c r="CX156" s="112"/>
      <c r="DO156" s="111"/>
      <c r="DP156" s="112"/>
      <c r="EH156" s="111"/>
      <c r="EI156" s="112"/>
      <c r="FA156" s="111"/>
      <c r="FB156" s="112"/>
      <c r="FT156" s="111"/>
      <c r="FU156" s="112"/>
      <c r="GP156" s="111"/>
      <c r="GQ156" s="112"/>
      <c r="GR156" s="112"/>
      <c r="HL156" s="111"/>
      <c r="HM156" s="112"/>
      <c r="HN156" s="112"/>
      <c r="IH156" s="111"/>
      <c r="II156" s="112"/>
      <c r="JE156" s="111"/>
      <c r="JF156" s="112"/>
    </row>
    <row r="157" spans="62:266" ht="18.75" customHeight="1">
      <c r="BJ157" s="111"/>
      <c r="BK157" s="112"/>
      <c r="BL157" s="112"/>
      <c r="CC157" s="111"/>
      <c r="CD157" s="112"/>
      <c r="CV157" s="111"/>
      <c r="CW157" s="112"/>
      <c r="CX157" s="112"/>
      <c r="DO157" s="111"/>
      <c r="DP157" s="112"/>
      <c r="EH157" s="111"/>
      <c r="EI157" s="112"/>
      <c r="FA157" s="111"/>
      <c r="FB157" s="112"/>
      <c r="FT157" s="111"/>
      <c r="FU157" s="112"/>
      <c r="GP157" s="111"/>
      <c r="GQ157" s="112"/>
      <c r="GR157" s="112"/>
      <c r="HL157" s="111"/>
      <c r="HM157" s="112"/>
      <c r="HN157" s="112"/>
      <c r="IH157" s="111"/>
      <c r="II157" s="112"/>
      <c r="JE157" s="111"/>
      <c r="JF157" s="112"/>
    </row>
    <row r="158" spans="62:266" ht="18.75" customHeight="1">
      <c r="BJ158" s="111"/>
      <c r="BK158" s="112"/>
      <c r="BL158" s="112"/>
      <c r="CC158" s="111"/>
      <c r="CD158" s="112"/>
      <c r="CV158" s="111"/>
      <c r="CW158" s="112"/>
      <c r="CX158" s="112"/>
      <c r="DO158" s="111"/>
      <c r="DP158" s="112"/>
      <c r="EH158" s="111"/>
      <c r="EI158" s="112"/>
      <c r="FA158" s="111"/>
      <c r="FB158" s="112"/>
      <c r="FT158" s="111"/>
      <c r="FU158" s="112"/>
      <c r="GP158" s="111"/>
      <c r="GQ158" s="112"/>
      <c r="GR158" s="112"/>
      <c r="HL158" s="111"/>
      <c r="HM158" s="112"/>
      <c r="HN158" s="112"/>
      <c r="IH158" s="111"/>
      <c r="II158" s="112"/>
      <c r="JE158" s="111"/>
      <c r="JF158" s="112"/>
    </row>
    <row r="159" spans="62:266" ht="18.75" customHeight="1">
      <c r="BJ159" s="111"/>
      <c r="BK159" s="112"/>
      <c r="BL159" s="112"/>
      <c r="CC159" s="111"/>
      <c r="CD159" s="112"/>
      <c r="CV159" s="111"/>
      <c r="CW159" s="112"/>
      <c r="CX159" s="112"/>
      <c r="DO159" s="111"/>
      <c r="DP159" s="112"/>
      <c r="EH159" s="111"/>
      <c r="EI159" s="112"/>
      <c r="FA159" s="111"/>
      <c r="FB159" s="112"/>
      <c r="FT159" s="111"/>
      <c r="FU159" s="112"/>
      <c r="GP159" s="111"/>
      <c r="GQ159" s="112"/>
      <c r="GR159" s="112"/>
      <c r="HL159" s="111"/>
      <c r="HM159" s="112"/>
      <c r="HN159" s="112"/>
      <c r="IH159" s="111"/>
      <c r="II159" s="112"/>
      <c r="JE159" s="111"/>
      <c r="JF159" s="112"/>
    </row>
    <row r="160" spans="62:266" ht="18.75" customHeight="1">
      <c r="BJ160" s="111"/>
      <c r="BK160" s="112"/>
      <c r="BL160" s="112"/>
      <c r="CC160" s="111"/>
      <c r="CD160" s="112"/>
      <c r="CV160" s="111"/>
      <c r="CW160" s="112"/>
      <c r="CX160" s="112"/>
      <c r="DO160" s="111"/>
      <c r="DP160" s="112"/>
      <c r="EH160" s="111"/>
      <c r="EI160" s="112"/>
      <c r="FA160" s="111"/>
      <c r="FB160" s="112"/>
      <c r="FT160" s="111"/>
      <c r="FU160" s="112"/>
      <c r="GP160" s="111"/>
      <c r="GQ160" s="112"/>
      <c r="GR160" s="112"/>
      <c r="HL160" s="111"/>
      <c r="HM160" s="112"/>
      <c r="HN160" s="112"/>
      <c r="IH160" s="111"/>
      <c r="II160" s="112"/>
      <c r="JE160" s="111"/>
      <c r="JF160" s="112"/>
    </row>
    <row r="161" spans="62:266" ht="18.75" customHeight="1">
      <c r="BJ161" s="111"/>
      <c r="BK161" s="112"/>
      <c r="BL161" s="112"/>
      <c r="CC161" s="111"/>
      <c r="CD161" s="112"/>
      <c r="CV161" s="111"/>
      <c r="CW161" s="112"/>
      <c r="CX161" s="112"/>
      <c r="DO161" s="111"/>
      <c r="DP161" s="112"/>
      <c r="EH161" s="111"/>
      <c r="EI161" s="112"/>
      <c r="FA161" s="111"/>
      <c r="FB161" s="112"/>
      <c r="FT161" s="111"/>
      <c r="FU161" s="112"/>
      <c r="GP161" s="111"/>
      <c r="GQ161" s="112"/>
      <c r="GR161" s="112"/>
      <c r="HL161" s="111"/>
      <c r="HM161" s="112"/>
      <c r="HN161" s="112"/>
      <c r="IH161" s="111"/>
      <c r="II161" s="112"/>
      <c r="JE161" s="111"/>
      <c r="JF161" s="112"/>
    </row>
    <row r="162" spans="62:266" ht="18.75" customHeight="1">
      <c r="BJ162" s="111"/>
      <c r="BK162" s="112"/>
      <c r="BL162" s="112"/>
      <c r="CC162" s="111"/>
      <c r="CD162" s="112"/>
      <c r="CV162" s="111"/>
      <c r="CW162" s="112"/>
      <c r="CX162" s="112"/>
      <c r="DO162" s="111"/>
      <c r="DP162" s="112"/>
      <c r="EH162" s="111"/>
      <c r="EI162" s="112"/>
      <c r="FA162" s="111"/>
      <c r="FB162" s="112"/>
      <c r="FT162" s="111"/>
      <c r="FU162" s="112"/>
      <c r="GP162" s="111"/>
      <c r="GQ162" s="112"/>
      <c r="GR162" s="112"/>
      <c r="HL162" s="111"/>
      <c r="HM162" s="112"/>
      <c r="HN162" s="112"/>
      <c r="IH162" s="111"/>
      <c r="II162" s="112"/>
      <c r="JE162" s="111"/>
      <c r="JF162" s="112"/>
    </row>
    <row r="163" spans="62:266" ht="18.75" customHeight="1">
      <c r="BJ163" s="111"/>
      <c r="BK163" s="112"/>
      <c r="BL163" s="112"/>
      <c r="CC163" s="111"/>
      <c r="CD163" s="112"/>
      <c r="CV163" s="111"/>
      <c r="CW163" s="112"/>
      <c r="CX163" s="112"/>
      <c r="DO163" s="111"/>
      <c r="DP163" s="112"/>
      <c r="EH163" s="111"/>
      <c r="EI163" s="112"/>
      <c r="FA163" s="111"/>
      <c r="FB163" s="112"/>
      <c r="FT163" s="111"/>
      <c r="FU163" s="112"/>
      <c r="GP163" s="111"/>
      <c r="GQ163" s="112"/>
      <c r="GR163" s="112"/>
      <c r="HL163" s="111"/>
      <c r="HM163" s="112"/>
      <c r="HN163" s="112"/>
      <c r="IH163" s="111"/>
      <c r="II163" s="112"/>
      <c r="JE163" s="111"/>
      <c r="JF163" s="112"/>
    </row>
    <row r="164" spans="62:266" ht="18.75" customHeight="1">
      <c r="BJ164" s="111"/>
      <c r="BK164" s="112"/>
      <c r="BL164" s="112"/>
      <c r="CC164" s="111"/>
      <c r="CD164" s="112"/>
      <c r="CV164" s="111"/>
      <c r="CW164" s="112"/>
      <c r="CX164" s="112"/>
      <c r="DO164" s="111"/>
      <c r="DP164" s="112"/>
      <c r="EH164" s="111"/>
      <c r="EI164" s="112"/>
      <c r="FA164" s="111"/>
      <c r="FB164" s="112"/>
      <c r="FT164" s="111"/>
      <c r="FU164" s="112"/>
      <c r="GP164" s="111"/>
      <c r="GQ164" s="112"/>
      <c r="GR164" s="112"/>
      <c r="HL164" s="111"/>
      <c r="HM164" s="112"/>
      <c r="HN164" s="112"/>
      <c r="IH164" s="111"/>
      <c r="II164" s="112"/>
      <c r="JE164" s="111"/>
      <c r="JF164" s="112"/>
    </row>
    <row r="165" spans="62:266" ht="18.75" customHeight="1">
      <c r="BJ165" s="111"/>
      <c r="BK165" s="112"/>
      <c r="BL165" s="112"/>
      <c r="CC165" s="111"/>
      <c r="CD165" s="112"/>
      <c r="CV165" s="111"/>
      <c r="CW165" s="112"/>
      <c r="CX165" s="112"/>
      <c r="DO165" s="111"/>
      <c r="DP165" s="112"/>
      <c r="EH165" s="111"/>
      <c r="EI165" s="112"/>
      <c r="FA165" s="111"/>
      <c r="FB165" s="112"/>
      <c r="FT165" s="111"/>
      <c r="FU165" s="112"/>
      <c r="GP165" s="111"/>
      <c r="GQ165" s="112"/>
      <c r="GR165" s="112"/>
      <c r="HL165" s="111"/>
      <c r="HM165" s="112"/>
      <c r="HN165" s="112"/>
      <c r="IH165" s="111"/>
      <c r="II165" s="112"/>
      <c r="JE165" s="111"/>
      <c r="JF165" s="112"/>
    </row>
    <row r="166" spans="62:266" ht="18.75" customHeight="1">
      <c r="BJ166" s="111"/>
      <c r="BK166" s="112"/>
      <c r="BL166" s="112"/>
      <c r="CC166" s="111"/>
      <c r="CD166" s="112"/>
      <c r="CV166" s="111"/>
      <c r="CW166" s="112"/>
      <c r="CX166" s="112"/>
      <c r="DO166" s="111"/>
      <c r="DP166" s="112"/>
      <c r="EH166" s="111"/>
      <c r="EI166" s="112"/>
      <c r="FA166" s="111"/>
      <c r="FB166" s="112"/>
      <c r="FT166" s="111"/>
      <c r="FU166" s="112"/>
      <c r="GP166" s="111"/>
      <c r="GQ166" s="112"/>
      <c r="GR166" s="112"/>
      <c r="HL166" s="111"/>
      <c r="HM166" s="112"/>
      <c r="HN166" s="112"/>
      <c r="IH166" s="111"/>
      <c r="II166" s="112"/>
      <c r="JE166" s="111"/>
      <c r="JF166" s="112"/>
    </row>
    <row r="167" spans="62:266" ht="18.75" customHeight="1">
      <c r="BJ167" s="111"/>
      <c r="BK167" s="112"/>
      <c r="BL167" s="112"/>
      <c r="CC167" s="111"/>
      <c r="CD167" s="112"/>
      <c r="CV167" s="111"/>
      <c r="CW167" s="112"/>
      <c r="CX167" s="112"/>
      <c r="DO167" s="111"/>
      <c r="DP167" s="112"/>
      <c r="EH167" s="111"/>
      <c r="EI167" s="112"/>
      <c r="FA167" s="111"/>
      <c r="FB167" s="112"/>
      <c r="FT167" s="111"/>
      <c r="FU167" s="112"/>
      <c r="GP167" s="111"/>
      <c r="GQ167" s="112"/>
      <c r="GR167" s="112"/>
      <c r="HL167" s="111"/>
      <c r="HM167" s="112"/>
      <c r="HN167" s="112"/>
      <c r="IH167" s="111"/>
      <c r="II167" s="112"/>
      <c r="JE167" s="111"/>
      <c r="JF167" s="112"/>
    </row>
    <row r="168" spans="62:266" ht="18.75" customHeight="1">
      <c r="BJ168" s="111"/>
      <c r="BK168" s="112"/>
      <c r="BL168" s="112"/>
      <c r="CC168" s="111"/>
      <c r="CD168" s="112"/>
      <c r="CV168" s="111"/>
      <c r="CW168" s="112"/>
      <c r="CX168" s="112"/>
      <c r="DO168" s="111"/>
      <c r="DP168" s="112"/>
      <c r="EH168" s="111"/>
      <c r="EI168" s="112"/>
      <c r="FA168" s="111"/>
      <c r="FB168" s="112"/>
      <c r="FT168" s="111"/>
      <c r="FU168" s="112"/>
      <c r="GP168" s="111"/>
      <c r="GQ168" s="112"/>
      <c r="GR168" s="112"/>
      <c r="HL168" s="111"/>
      <c r="HM168" s="112"/>
      <c r="HN168" s="112"/>
      <c r="IH168" s="111"/>
      <c r="II168" s="112"/>
      <c r="JE168" s="111"/>
      <c r="JF168" s="112"/>
    </row>
    <row r="169" spans="62:266" ht="18.75" customHeight="1">
      <c r="BJ169" s="111"/>
      <c r="BK169" s="112"/>
      <c r="BL169" s="112"/>
      <c r="CC169" s="111"/>
      <c r="CD169" s="112"/>
      <c r="CV169" s="111"/>
      <c r="CW169" s="112"/>
      <c r="CX169" s="112"/>
      <c r="DO169" s="111"/>
      <c r="DP169" s="112"/>
      <c r="EH169" s="111"/>
      <c r="EI169" s="112"/>
      <c r="FA169" s="111"/>
      <c r="FB169" s="112"/>
      <c r="FT169" s="111"/>
      <c r="FU169" s="112"/>
      <c r="GP169" s="111"/>
      <c r="GQ169" s="112"/>
      <c r="GR169" s="112"/>
      <c r="HL169" s="111"/>
      <c r="HM169" s="112"/>
      <c r="HN169" s="112"/>
      <c r="IH169" s="111"/>
      <c r="II169" s="112"/>
      <c r="JE169" s="111"/>
      <c r="JF169" s="112"/>
    </row>
    <row r="170" spans="62:266" ht="18.75" customHeight="1">
      <c r="BJ170" s="111"/>
      <c r="BK170" s="112"/>
      <c r="BL170" s="112"/>
      <c r="CC170" s="111"/>
      <c r="CD170" s="112"/>
      <c r="CV170" s="111"/>
      <c r="CW170" s="112"/>
      <c r="CX170" s="112"/>
      <c r="DO170" s="111"/>
      <c r="DP170" s="112"/>
      <c r="EH170" s="111"/>
      <c r="EI170" s="112"/>
      <c r="FA170" s="111"/>
      <c r="FB170" s="112"/>
      <c r="FT170" s="111"/>
      <c r="FU170" s="112"/>
      <c r="GP170" s="111"/>
      <c r="GQ170" s="112"/>
      <c r="GR170" s="112"/>
      <c r="HL170" s="111"/>
      <c r="HM170" s="112"/>
      <c r="HN170" s="112"/>
      <c r="IH170" s="111"/>
      <c r="II170" s="112"/>
      <c r="JE170" s="111"/>
      <c r="JF170" s="112"/>
    </row>
    <row r="171" spans="62:266" ht="18.75" customHeight="1">
      <c r="BJ171" s="111"/>
      <c r="BK171" s="112"/>
      <c r="BL171" s="112"/>
      <c r="CC171" s="111"/>
      <c r="CD171" s="112"/>
      <c r="CV171" s="111"/>
      <c r="CW171" s="112"/>
      <c r="CX171" s="112"/>
      <c r="DO171" s="111"/>
      <c r="DP171" s="112"/>
      <c r="EH171" s="111"/>
      <c r="EI171" s="112"/>
      <c r="FA171" s="111"/>
      <c r="FB171" s="112"/>
      <c r="FT171" s="111"/>
      <c r="FU171" s="112"/>
      <c r="GP171" s="111"/>
      <c r="GQ171" s="112"/>
      <c r="GR171" s="112"/>
      <c r="HL171" s="111"/>
      <c r="HM171" s="112"/>
      <c r="HN171" s="112"/>
      <c r="IH171" s="111"/>
      <c r="II171" s="112"/>
      <c r="JE171" s="111"/>
      <c r="JF171" s="112"/>
    </row>
    <row r="172" spans="62:266" ht="18.75" customHeight="1">
      <c r="BJ172" s="111"/>
      <c r="BK172" s="112"/>
      <c r="BL172" s="112"/>
      <c r="CC172" s="111"/>
      <c r="CD172" s="112"/>
      <c r="CV172" s="111"/>
      <c r="CW172" s="112"/>
      <c r="CX172" s="112"/>
      <c r="DO172" s="111"/>
      <c r="DP172" s="112"/>
      <c r="EH172" s="111"/>
      <c r="EI172" s="112"/>
      <c r="FA172" s="111"/>
      <c r="FB172" s="112"/>
      <c r="FT172" s="111"/>
      <c r="FU172" s="112"/>
      <c r="GP172" s="111"/>
      <c r="GQ172" s="112"/>
      <c r="GR172" s="112"/>
      <c r="HL172" s="111"/>
      <c r="HM172" s="112"/>
      <c r="HN172" s="112"/>
      <c r="IH172" s="111"/>
      <c r="II172" s="112"/>
      <c r="JE172" s="111"/>
      <c r="JF172" s="112"/>
    </row>
    <row r="173" spans="62:266" ht="18.75" customHeight="1">
      <c r="BJ173" s="111"/>
      <c r="BK173" s="112"/>
      <c r="BL173" s="112"/>
      <c r="CC173" s="111"/>
      <c r="CD173" s="112"/>
      <c r="CV173" s="111"/>
      <c r="CW173" s="112"/>
      <c r="CX173" s="112"/>
      <c r="DO173" s="111"/>
      <c r="DP173" s="112"/>
      <c r="EH173" s="111"/>
      <c r="EI173" s="112"/>
      <c r="FA173" s="111"/>
      <c r="FB173" s="112"/>
      <c r="FT173" s="111"/>
      <c r="FU173" s="112"/>
      <c r="GP173" s="111"/>
      <c r="GQ173" s="112"/>
      <c r="GR173" s="112"/>
      <c r="HL173" s="111"/>
      <c r="HM173" s="112"/>
      <c r="HN173" s="112"/>
      <c r="IH173" s="111"/>
      <c r="II173" s="112"/>
      <c r="JE173" s="111"/>
      <c r="JF173" s="112"/>
    </row>
    <row r="174" spans="62:266" ht="18.75" customHeight="1">
      <c r="BJ174" s="111"/>
      <c r="BK174" s="112"/>
      <c r="BL174" s="112"/>
      <c r="CC174" s="111"/>
      <c r="CD174" s="112"/>
      <c r="CV174" s="111"/>
      <c r="CW174" s="112"/>
      <c r="CX174" s="112"/>
      <c r="DO174" s="111"/>
      <c r="DP174" s="112"/>
      <c r="EH174" s="111"/>
      <c r="EI174" s="112"/>
      <c r="FA174" s="111"/>
      <c r="FB174" s="112"/>
      <c r="FT174" s="111"/>
      <c r="FU174" s="112"/>
      <c r="GP174" s="111"/>
      <c r="GQ174" s="112"/>
      <c r="GR174" s="112"/>
      <c r="HL174" s="111"/>
      <c r="HM174" s="112"/>
      <c r="HN174" s="112"/>
      <c r="IH174" s="111"/>
      <c r="II174" s="112"/>
      <c r="JE174" s="111"/>
      <c r="JF174" s="112"/>
    </row>
    <row r="175" spans="62:266" ht="18.75" customHeight="1">
      <c r="BJ175" s="111"/>
      <c r="BK175" s="112"/>
      <c r="BL175" s="112"/>
      <c r="CC175" s="111"/>
      <c r="CD175" s="112"/>
      <c r="CV175" s="111"/>
      <c r="CW175" s="112"/>
      <c r="CX175" s="112"/>
      <c r="DO175" s="111"/>
      <c r="DP175" s="112"/>
      <c r="EH175" s="111"/>
      <c r="EI175" s="112"/>
      <c r="FA175" s="111"/>
      <c r="FB175" s="112"/>
      <c r="FT175" s="111"/>
      <c r="FU175" s="112"/>
      <c r="GP175" s="111"/>
      <c r="GQ175" s="112"/>
      <c r="GR175" s="112"/>
      <c r="HL175" s="111"/>
      <c r="HM175" s="112"/>
      <c r="HN175" s="112"/>
      <c r="IH175" s="111"/>
      <c r="II175" s="112"/>
      <c r="JE175" s="111"/>
      <c r="JF175" s="112"/>
    </row>
    <row r="176" spans="62:266" ht="18.75" customHeight="1">
      <c r="BJ176" s="111"/>
      <c r="BK176" s="112"/>
      <c r="BL176" s="112"/>
      <c r="CC176" s="111"/>
      <c r="CD176" s="112"/>
      <c r="CV176" s="111"/>
      <c r="CW176" s="112"/>
      <c r="CX176" s="112"/>
      <c r="DO176" s="111"/>
      <c r="DP176" s="112"/>
      <c r="EH176" s="111"/>
      <c r="EI176" s="112"/>
      <c r="FA176" s="111"/>
      <c r="FB176" s="112"/>
      <c r="FT176" s="111"/>
      <c r="FU176" s="112"/>
      <c r="GP176" s="111"/>
      <c r="GQ176" s="112"/>
      <c r="GR176" s="112"/>
      <c r="HL176" s="111"/>
      <c r="HM176" s="112"/>
      <c r="HN176" s="112"/>
      <c r="IH176" s="111"/>
      <c r="II176" s="112"/>
      <c r="JE176" s="111"/>
      <c r="JF176" s="112"/>
    </row>
    <row r="177" spans="62:266" ht="18.75" customHeight="1">
      <c r="BJ177" s="111"/>
      <c r="BK177" s="112"/>
      <c r="BL177" s="112"/>
      <c r="CC177" s="111"/>
      <c r="CD177" s="112"/>
      <c r="CV177" s="111"/>
      <c r="CW177" s="112"/>
      <c r="CX177" s="112"/>
      <c r="DO177" s="111"/>
      <c r="DP177" s="112"/>
      <c r="EH177" s="111"/>
      <c r="EI177" s="112"/>
      <c r="FA177" s="111"/>
      <c r="FB177" s="112"/>
      <c r="FT177" s="111"/>
      <c r="FU177" s="112"/>
      <c r="GP177" s="111"/>
      <c r="GQ177" s="112"/>
      <c r="GR177" s="112"/>
      <c r="HL177" s="111"/>
      <c r="HM177" s="112"/>
      <c r="HN177" s="112"/>
      <c r="IH177" s="111"/>
      <c r="II177" s="112"/>
      <c r="JE177" s="111"/>
      <c r="JF177" s="112"/>
    </row>
    <row r="178" spans="62:266" ht="18.75" customHeight="1">
      <c r="BJ178" s="111"/>
      <c r="BK178" s="112"/>
      <c r="BL178" s="112"/>
      <c r="CC178" s="111"/>
      <c r="CD178" s="112"/>
      <c r="CV178" s="111"/>
      <c r="CW178" s="112"/>
      <c r="CX178" s="112"/>
      <c r="DO178" s="111"/>
      <c r="DP178" s="112"/>
      <c r="EH178" s="111"/>
      <c r="EI178" s="112"/>
      <c r="FA178" s="111"/>
      <c r="FB178" s="112"/>
      <c r="FT178" s="111"/>
      <c r="FU178" s="112"/>
      <c r="GP178" s="111"/>
      <c r="GQ178" s="112"/>
      <c r="GR178" s="112"/>
      <c r="HL178" s="111"/>
      <c r="HM178" s="112"/>
      <c r="HN178" s="112"/>
      <c r="IH178" s="111"/>
      <c r="II178" s="112"/>
      <c r="JE178" s="111"/>
      <c r="JF178" s="112"/>
    </row>
    <row r="179" spans="62:266" ht="18.75" customHeight="1">
      <c r="BJ179" s="111"/>
      <c r="BK179" s="112"/>
      <c r="BL179" s="112"/>
      <c r="CC179" s="111"/>
      <c r="CD179" s="112"/>
      <c r="CV179" s="111"/>
      <c r="CW179" s="112"/>
      <c r="CX179" s="112"/>
      <c r="DO179" s="111"/>
      <c r="DP179" s="112"/>
      <c r="EH179" s="111"/>
      <c r="EI179" s="112"/>
      <c r="FA179" s="111"/>
      <c r="FB179" s="112"/>
      <c r="FT179" s="111"/>
      <c r="FU179" s="112"/>
      <c r="GP179" s="111"/>
      <c r="GQ179" s="112"/>
      <c r="GR179" s="112"/>
      <c r="HL179" s="111"/>
      <c r="HM179" s="112"/>
      <c r="HN179" s="112"/>
      <c r="IH179" s="111"/>
      <c r="II179" s="112"/>
      <c r="JE179" s="111"/>
      <c r="JF179" s="112"/>
    </row>
    <row r="180" spans="62:266" ht="18.75" customHeight="1">
      <c r="BJ180" s="111"/>
      <c r="BK180" s="112"/>
      <c r="BL180" s="112"/>
      <c r="CC180" s="111"/>
      <c r="CD180" s="112"/>
      <c r="CV180" s="111"/>
      <c r="CW180" s="112"/>
      <c r="CX180" s="112"/>
      <c r="DO180" s="111"/>
      <c r="DP180" s="112"/>
      <c r="EH180" s="111"/>
      <c r="EI180" s="112"/>
      <c r="FA180" s="111"/>
      <c r="FB180" s="112"/>
      <c r="FT180" s="111"/>
      <c r="FU180" s="112"/>
      <c r="GP180" s="111"/>
      <c r="GQ180" s="112"/>
      <c r="GR180" s="112"/>
      <c r="HL180" s="111"/>
      <c r="HM180" s="112"/>
      <c r="HN180" s="112"/>
      <c r="IH180" s="111"/>
      <c r="II180" s="112"/>
      <c r="JE180" s="111"/>
      <c r="JF180" s="112"/>
    </row>
    <row r="181" spans="62:266" ht="18.75" customHeight="1">
      <c r="BJ181" s="111"/>
      <c r="BK181" s="112"/>
      <c r="BL181" s="112"/>
      <c r="CC181" s="111"/>
      <c r="CD181" s="112"/>
      <c r="CV181" s="111"/>
      <c r="CW181" s="112"/>
      <c r="CX181" s="112"/>
      <c r="DO181" s="111"/>
      <c r="DP181" s="112"/>
      <c r="EH181" s="111"/>
      <c r="EI181" s="112"/>
      <c r="FA181" s="111"/>
      <c r="FB181" s="112"/>
      <c r="FT181" s="111"/>
      <c r="FU181" s="112"/>
      <c r="GP181" s="111"/>
      <c r="GQ181" s="112"/>
      <c r="GR181" s="112"/>
      <c r="HL181" s="111"/>
      <c r="HM181" s="112"/>
      <c r="HN181" s="112"/>
      <c r="IH181" s="111"/>
      <c r="II181" s="112"/>
      <c r="JE181" s="111"/>
      <c r="JF181" s="112"/>
    </row>
    <row r="182" spans="62:266" ht="18.75" customHeight="1">
      <c r="BJ182" s="111"/>
      <c r="BK182" s="112"/>
      <c r="BL182" s="112"/>
      <c r="CC182" s="111"/>
      <c r="CD182" s="112"/>
      <c r="CV182" s="111"/>
      <c r="CW182" s="112"/>
      <c r="CX182" s="112"/>
      <c r="DO182" s="111"/>
      <c r="DP182" s="112"/>
      <c r="EH182" s="111"/>
      <c r="EI182" s="112"/>
      <c r="FA182" s="111"/>
      <c r="FB182" s="112"/>
      <c r="FT182" s="111"/>
      <c r="FU182" s="112"/>
      <c r="GP182" s="111"/>
      <c r="GQ182" s="112"/>
      <c r="GR182" s="112"/>
      <c r="HL182" s="111"/>
      <c r="HM182" s="112"/>
      <c r="HN182" s="112"/>
      <c r="IH182" s="111"/>
      <c r="II182" s="112"/>
      <c r="JE182" s="111"/>
      <c r="JF182" s="112"/>
    </row>
    <row r="183" spans="62:266" ht="18.75" customHeight="1">
      <c r="BJ183" s="111"/>
      <c r="BK183" s="112"/>
      <c r="BL183" s="112"/>
      <c r="CC183" s="111"/>
      <c r="CD183" s="112"/>
      <c r="CV183" s="111"/>
      <c r="CW183" s="112"/>
      <c r="CX183" s="112"/>
      <c r="DO183" s="111"/>
      <c r="DP183" s="112"/>
      <c r="EH183" s="111"/>
      <c r="EI183" s="112"/>
      <c r="FA183" s="111"/>
      <c r="FB183" s="112"/>
      <c r="FT183" s="111"/>
      <c r="FU183" s="112"/>
      <c r="GP183" s="111"/>
      <c r="GQ183" s="112"/>
      <c r="GR183" s="112"/>
      <c r="HL183" s="111"/>
      <c r="HM183" s="112"/>
      <c r="HN183" s="112"/>
      <c r="IH183" s="111"/>
      <c r="II183" s="112"/>
      <c r="JE183" s="111"/>
      <c r="JF183" s="112"/>
    </row>
    <row r="184" spans="62:266" ht="18.75" customHeight="1">
      <c r="BJ184" s="111"/>
      <c r="BK184" s="112"/>
      <c r="BL184" s="112"/>
      <c r="CC184" s="111"/>
      <c r="CD184" s="112"/>
      <c r="CV184" s="111"/>
      <c r="CW184" s="112"/>
      <c r="CX184" s="112"/>
      <c r="DO184" s="111"/>
      <c r="DP184" s="112"/>
      <c r="EH184" s="111"/>
      <c r="EI184" s="112"/>
      <c r="FA184" s="111"/>
      <c r="FB184" s="112"/>
      <c r="FT184" s="111"/>
      <c r="FU184" s="112"/>
      <c r="GP184" s="111"/>
      <c r="GQ184" s="112"/>
      <c r="GR184" s="112"/>
      <c r="HL184" s="111"/>
      <c r="HM184" s="112"/>
      <c r="HN184" s="112"/>
      <c r="IH184" s="111"/>
      <c r="II184" s="112"/>
      <c r="JE184" s="111"/>
      <c r="JF184" s="112"/>
    </row>
    <row r="185" spans="62:266" ht="18.75" customHeight="1">
      <c r="BJ185" s="111"/>
      <c r="BK185" s="112"/>
      <c r="BL185" s="112"/>
      <c r="CC185" s="111"/>
      <c r="CD185" s="112"/>
      <c r="CV185" s="111"/>
      <c r="CW185" s="112"/>
      <c r="CX185" s="112"/>
      <c r="DO185" s="111"/>
      <c r="DP185" s="112"/>
      <c r="EH185" s="111"/>
      <c r="EI185" s="112"/>
      <c r="FA185" s="111"/>
      <c r="FB185" s="112"/>
      <c r="FT185" s="111"/>
      <c r="FU185" s="112"/>
      <c r="GP185" s="111"/>
      <c r="GQ185" s="112"/>
      <c r="GR185" s="112"/>
      <c r="HL185" s="111"/>
      <c r="HM185" s="112"/>
      <c r="HN185" s="112"/>
      <c r="IH185" s="111"/>
      <c r="II185" s="112"/>
      <c r="JE185" s="111"/>
      <c r="JF185" s="112"/>
    </row>
    <row r="186" spans="62:266" ht="18.75" customHeight="1">
      <c r="BJ186" s="111"/>
      <c r="BK186" s="112"/>
      <c r="BL186" s="112"/>
      <c r="CC186" s="111"/>
      <c r="CD186" s="112"/>
      <c r="CV186" s="111"/>
      <c r="CW186" s="112"/>
      <c r="CX186" s="112"/>
      <c r="DO186" s="111"/>
      <c r="DP186" s="112"/>
      <c r="EH186" s="111"/>
      <c r="EI186" s="112"/>
      <c r="FA186" s="111"/>
      <c r="FB186" s="112"/>
      <c r="FT186" s="111"/>
      <c r="FU186" s="112"/>
      <c r="GP186" s="111"/>
      <c r="GQ186" s="112"/>
      <c r="GR186" s="112"/>
      <c r="HL186" s="111"/>
      <c r="HM186" s="112"/>
      <c r="HN186" s="112"/>
      <c r="IH186" s="111"/>
      <c r="II186" s="112"/>
      <c r="JE186" s="111"/>
      <c r="JF186" s="112"/>
    </row>
    <row r="187" spans="62:266" ht="18.75" customHeight="1">
      <c r="BJ187" s="111"/>
      <c r="BK187" s="112"/>
      <c r="BL187" s="112"/>
      <c r="CC187" s="111"/>
      <c r="CD187" s="112"/>
      <c r="CV187" s="111"/>
      <c r="CW187" s="112"/>
      <c r="CX187" s="112"/>
      <c r="DO187" s="111"/>
      <c r="DP187" s="112"/>
      <c r="EH187" s="111"/>
      <c r="EI187" s="112"/>
      <c r="FA187" s="111"/>
      <c r="FB187" s="112"/>
      <c r="FT187" s="111"/>
      <c r="FU187" s="112"/>
      <c r="GP187" s="111"/>
      <c r="GQ187" s="112"/>
      <c r="GR187" s="112"/>
      <c r="HL187" s="111"/>
      <c r="HM187" s="112"/>
      <c r="HN187" s="112"/>
      <c r="IH187" s="111"/>
      <c r="II187" s="112"/>
      <c r="JE187" s="111"/>
      <c r="JF187" s="112"/>
    </row>
    <row r="188" spans="62:266" ht="18.75" customHeight="1">
      <c r="BJ188" s="111"/>
      <c r="BK188" s="112"/>
      <c r="BL188" s="112"/>
      <c r="CC188" s="111"/>
      <c r="CD188" s="112"/>
      <c r="CV188" s="111"/>
      <c r="CW188" s="112"/>
      <c r="CX188" s="112"/>
      <c r="DO188" s="111"/>
      <c r="DP188" s="112"/>
      <c r="EH188" s="111"/>
      <c r="EI188" s="112"/>
      <c r="FA188" s="111"/>
      <c r="FB188" s="112"/>
      <c r="FT188" s="111"/>
      <c r="FU188" s="112"/>
      <c r="GP188" s="111"/>
      <c r="GQ188" s="112"/>
      <c r="GR188" s="112"/>
      <c r="HL188" s="111"/>
      <c r="HM188" s="112"/>
      <c r="HN188" s="112"/>
      <c r="IH188" s="111"/>
      <c r="II188" s="112"/>
      <c r="JE188" s="111"/>
      <c r="JF188" s="112"/>
    </row>
    <row r="189" spans="62:266" ht="18.75" customHeight="1">
      <c r="BJ189" s="111"/>
      <c r="BK189" s="112"/>
      <c r="BL189" s="112"/>
      <c r="CC189" s="111"/>
      <c r="CD189" s="112"/>
      <c r="CV189" s="111"/>
      <c r="CW189" s="112"/>
      <c r="CX189" s="112"/>
      <c r="DO189" s="111"/>
      <c r="DP189" s="112"/>
      <c r="EH189" s="111"/>
      <c r="EI189" s="112"/>
      <c r="FA189" s="111"/>
      <c r="FB189" s="112"/>
      <c r="FT189" s="111"/>
      <c r="FU189" s="112"/>
      <c r="GP189" s="111"/>
      <c r="GQ189" s="112"/>
      <c r="GR189" s="112"/>
      <c r="HL189" s="111"/>
      <c r="HM189" s="112"/>
      <c r="HN189" s="112"/>
      <c r="IH189" s="111"/>
      <c r="II189" s="112"/>
      <c r="JE189" s="111"/>
      <c r="JF189" s="112"/>
    </row>
    <row r="190" spans="62:266" ht="18.75" customHeight="1">
      <c r="BJ190" s="111"/>
      <c r="BK190" s="112"/>
      <c r="BL190" s="112"/>
      <c r="CC190" s="111"/>
      <c r="CD190" s="112"/>
      <c r="CV190" s="111"/>
      <c r="CW190" s="112"/>
      <c r="CX190" s="112"/>
      <c r="DO190" s="111"/>
      <c r="DP190" s="112"/>
      <c r="EH190" s="111"/>
      <c r="EI190" s="112"/>
      <c r="FA190" s="111"/>
      <c r="FB190" s="112"/>
      <c r="FT190" s="111"/>
      <c r="FU190" s="112"/>
      <c r="GP190" s="111"/>
      <c r="GQ190" s="112"/>
      <c r="GR190" s="112"/>
      <c r="HL190" s="111"/>
      <c r="HM190" s="112"/>
      <c r="HN190" s="112"/>
      <c r="IH190" s="111"/>
      <c r="II190" s="112"/>
      <c r="JE190" s="111"/>
      <c r="JF190" s="112"/>
    </row>
    <row r="191" spans="62:266" ht="18.75" customHeight="1">
      <c r="BJ191" s="111"/>
      <c r="BK191" s="112"/>
      <c r="BL191" s="112"/>
      <c r="CC191" s="111"/>
      <c r="CD191" s="112"/>
      <c r="CV191" s="111"/>
      <c r="CW191" s="112"/>
      <c r="CX191" s="112"/>
      <c r="DO191" s="111"/>
      <c r="DP191" s="112"/>
      <c r="EH191" s="111"/>
      <c r="EI191" s="112"/>
      <c r="FA191" s="111"/>
      <c r="FB191" s="112"/>
      <c r="FT191" s="111"/>
      <c r="FU191" s="112"/>
      <c r="GP191" s="111"/>
      <c r="GQ191" s="112"/>
      <c r="GR191" s="112"/>
      <c r="HL191" s="111"/>
      <c r="HM191" s="112"/>
      <c r="HN191" s="112"/>
      <c r="IH191" s="111"/>
      <c r="II191" s="112"/>
      <c r="JE191" s="111"/>
      <c r="JF191" s="112"/>
    </row>
    <row r="192" spans="62:266" ht="18.75" customHeight="1">
      <c r="BJ192" s="111"/>
      <c r="BK192" s="112"/>
      <c r="BL192" s="112"/>
      <c r="CC192" s="111"/>
      <c r="CD192" s="112"/>
      <c r="CV192" s="111"/>
      <c r="CW192" s="112"/>
      <c r="CX192" s="112"/>
      <c r="DO192" s="111"/>
      <c r="DP192" s="112"/>
      <c r="EH192" s="111"/>
      <c r="EI192" s="112"/>
      <c r="FA192" s="111"/>
      <c r="FB192" s="112"/>
      <c r="FT192" s="111"/>
      <c r="FU192" s="112"/>
      <c r="GP192" s="111"/>
      <c r="GQ192" s="112"/>
      <c r="GR192" s="112"/>
      <c r="HL192" s="111"/>
      <c r="HM192" s="112"/>
      <c r="HN192" s="112"/>
      <c r="IH192" s="111"/>
      <c r="II192" s="112"/>
      <c r="JE192" s="111"/>
      <c r="JF192" s="112"/>
    </row>
    <row r="193" spans="63:266" ht="18.75" customHeight="1">
      <c r="BK193" s="112"/>
      <c r="BL193" s="112"/>
      <c r="CD193" s="112"/>
      <c r="CW193" s="112"/>
      <c r="CX193" s="112"/>
      <c r="DP193" s="112"/>
      <c r="EI193" s="112"/>
      <c r="FB193" s="112"/>
      <c r="FU193" s="112"/>
      <c r="GQ193" s="112"/>
      <c r="GR193" s="112"/>
      <c r="HM193" s="112"/>
      <c r="HN193" s="112"/>
      <c r="II193" s="112"/>
      <c r="JF193" s="112"/>
    </row>
    <row r="194" spans="63:266" ht="18.75" customHeight="1">
      <c r="BK194" s="112"/>
      <c r="BL194" s="112"/>
      <c r="CD194" s="112"/>
      <c r="CW194" s="112"/>
      <c r="CX194" s="112"/>
      <c r="DP194" s="112"/>
      <c r="EI194" s="112"/>
      <c r="FB194" s="112"/>
      <c r="FU194" s="112"/>
      <c r="GQ194" s="112"/>
      <c r="GR194" s="112"/>
      <c r="HM194" s="112"/>
      <c r="HN194" s="112"/>
      <c r="II194" s="112"/>
      <c r="JF194" s="112"/>
    </row>
    <row r="195" spans="63:266" ht="18.75" customHeight="1">
      <c r="BK195" s="112"/>
      <c r="BL195" s="112"/>
      <c r="CD195" s="112"/>
      <c r="CW195" s="112"/>
      <c r="CX195" s="112"/>
      <c r="DP195" s="112"/>
      <c r="EI195" s="112"/>
      <c r="FB195" s="112"/>
      <c r="FU195" s="112"/>
      <c r="GQ195" s="112"/>
      <c r="GR195" s="112"/>
      <c r="HM195" s="112"/>
      <c r="HN195" s="112"/>
      <c r="II195" s="112"/>
      <c r="JF195" s="112"/>
    </row>
    <row r="196" spans="63:266" ht="18.75" customHeight="1">
      <c r="BK196" s="112"/>
      <c r="BL196" s="112"/>
      <c r="CD196" s="112"/>
      <c r="CW196" s="112"/>
      <c r="CX196" s="112"/>
      <c r="DP196" s="112"/>
      <c r="EI196" s="112"/>
      <c r="FB196" s="112"/>
      <c r="FU196" s="112"/>
      <c r="GQ196" s="112"/>
      <c r="GR196" s="112"/>
      <c r="HM196" s="112"/>
      <c r="HN196" s="112"/>
      <c r="II196" s="112"/>
      <c r="JF196" s="112"/>
    </row>
    <row r="197" spans="63:266" ht="18.75" customHeight="1">
      <c r="BK197" s="112"/>
      <c r="BL197" s="112"/>
      <c r="CD197" s="112"/>
      <c r="CW197" s="112"/>
      <c r="CX197" s="112"/>
      <c r="DP197" s="112"/>
      <c r="EI197" s="112"/>
      <c r="FB197" s="112"/>
      <c r="FU197" s="112"/>
      <c r="GQ197" s="112"/>
      <c r="GR197" s="112"/>
      <c r="HM197" s="112"/>
      <c r="HN197" s="112"/>
      <c r="II197" s="112"/>
      <c r="JF197" s="112"/>
    </row>
    <row r="198" spans="63:266" ht="18.75" customHeight="1">
      <c r="BK198" s="112"/>
      <c r="BL198" s="112"/>
      <c r="CD198" s="112"/>
      <c r="CW198" s="112"/>
      <c r="CX198" s="112"/>
      <c r="DP198" s="112"/>
      <c r="EI198" s="112"/>
      <c r="FB198" s="112"/>
      <c r="FU198" s="112"/>
      <c r="GQ198" s="112"/>
      <c r="GR198" s="112"/>
      <c r="HM198" s="112"/>
      <c r="HN198" s="112"/>
      <c r="II198" s="112"/>
      <c r="JF198" s="112"/>
    </row>
    <row r="199" spans="63:266" ht="18.75" customHeight="1">
      <c r="BK199" s="112"/>
      <c r="BL199" s="112"/>
      <c r="CD199" s="112"/>
      <c r="CW199" s="112"/>
      <c r="CX199" s="112"/>
      <c r="DP199" s="112"/>
      <c r="EI199" s="112"/>
      <c r="FB199" s="112"/>
      <c r="FU199" s="112"/>
      <c r="GQ199" s="112"/>
      <c r="GR199" s="112"/>
      <c r="HM199" s="112"/>
      <c r="HN199" s="112"/>
      <c r="II199" s="112"/>
      <c r="JF199" s="112"/>
    </row>
    <row r="200" spans="63:266" ht="18.75" customHeight="1">
      <c r="BK200" s="112"/>
      <c r="BL200" s="112"/>
      <c r="CD200" s="112"/>
      <c r="CW200" s="112"/>
      <c r="CX200" s="112"/>
      <c r="DP200" s="112"/>
      <c r="EI200" s="112"/>
      <c r="FB200" s="112"/>
      <c r="FU200" s="112"/>
      <c r="GQ200" s="112"/>
      <c r="GR200" s="112"/>
      <c r="HM200" s="112"/>
      <c r="HN200" s="112"/>
      <c r="II200" s="112"/>
      <c r="JF200" s="112"/>
    </row>
    <row r="201" spans="63:266" ht="18.75" customHeight="1">
      <c r="BK201" s="112"/>
      <c r="BL201" s="112"/>
      <c r="CD201" s="112"/>
      <c r="CW201" s="112"/>
      <c r="CX201" s="112"/>
      <c r="DP201" s="112"/>
      <c r="EI201" s="112"/>
      <c r="FB201" s="112"/>
      <c r="FU201" s="112"/>
      <c r="GQ201" s="112"/>
      <c r="GR201" s="112"/>
      <c r="HM201" s="112"/>
      <c r="HN201" s="112"/>
      <c r="II201" s="112"/>
      <c r="JF201" s="112"/>
    </row>
    <row r="202" spans="63:266" ht="18.75" customHeight="1">
      <c r="BK202" s="112"/>
      <c r="BL202" s="112"/>
      <c r="CD202" s="112"/>
      <c r="CW202" s="112"/>
      <c r="CX202" s="112"/>
      <c r="DP202" s="112"/>
      <c r="EI202" s="112"/>
      <c r="FB202" s="112"/>
      <c r="FU202" s="112"/>
      <c r="GQ202" s="112"/>
      <c r="GR202" s="112"/>
      <c r="HM202" s="112"/>
      <c r="HN202" s="112"/>
      <c r="II202" s="112"/>
      <c r="JF202" s="112"/>
    </row>
    <row r="203" spans="63:266" ht="18.75" customHeight="1">
      <c r="BK203" s="112"/>
      <c r="BL203" s="112"/>
      <c r="CD203" s="112"/>
      <c r="CW203" s="112"/>
      <c r="CX203" s="112"/>
      <c r="DP203" s="112"/>
      <c r="EI203" s="112"/>
      <c r="FB203" s="112"/>
      <c r="FU203" s="112"/>
      <c r="GQ203" s="112"/>
      <c r="GR203" s="112"/>
      <c r="HM203" s="112"/>
      <c r="HN203" s="112"/>
      <c r="II203" s="112"/>
      <c r="JF203" s="112"/>
    </row>
    <row r="204" spans="63:266" ht="18.75" customHeight="1">
      <c r="BK204" s="112"/>
      <c r="BL204" s="112"/>
      <c r="CD204" s="112"/>
      <c r="CW204" s="112"/>
      <c r="CX204" s="112"/>
      <c r="DP204" s="112"/>
      <c r="EI204" s="112"/>
      <c r="FB204" s="112"/>
      <c r="FU204" s="112"/>
      <c r="GQ204" s="112"/>
      <c r="GR204" s="112"/>
      <c r="HM204" s="112"/>
      <c r="HN204" s="112"/>
      <c r="II204" s="112"/>
      <c r="JF204" s="112"/>
    </row>
    <row r="205" spans="63:266" ht="18.75" customHeight="1">
      <c r="BK205" s="112"/>
      <c r="BL205" s="112"/>
      <c r="CD205" s="112"/>
      <c r="CW205" s="112"/>
      <c r="CX205" s="112"/>
      <c r="DP205" s="112"/>
      <c r="EI205" s="112"/>
      <c r="FB205" s="112"/>
      <c r="FU205" s="112"/>
      <c r="GQ205" s="112"/>
      <c r="GR205" s="112"/>
      <c r="HM205" s="112"/>
      <c r="HN205" s="112"/>
      <c r="II205" s="112"/>
      <c r="JF205" s="112"/>
    </row>
    <row r="206" spans="63:266" ht="18.75" customHeight="1">
      <c r="BK206" s="112"/>
      <c r="BL206" s="112"/>
      <c r="CD206" s="112"/>
      <c r="CW206" s="112"/>
      <c r="CX206" s="112"/>
      <c r="DP206" s="112"/>
      <c r="EI206" s="112"/>
      <c r="FB206" s="112"/>
      <c r="FU206" s="112"/>
      <c r="GQ206" s="112"/>
      <c r="GR206" s="112"/>
      <c r="HM206" s="112"/>
      <c r="HN206" s="112"/>
      <c r="II206" s="112"/>
      <c r="JF206" s="112"/>
    </row>
    <row r="207" spans="63:266" ht="18.75" customHeight="1">
      <c r="BK207" s="112"/>
      <c r="BL207" s="112"/>
      <c r="CD207" s="112"/>
      <c r="CW207" s="112"/>
      <c r="CX207" s="112"/>
      <c r="DP207" s="112"/>
      <c r="EI207" s="112"/>
      <c r="FB207" s="112"/>
      <c r="FU207" s="112"/>
      <c r="GQ207" s="112"/>
      <c r="GR207" s="112"/>
      <c r="HM207" s="112"/>
      <c r="HN207" s="112"/>
      <c r="II207" s="112"/>
      <c r="JF207" s="112"/>
    </row>
    <row r="208" spans="63:266" ht="18.75" customHeight="1">
      <c r="BK208" s="112"/>
      <c r="BL208" s="112"/>
      <c r="CD208" s="112"/>
      <c r="CW208" s="112"/>
      <c r="CX208" s="112"/>
      <c r="DP208" s="112"/>
      <c r="EI208" s="112"/>
      <c r="FB208" s="112"/>
      <c r="FU208" s="112"/>
      <c r="GQ208" s="112"/>
      <c r="GR208" s="112"/>
      <c r="HM208" s="112"/>
      <c r="HN208" s="112"/>
      <c r="II208" s="112"/>
      <c r="JF208" s="112"/>
    </row>
    <row r="209" spans="63:266" ht="18.75" customHeight="1">
      <c r="BK209" s="112"/>
      <c r="BL209" s="112"/>
      <c r="CD209" s="112"/>
      <c r="CW209" s="112"/>
      <c r="CX209" s="112"/>
      <c r="DP209" s="112"/>
      <c r="EI209" s="112"/>
      <c r="FB209" s="112"/>
      <c r="FU209" s="112"/>
      <c r="GQ209" s="112"/>
      <c r="GR209" s="112"/>
      <c r="HM209" s="112"/>
      <c r="HN209" s="112"/>
      <c r="II209" s="112"/>
      <c r="JF209" s="112"/>
    </row>
    <row r="210" spans="63:266" ht="18.75" customHeight="1">
      <c r="BK210" s="112"/>
      <c r="BL210" s="112"/>
      <c r="CD210" s="112"/>
      <c r="CW210" s="112"/>
      <c r="CX210" s="112"/>
      <c r="DP210" s="112"/>
      <c r="EI210" s="112"/>
      <c r="FB210" s="112"/>
      <c r="FU210" s="112"/>
      <c r="GQ210" s="112"/>
      <c r="GR210" s="112"/>
      <c r="HM210" s="112"/>
      <c r="HN210" s="112"/>
      <c r="II210" s="112"/>
      <c r="JF210" s="112"/>
    </row>
    <row r="211" spans="63:266" ht="18.75" customHeight="1">
      <c r="BK211" s="112"/>
      <c r="BL211" s="112"/>
      <c r="CD211" s="112"/>
      <c r="CW211" s="112"/>
      <c r="CX211" s="112"/>
      <c r="DP211" s="112"/>
      <c r="EI211" s="112"/>
      <c r="FB211" s="112"/>
      <c r="FU211" s="112"/>
      <c r="GQ211" s="112"/>
      <c r="GR211" s="112"/>
      <c r="HM211" s="112"/>
      <c r="HN211" s="112"/>
      <c r="II211" s="112"/>
      <c r="JF211" s="112"/>
    </row>
    <row r="212" spans="63:266" ht="18.75" customHeight="1">
      <c r="BK212" s="112"/>
      <c r="BL212" s="112"/>
      <c r="CD212" s="112"/>
      <c r="CW212" s="112"/>
      <c r="CX212" s="112"/>
      <c r="DP212" s="112"/>
      <c r="EI212" s="112"/>
      <c r="FB212" s="112"/>
      <c r="FU212" s="112"/>
      <c r="GQ212" s="112"/>
      <c r="GR212" s="112"/>
      <c r="HM212" s="112"/>
      <c r="HN212" s="112"/>
      <c r="II212" s="112"/>
      <c r="JF212" s="112"/>
    </row>
    <row r="213" spans="63:266" ht="18.75" customHeight="1">
      <c r="BK213" s="112"/>
      <c r="BL213" s="112"/>
      <c r="CD213" s="112"/>
      <c r="CW213" s="112"/>
      <c r="CX213" s="112"/>
      <c r="DP213" s="112"/>
      <c r="EI213" s="112"/>
      <c r="FB213" s="112"/>
      <c r="FU213" s="112"/>
      <c r="GQ213" s="112"/>
      <c r="GR213" s="112"/>
      <c r="HM213" s="112"/>
      <c r="HN213" s="112"/>
      <c r="II213" s="112"/>
      <c r="JF213" s="112"/>
    </row>
    <row r="214" spans="63:266" ht="18.75" customHeight="1">
      <c r="BK214" s="112"/>
      <c r="BL214" s="112"/>
      <c r="CD214" s="112"/>
      <c r="CW214" s="112"/>
      <c r="CX214" s="112"/>
      <c r="DP214" s="112"/>
      <c r="EI214" s="112"/>
      <c r="FB214" s="112"/>
      <c r="FU214" s="112"/>
      <c r="GQ214" s="112"/>
      <c r="GR214" s="112"/>
      <c r="HM214" s="112"/>
      <c r="HN214" s="112"/>
      <c r="II214" s="112"/>
      <c r="JF214" s="112"/>
    </row>
    <row r="215" spans="63:266" ht="18.75" customHeight="1">
      <c r="BK215" s="112"/>
      <c r="BL215" s="112"/>
      <c r="CD215" s="112"/>
      <c r="CW215" s="112"/>
      <c r="CX215" s="112"/>
      <c r="DP215" s="112"/>
      <c r="EI215" s="112"/>
      <c r="FB215" s="112"/>
      <c r="FU215" s="112"/>
      <c r="GQ215" s="112"/>
      <c r="GR215" s="112"/>
      <c r="HM215" s="112"/>
      <c r="HN215" s="112"/>
      <c r="II215" s="112"/>
      <c r="JF215" s="112"/>
    </row>
    <row r="216" spans="63:266" ht="18.75" customHeight="1">
      <c r="BK216" s="112"/>
      <c r="BL216" s="112"/>
      <c r="CD216" s="112"/>
      <c r="CW216" s="112"/>
      <c r="CX216" s="112"/>
      <c r="DP216" s="112"/>
      <c r="EI216" s="112"/>
      <c r="FB216" s="112"/>
      <c r="FU216" s="112"/>
      <c r="GQ216" s="112"/>
      <c r="GR216" s="112"/>
      <c r="HM216" s="112"/>
      <c r="HN216" s="112"/>
      <c r="II216" s="112"/>
      <c r="JF216" s="112"/>
    </row>
    <row r="217" spans="63:266" ht="18.75" customHeight="1">
      <c r="BK217" s="112"/>
      <c r="BL217" s="112"/>
      <c r="CD217" s="112"/>
      <c r="CW217" s="112"/>
      <c r="CX217" s="112"/>
      <c r="DP217" s="112"/>
      <c r="EI217" s="112"/>
      <c r="FB217" s="112"/>
      <c r="FU217" s="112"/>
      <c r="GQ217" s="112"/>
      <c r="GR217" s="112"/>
      <c r="HM217" s="112"/>
      <c r="HN217" s="112"/>
      <c r="II217" s="112"/>
      <c r="JF217" s="112"/>
    </row>
    <row r="218" spans="63:266" ht="18.75" customHeight="1">
      <c r="BK218" s="112"/>
      <c r="BL218" s="112"/>
      <c r="CD218" s="112"/>
      <c r="CW218" s="112"/>
      <c r="CX218" s="112"/>
      <c r="DP218" s="112"/>
      <c r="EI218" s="112"/>
      <c r="FB218" s="112"/>
      <c r="FU218" s="112"/>
      <c r="GQ218" s="112"/>
      <c r="GR218" s="112"/>
      <c r="HM218" s="112"/>
      <c r="HN218" s="112"/>
      <c r="II218" s="112"/>
      <c r="JF218" s="112"/>
    </row>
    <row r="219" spans="63:266" ht="18.75" customHeight="1">
      <c r="BK219" s="112"/>
      <c r="BL219" s="112"/>
      <c r="CD219" s="112"/>
      <c r="CW219" s="112"/>
      <c r="CX219" s="112"/>
      <c r="DP219" s="112"/>
      <c r="EI219" s="112"/>
      <c r="FB219" s="112"/>
      <c r="FU219" s="112"/>
      <c r="GQ219" s="112"/>
      <c r="GR219" s="112"/>
      <c r="HM219" s="112"/>
      <c r="HN219" s="112"/>
      <c r="II219" s="112"/>
      <c r="JF219" s="112"/>
    </row>
    <row r="220" spans="63:266" ht="18.75" customHeight="1">
      <c r="BK220" s="112"/>
      <c r="BL220" s="112"/>
      <c r="CD220" s="112"/>
      <c r="CW220" s="112"/>
      <c r="CX220" s="112"/>
      <c r="DP220" s="112"/>
      <c r="EI220" s="112"/>
      <c r="FB220" s="112"/>
      <c r="FU220" s="112"/>
      <c r="GQ220" s="112"/>
      <c r="GR220" s="112"/>
      <c r="HM220" s="112"/>
      <c r="HN220" s="112"/>
      <c r="II220" s="112"/>
      <c r="JF220" s="112"/>
    </row>
    <row r="221" spans="63:266" ht="18.75" customHeight="1">
      <c r="BK221" s="112"/>
      <c r="BL221" s="112"/>
      <c r="CD221" s="112"/>
      <c r="CW221" s="112"/>
      <c r="CX221" s="112"/>
      <c r="DP221" s="112"/>
      <c r="EI221" s="112"/>
      <c r="FB221" s="112"/>
      <c r="FU221" s="112"/>
      <c r="GQ221" s="112"/>
      <c r="GR221" s="112"/>
      <c r="HM221" s="112"/>
      <c r="HN221" s="112"/>
      <c r="II221" s="112"/>
      <c r="JF221" s="112"/>
    </row>
    <row r="222" spans="63:266" ht="18.75" customHeight="1">
      <c r="BK222" s="112"/>
      <c r="BL222" s="112"/>
      <c r="CD222" s="112"/>
      <c r="CW222" s="112"/>
      <c r="CX222" s="112"/>
      <c r="DP222" s="112"/>
      <c r="EI222" s="112"/>
      <c r="FB222" s="112"/>
      <c r="FU222" s="112"/>
      <c r="GQ222" s="112"/>
      <c r="GR222" s="112"/>
      <c r="HM222" s="112"/>
      <c r="HN222" s="112"/>
      <c r="II222" s="112"/>
      <c r="JF222" s="112"/>
    </row>
    <row r="223" spans="63:266" ht="18.75" customHeight="1">
      <c r="BK223" s="112"/>
      <c r="BL223" s="112"/>
      <c r="CD223" s="112"/>
      <c r="CW223" s="112"/>
      <c r="CX223" s="112"/>
      <c r="DP223" s="112"/>
      <c r="EI223" s="112"/>
      <c r="FB223" s="112"/>
      <c r="FU223" s="112"/>
      <c r="GQ223" s="112"/>
      <c r="GR223" s="112"/>
      <c r="HM223" s="112"/>
      <c r="HN223" s="112"/>
      <c r="II223" s="112"/>
      <c r="JF223" s="112"/>
    </row>
    <row r="224" spans="63:266" ht="18.75" customHeight="1">
      <c r="BK224" s="112"/>
      <c r="BL224" s="112"/>
      <c r="CD224" s="112"/>
      <c r="CW224" s="112"/>
      <c r="CX224" s="112"/>
      <c r="DP224" s="112"/>
      <c r="EI224" s="112"/>
      <c r="FB224" s="112"/>
      <c r="FU224" s="112"/>
      <c r="GQ224" s="112"/>
      <c r="GR224" s="112"/>
      <c r="HM224" s="112"/>
      <c r="HN224" s="112"/>
      <c r="II224" s="112"/>
      <c r="JF224" s="112"/>
    </row>
    <row r="225" spans="63:266" ht="18.75" customHeight="1">
      <c r="BK225" s="112"/>
      <c r="BL225" s="112"/>
      <c r="CD225" s="112"/>
      <c r="CW225" s="112"/>
      <c r="CX225" s="112"/>
      <c r="DP225" s="112"/>
      <c r="EI225" s="112"/>
      <c r="FB225" s="112"/>
      <c r="FU225" s="112"/>
      <c r="GQ225" s="112"/>
      <c r="GR225" s="112"/>
      <c r="HM225" s="112"/>
      <c r="HN225" s="112"/>
      <c r="II225" s="112"/>
      <c r="JF225" s="112"/>
    </row>
    <row r="226" spans="63:266" ht="18.75" customHeight="1">
      <c r="BK226" s="112"/>
      <c r="BL226" s="112"/>
      <c r="CD226" s="112"/>
      <c r="CW226" s="112"/>
      <c r="CX226" s="112"/>
      <c r="DP226" s="112"/>
      <c r="EI226" s="112"/>
      <c r="FB226" s="112"/>
      <c r="FU226" s="112"/>
      <c r="GQ226" s="112"/>
      <c r="GR226" s="112"/>
      <c r="HM226" s="112"/>
      <c r="HN226" s="112"/>
      <c r="II226" s="112"/>
      <c r="JF226" s="112"/>
    </row>
    <row r="227" spans="63:266" ht="18.75" customHeight="1">
      <c r="BK227" s="112"/>
      <c r="BL227" s="112"/>
      <c r="CD227" s="112"/>
      <c r="CW227" s="112"/>
      <c r="CX227" s="112"/>
      <c r="DP227" s="112"/>
      <c r="EI227" s="112"/>
      <c r="FB227" s="112"/>
      <c r="FU227" s="112"/>
      <c r="GQ227" s="112"/>
      <c r="GR227" s="112"/>
      <c r="HM227" s="112"/>
      <c r="HN227" s="112"/>
      <c r="II227" s="112"/>
      <c r="JF227" s="112"/>
    </row>
    <row r="228" spans="63:266" ht="18.75" customHeight="1">
      <c r="BK228" s="112"/>
      <c r="BL228" s="112"/>
      <c r="CD228" s="112"/>
      <c r="CW228" s="112"/>
      <c r="CX228" s="112"/>
      <c r="DP228" s="112"/>
      <c r="EI228" s="112"/>
      <c r="FB228" s="112"/>
      <c r="FU228" s="112"/>
      <c r="GQ228" s="112"/>
      <c r="GR228" s="112"/>
      <c r="HM228" s="112"/>
      <c r="HN228" s="112"/>
      <c r="II228" s="112"/>
      <c r="JF228" s="112"/>
    </row>
    <row r="229" spans="63:266" ht="18.75" customHeight="1">
      <c r="BK229" s="112"/>
      <c r="BL229" s="112"/>
      <c r="CD229" s="112"/>
      <c r="CW229" s="112"/>
      <c r="CX229" s="112"/>
      <c r="DP229" s="112"/>
      <c r="EI229" s="112"/>
      <c r="FB229" s="112"/>
      <c r="FU229" s="112"/>
      <c r="GQ229" s="112"/>
      <c r="GR229" s="112"/>
      <c r="HM229" s="112"/>
      <c r="HN229" s="112"/>
      <c r="II229" s="112"/>
      <c r="JF229" s="112"/>
    </row>
    <row r="230" spans="63:266" ht="18.75" customHeight="1">
      <c r="BK230" s="112"/>
      <c r="BL230" s="112"/>
      <c r="CD230" s="112"/>
      <c r="CW230" s="112"/>
      <c r="CX230" s="112"/>
      <c r="DP230" s="112"/>
      <c r="EI230" s="112"/>
      <c r="FB230" s="112"/>
      <c r="FU230" s="112"/>
      <c r="GQ230" s="112"/>
      <c r="GR230" s="112"/>
      <c r="HM230" s="112"/>
      <c r="HN230" s="112"/>
      <c r="II230" s="112"/>
      <c r="JF230" s="112"/>
    </row>
    <row r="231" spans="63:266" ht="18.75" customHeight="1">
      <c r="BK231" s="112"/>
      <c r="BL231" s="112"/>
      <c r="CD231" s="112"/>
      <c r="CW231" s="112"/>
      <c r="CX231" s="112"/>
      <c r="DP231" s="112"/>
      <c r="EI231" s="112"/>
      <c r="FB231" s="112"/>
      <c r="FU231" s="112"/>
      <c r="GQ231" s="112"/>
      <c r="GR231" s="112"/>
      <c r="HM231" s="112"/>
      <c r="HN231" s="112"/>
      <c r="II231" s="112"/>
      <c r="JF231" s="112"/>
    </row>
  </sheetData>
  <mergeCells count="3391">
    <mergeCell ref="JA96:JC96"/>
    <mergeCell ref="JF96:JF97"/>
    <mergeCell ref="JA97:JC97"/>
    <mergeCell ref="IK90:IK92"/>
    <mergeCell ref="IL90:IN90"/>
    <mergeCell ref="IO90:IQ90"/>
    <mergeCell ref="IR90:IT90"/>
    <mergeCell ref="IU90:IW90"/>
    <mergeCell ref="IX90:IZ90"/>
    <mergeCell ref="JA90:JC90"/>
    <mergeCell ref="JE90:JE91"/>
    <mergeCell ref="JF90:JF92"/>
    <mergeCell ref="IK93:IK95"/>
    <mergeCell ref="IL93:IN93"/>
    <mergeCell ref="IO93:IQ93"/>
    <mergeCell ref="IR93:IT93"/>
    <mergeCell ref="IU93:IW93"/>
    <mergeCell ref="IX93:IZ93"/>
    <mergeCell ref="JA93:JC93"/>
    <mergeCell ref="JE93:JE94"/>
    <mergeCell ref="JF93:JF95"/>
    <mergeCell ref="JD91:JD92"/>
    <mergeCell ref="JD94:JD95"/>
    <mergeCell ref="IK84:IK86"/>
    <mergeCell ref="IL84:IN84"/>
    <mergeCell ref="IO84:IQ84"/>
    <mergeCell ref="IR84:IT84"/>
    <mergeCell ref="IU84:IW84"/>
    <mergeCell ref="IX84:IZ84"/>
    <mergeCell ref="JA84:JC84"/>
    <mergeCell ref="JE84:JE85"/>
    <mergeCell ref="JF84:JF86"/>
    <mergeCell ref="IK87:IK89"/>
    <mergeCell ref="IL87:IN87"/>
    <mergeCell ref="IO87:IQ87"/>
    <mergeCell ref="IR87:IT87"/>
    <mergeCell ref="IU87:IW87"/>
    <mergeCell ref="IX87:IZ87"/>
    <mergeCell ref="JA87:JC87"/>
    <mergeCell ref="JE87:JE88"/>
    <mergeCell ref="JF87:JF89"/>
    <mergeCell ref="JD85:JD86"/>
    <mergeCell ref="JD88:JD89"/>
    <mergeCell ref="IK78:IK80"/>
    <mergeCell ref="IL78:IN78"/>
    <mergeCell ref="IO78:IQ78"/>
    <mergeCell ref="IR78:IT78"/>
    <mergeCell ref="IU78:IW78"/>
    <mergeCell ref="IX78:IZ78"/>
    <mergeCell ref="JA78:JC78"/>
    <mergeCell ref="JE78:JE79"/>
    <mergeCell ref="JF78:JF80"/>
    <mergeCell ref="IK81:IK83"/>
    <mergeCell ref="IL81:IN81"/>
    <mergeCell ref="IO81:IQ81"/>
    <mergeCell ref="IR81:IT81"/>
    <mergeCell ref="IU81:IW81"/>
    <mergeCell ref="IX81:IZ81"/>
    <mergeCell ref="JA81:JC81"/>
    <mergeCell ref="JE81:JE82"/>
    <mergeCell ref="JF81:JF83"/>
    <mergeCell ref="JD79:JD80"/>
    <mergeCell ref="JD82:JD83"/>
    <mergeCell ref="IK72:IK74"/>
    <mergeCell ref="IL72:IN72"/>
    <mergeCell ref="IO72:IQ72"/>
    <mergeCell ref="IR72:IT72"/>
    <mergeCell ref="IU72:IW72"/>
    <mergeCell ref="IX72:IZ72"/>
    <mergeCell ref="JA72:JC72"/>
    <mergeCell ref="JE72:JE73"/>
    <mergeCell ref="JF72:JF74"/>
    <mergeCell ref="IK75:IK77"/>
    <mergeCell ref="IL75:IN75"/>
    <mergeCell ref="IO75:IQ75"/>
    <mergeCell ref="IR75:IT75"/>
    <mergeCell ref="IU75:IW75"/>
    <mergeCell ref="IX75:IZ75"/>
    <mergeCell ref="JA75:JC75"/>
    <mergeCell ref="JE75:JE76"/>
    <mergeCell ref="JF75:JF77"/>
    <mergeCell ref="JD73:JD74"/>
    <mergeCell ref="JD76:JD77"/>
    <mergeCell ref="IK66:IK68"/>
    <mergeCell ref="IL66:IN66"/>
    <mergeCell ref="IO66:IQ66"/>
    <mergeCell ref="IR66:IT66"/>
    <mergeCell ref="IU66:IW66"/>
    <mergeCell ref="IX66:IZ66"/>
    <mergeCell ref="JA66:JC66"/>
    <mergeCell ref="JE66:JE67"/>
    <mergeCell ref="JF66:JF68"/>
    <mergeCell ref="IK69:IK71"/>
    <mergeCell ref="IL69:IN69"/>
    <mergeCell ref="IO69:IQ69"/>
    <mergeCell ref="IR69:IT69"/>
    <mergeCell ref="IU69:IW69"/>
    <mergeCell ref="IX69:IZ69"/>
    <mergeCell ref="JA69:JC69"/>
    <mergeCell ref="JE69:JE70"/>
    <mergeCell ref="JF69:JF71"/>
    <mergeCell ref="JD67:JD68"/>
    <mergeCell ref="JD70:JD71"/>
    <mergeCell ref="IK60:IK62"/>
    <mergeCell ref="IL60:IN60"/>
    <mergeCell ref="IO60:IQ60"/>
    <mergeCell ref="IR60:IT60"/>
    <mergeCell ref="IU60:IW60"/>
    <mergeCell ref="IX60:IZ60"/>
    <mergeCell ref="JA60:JC60"/>
    <mergeCell ref="JE60:JE61"/>
    <mergeCell ref="JF60:JF62"/>
    <mergeCell ref="IK63:IK65"/>
    <mergeCell ref="IL63:IN63"/>
    <mergeCell ref="IO63:IQ63"/>
    <mergeCell ref="IR63:IT63"/>
    <mergeCell ref="IU63:IW63"/>
    <mergeCell ref="IX63:IZ63"/>
    <mergeCell ref="JA63:JC63"/>
    <mergeCell ref="JE63:JE64"/>
    <mergeCell ref="JF63:JF65"/>
    <mergeCell ref="JD61:JD62"/>
    <mergeCell ref="JD64:JD65"/>
    <mergeCell ref="IK54:IK56"/>
    <mergeCell ref="IL54:IN54"/>
    <mergeCell ref="IO54:IQ54"/>
    <mergeCell ref="IR54:IT54"/>
    <mergeCell ref="IU54:IW54"/>
    <mergeCell ref="IX54:IZ54"/>
    <mergeCell ref="JA54:JC54"/>
    <mergeCell ref="JE54:JE55"/>
    <mergeCell ref="JF54:JF56"/>
    <mergeCell ref="IK57:IK59"/>
    <mergeCell ref="IL57:IN57"/>
    <mergeCell ref="IO57:IQ57"/>
    <mergeCell ref="IR57:IT57"/>
    <mergeCell ref="IU57:IW57"/>
    <mergeCell ref="IX57:IZ57"/>
    <mergeCell ref="JA57:JC57"/>
    <mergeCell ref="JE57:JE58"/>
    <mergeCell ref="JF57:JF59"/>
    <mergeCell ref="JD55:JD56"/>
    <mergeCell ref="JD58:JD59"/>
    <mergeCell ref="IK48:IK50"/>
    <mergeCell ref="IL48:IN48"/>
    <mergeCell ref="IO48:IQ48"/>
    <mergeCell ref="IR48:IT48"/>
    <mergeCell ref="IU48:IW48"/>
    <mergeCell ref="IX48:IZ48"/>
    <mergeCell ref="JA48:JC48"/>
    <mergeCell ref="JE48:JE49"/>
    <mergeCell ref="JF48:JF50"/>
    <mergeCell ref="IK51:IK53"/>
    <mergeCell ref="IL51:IN51"/>
    <mergeCell ref="IO51:IQ51"/>
    <mergeCell ref="IR51:IT51"/>
    <mergeCell ref="IU51:IW51"/>
    <mergeCell ref="IX51:IZ51"/>
    <mergeCell ref="JA51:JC51"/>
    <mergeCell ref="JE51:JE52"/>
    <mergeCell ref="JF51:JF53"/>
    <mergeCell ref="JD49:JD50"/>
    <mergeCell ref="JD52:JD53"/>
    <mergeCell ref="IK42:IK44"/>
    <mergeCell ref="IL42:IN42"/>
    <mergeCell ref="IO42:IQ42"/>
    <mergeCell ref="IR42:IT42"/>
    <mergeCell ref="IU42:IW42"/>
    <mergeCell ref="IX42:IZ42"/>
    <mergeCell ref="JA42:JC42"/>
    <mergeCell ref="JE42:JE43"/>
    <mergeCell ref="JF42:JF44"/>
    <mergeCell ref="IK45:IK47"/>
    <mergeCell ref="IL45:IN45"/>
    <mergeCell ref="IO45:IQ45"/>
    <mergeCell ref="IR45:IT45"/>
    <mergeCell ref="IU45:IW45"/>
    <mergeCell ref="IX45:IZ45"/>
    <mergeCell ref="JA45:JC45"/>
    <mergeCell ref="JE45:JE46"/>
    <mergeCell ref="JF45:JF47"/>
    <mergeCell ref="JD43:JD44"/>
    <mergeCell ref="JD46:JD47"/>
    <mergeCell ref="IK36:IK38"/>
    <mergeCell ref="IL36:IN36"/>
    <mergeCell ref="IO36:IQ36"/>
    <mergeCell ref="IR36:IT36"/>
    <mergeCell ref="IU36:IW36"/>
    <mergeCell ref="IX36:IZ36"/>
    <mergeCell ref="JA36:JC36"/>
    <mergeCell ref="JE36:JE37"/>
    <mergeCell ref="JF36:JF38"/>
    <mergeCell ref="IK39:IK41"/>
    <mergeCell ref="IL39:IN39"/>
    <mergeCell ref="IO39:IQ39"/>
    <mergeCell ref="IR39:IT39"/>
    <mergeCell ref="IU39:IW39"/>
    <mergeCell ref="IX39:IZ39"/>
    <mergeCell ref="JA39:JC39"/>
    <mergeCell ref="JE39:JE40"/>
    <mergeCell ref="JF39:JF41"/>
    <mergeCell ref="JD37:JD38"/>
    <mergeCell ref="JD40:JD41"/>
    <mergeCell ref="IK30:IK32"/>
    <mergeCell ref="IL30:IN30"/>
    <mergeCell ref="IO30:IQ30"/>
    <mergeCell ref="IR30:IT30"/>
    <mergeCell ref="IU30:IW30"/>
    <mergeCell ref="IX30:IZ30"/>
    <mergeCell ref="JA30:JC30"/>
    <mergeCell ref="JE30:JE31"/>
    <mergeCell ref="JF30:JF32"/>
    <mergeCell ref="IK33:IK35"/>
    <mergeCell ref="IL33:IN33"/>
    <mergeCell ref="IO33:IQ33"/>
    <mergeCell ref="IR33:IT33"/>
    <mergeCell ref="IU33:IW33"/>
    <mergeCell ref="IX33:IZ33"/>
    <mergeCell ref="JA33:JC33"/>
    <mergeCell ref="JE33:JE34"/>
    <mergeCell ref="JF33:JF35"/>
    <mergeCell ref="JD31:JD32"/>
    <mergeCell ref="JD34:JD35"/>
    <mergeCell ref="IK24:IK26"/>
    <mergeCell ref="IL24:IN24"/>
    <mergeCell ref="IO24:IQ24"/>
    <mergeCell ref="IR24:IT24"/>
    <mergeCell ref="IU24:IW24"/>
    <mergeCell ref="IX24:IZ24"/>
    <mergeCell ref="JA24:JC24"/>
    <mergeCell ref="JE24:JE25"/>
    <mergeCell ref="JF24:JF26"/>
    <mergeCell ref="IK27:IK29"/>
    <mergeCell ref="IL27:IN27"/>
    <mergeCell ref="IO27:IQ27"/>
    <mergeCell ref="IR27:IT27"/>
    <mergeCell ref="IU27:IW27"/>
    <mergeCell ref="IX27:IZ27"/>
    <mergeCell ref="JA27:JC27"/>
    <mergeCell ref="JE27:JE28"/>
    <mergeCell ref="JF27:JF29"/>
    <mergeCell ref="JD25:JD26"/>
    <mergeCell ref="JD28:JD29"/>
    <mergeCell ref="IK18:IK20"/>
    <mergeCell ref="IL18:IN18"/>
    <mergeCell ref="IO18:IQ18"/>
    <mergeCell ref="IR18:IT18"/>
    <mergeCell ref="IU18:IW18"/>
    <mergeCell ref="IX18:IZ18"/>
    <mergeCell ref="JA18:JC18"/>
    <mergeCell ref="JE18:JE19"/>
    <mergeCell ref="JF18:JF20"/>
    <mergeCell ref="IK21:IK23"/>
    <mergeCell ref="IL21:IN21"/>
    <mergeCell ref="IO21:IQ21"/>
    <mergeCell ref="IR21:IT21"/>
    <mergeCell ref="IU21:IW21"/>
    <mergeCell ref="IX21:IZ21"/>
    <mergeCell ref="JA21:JC21"/>
    <mergeCell ref="JE21:JE22"/>
    <mergeCell ref="JF21:JF23"/>
    <mergeCell ref="JD19:JD20"/>
    <mergeCell ref="JD22:JD23"/>
    <mergeCell ref="IK12:IK14"/>
    <mergeCell ref="IL12:IN12"/>
    <mergeCell ref="IO12:IQ12"/>
    <mergeCell ref="IR12:IT12"/>
    <mergeCell ref="IU12:IW12"/>
    <mergeCell ref="IX12:IZ12"/>
    <mergeCell ref="JA12:JC12"/>
    <mergeCell ref="JE12:JE13"/>
    <mergeCell ref="JF12:JF14"/>
    <mergeCell ref="IK15:IK17"/>
    <mergeCell ref="IL15:IN15"/>
    <mergeCell ref="IO15:IQ15"/>
    <mergeCell ref="IR15:IT15"/>
    <mergeCell ref="IU15:IW15"/>
    <mergeCell ref="IX15:IZ15"/>
    <mergeCell ref="JA15:JC15"/>
    <mergeCell ref="JE15:JE16"/>
    <mergeCell ref="JF15:JF17"/>
    <mergeCell ref="JD13:JD14"/>
    <mergeCell ref="JD16:JD17"/>
    <mergeCell ref="IK6:IK8"/>
    <mergeCell ref="IL6:IN6"/>
    <mergeCell ref="IO6:IQ6"/>
    <mergeCell ref="IR6:IT6"/>
    <mergeCell ref="IU6:IW6"/>
    <mergeCell ref="IX6:IZ6"/>
    <mergeCell ref="JA6:JC6"/>
    <mergeCell ref="JE6:JE7"/>
    <mergeCell ref="JF6:JF8"/>
    <mergeCell ref="IK9:IK11"/>
    <mergeCell ref="IL9:IN9"/>
    <mergeCell ref="IO9:IQ9"/>
    <mergeCell ref="IR9:IT9"/>
    <mergeCell ref="IU9:IW9"/>
    <mergeCell ref="IX9:IZ9"/>
    <mergeCell ref="JA9:JC9"/>
    <mergeCell ref="JE9:JE10"/>
    <mergeCell ref="JF9:JF11"/>
    <mergeCell ref="JD7:JD8"/>
    <mergeCell ref="JD10:JD11"/>
    <mergeCell ref="IK1:IK2"/>
    <mergeCell ref="IL1:JC1"/>
    <mergeCell ref="JE1:JE2"/>
    <mergeCell ref="JF1:JF2"/>
    <mergeCell ref="IL2:IN2"/>
    <mergeCell ref="IO2:IQ2"/>
    <mergeCell ref="IR2:IT2"/>
    <mergeCell ref="IU2:IW2"/>
    <mergeCell ref="IX2:IZ2"/>
    <mergeCell ref="JA2:JC2"/>
    <mergeCell ref="IK3:IK5"/>
    <mergeCell ref="IL3:IN3"/>
    <mergeCell ref="IO3:IQ3"/>
    <mergeCell ref="IR3:IT3"/>
    <mergeCell ref="IU3:IW3"/>
    <mergeCell ref="IX3:IZ3"/>
    <mergeCell ref="JA3:JC3"/>
    <mergeCell ref="JE3:JE4"/>
    <mergeCell ref="JF3:JF5"/>
    <mergeCell ref="JD1:JD2"/>
    <mergeCell ref="JD4:JD5"/>
    <mergeCell ref="JZ1:KA1"/>
    <mergeCell ref="JZ34:JZ35"/>
    <mergeCell ref="FW90:FW92"/>
    <mergeCell ref="FX90:FZ90"/>
    <mergeCell ref="GA90:GC90"/>
    <mergeCell ref="GD90:GF90"/>
    <mergeCell ref="GG90:GI90"/>
    <mergeCell ref="GJ90:GL90"/>
    <mergeCell ref="GP90:GP91"/>
    <mergeCell ref="GQ90:GQ92"/>
    <mergeCell ref="FW93:FW95"/>
    <mergeCell ref="FX93:FZ93"/>
    <mergeCell ref="GA93:GC93"/>
    <mergeCell ref="GD93:GF93"/>
    <mergeCell ref="GG93:GI93"/>
    <mergeCell ref="GJ93:GL93"/>
    <mergeCell ref="GP93:GP94"/>
    <mergeCell ref="GQ93:GQ95"/>
    <mergeCell ref="FW72:FW74"/>
    <mergeCell ref="FX72:FZ72"/>
    <mergeCell ref="GA72:GC72"/>
    <mergeCell ref="GD72:GF72"/>
    <mergeCell ref="GG72:GI72"/>
    <mergeCell ref="GJ72:GL72"/>
    <mergeCell ref="GP72:GP73"/>
    <mergeCell ref="GQ72:GQ74"/>
    <mergeCell ref="FW75:FW77"/>
    <mergeCell ref="FX75:FZ75"/>
    <mergeCell ref="GA75:GC75"/>
    <mergeCell ref="GD75:GF75"/>
    <mergeCell ref="GG75:GI75"/>
    <mergeCell ref="GJ75:GL75"/>
    <mergeCell ref="GQ96:GQ97"/>
    <mergeCell ref="FW81:FW83"/>
    <mergeCell ref="FX81:FZ81"/>
    <mergeCell ref="GA81:GC81"/>
    <mergeCell ref="GD81:GF81"/>
    <mergeCell ref="GG81:GI81"/>
    <mergeCell ref="GJ81:GL81"/>
    <mergeCell ref="GP81:GP82"/>
    <mergeCell ref="GQ81:GQ83"/>
    <mergeCell ref="FW84:FW86"/>
    <mergeCell ref="FX84:FZ84"/>
    <mergeCell ref="GA84:GC84"/>
    <mergeCell ref="GD84:GF84"/>
    <mergeCell ref="GG84:GI84"/>
    <mergeCell ref="GJ84:GL84"/>
    <mergeCell ref="GP84:GP85"/>
    <mergeCell ref="GQ84:GQ86"/>
    <mergeCell ref="FW87:FW89"/>
    <mergeCell ref="FX87:FZ87"/>
    <mergeCell ref="GA87:GC87"/>
    <mergeCell ref="GD87:GF87"/>
    <mergeCell ref="GG87:GI87"/>
    <mergeCell ref="GJ87:GL87"/>
    <mergeCell ref="GP87:GP88"/>
    <mergeCell ref="GQ87:GQ89"/>
    <mergeCell ref="GP75:GP76"/>
    <mergeCell ref="GQ75:GQ77"/>
    <mergeCell ref="FW78:FW80"/>
    <mergeCell ref="FX78:FZ78"/>
    <mergeCell ref="GA78:GC78"/>
    <mergeCell ref="GD78:GF78"/>
    <mergeCell ref="GG78:GI78"/>
    <mergeCell ref="GJ78:GL78"/>
    <mergeCell ref="GP78:GP79"/>
    <mergeCell ref="GQ78:GQ80"/>
    <mergeCell ref="FW63:FW65"/>
    <mergeCell ref="FX63:FZ63"/>
    <mergeCell ref="GA63:GC63"/>
    <mergeCell ref="GD63:GF63"/>
    <mergeCell ref="GG63:GI63"/>
    <mergeCell ref="GJ63:GL63"/>
    <mergeCell ref="GP63:GP64"/>
    <mergeCell ref="GQ63:GQ65"/>
    <mergeCell ref="FW66:FW68"/>
    <mergeCell ref="FX66:FZ66"/>
    <mergeCell ref="GA66:GC66"/>
    <mergeCell ref="GD66:GF66"/>
    <mergeCell ref="GG66:GI66"/>
    <mergeCell ref="GJ66:GL66"/>
    <mergeCell ref="GP66:GP67"/>
    <mergeCell ref="GQ66:GQ68"/>
    <mergeCell ref="FW69:FW71"/>
    <mergeCell ref="FX69:FZ69"/>
    <mergeCell ref="GA69:GC69"/>
    <mergeCell ref="GD69:GF69"/>
    <mergeCell ref="GG69:GI69"/>
    <mergeCell ref="GJ69:GL69"/>
    <mergeCell ref="GP69:GP70"/>
    <mergeCell ref="GQ69:GQ71"/>
    <mergeCell ref="GA54:GC54"/>
    <mergeCell ref="GD54:GF54"/>
    <mergeCell ref="GG54:GI54"/>
    <mergeCell ref="GJ54:GL54"/>
    <mergeCell ref="GP54:GP55"/>
    <mergeCell ref="GQ54:GQ56"/>
    <mergeCell ref="FW57:FW59"/>
    <mergeCell ref="FX57:FZ57"/>
    <mergeCell ref="GA57:GC57"/>
    <mergeCell ref="GD57:GF57"/>
    <mergeCell ref="GG57:GI57"/>
    <mergeCell ref="GJ57:GL57"/>
    <mergeCell ref="GP57:GP58"/>
    <mergeCell ref="GQ57:GQ59"/>
    <mergeCell ref="FW60:FW62"/>
    <mergeCell ref="FX60:FZ60"/>
    <mergeCell ref="GA60:GC60"/>
    <mergeCell ref="GD60:GF60"/>
    <mergeCell ref="GG60:GI60"/>
    <mergeCell ref="GJ60:GL60"/>
    <mergeCell ref="GP60:GP61"/>
    <mergeCell ref="GQ60:GQ62"/>
    <mergeCell ref="GM54:GO54"/>
    <mergeCell ref="GM57:GO57"/>
    <mergeCell ref="GM60:GO60"/>
    <mergeCell ref="GM63:GO63"/>
    <mergeCell ref="GM66:GO66"/>
    <mergeCell ref="GM69:GO69"/>
    <mergeCell ref="FW54:FW56"/>
    <mergeCell ref="FX54:FZ54"/>
    <mergeCell ref="FW45:FW47"/>
    <mergeCell ref="FX45:FZ45"/>
    <mergeCell ref="GA45:GC45"/>
    <mergeCell ref="GD45:GF45"/>
    <mergeCell ref="GG45:GI45"/>
    <mergeCell ref="GJ45:GL45"/>
    <mergeCell ref="GP45:GP46"/>
    <mergeCell ref="GQ45:GQ47"/>
    <mergeCell ref="FW48:FW50"/>
    <mergeCell ref="FX48:FZ48"/>
    <mergeCell ref="GA48:GC48"/>
    <mergeCell ref="GD48:GF48"/>
    <mergeCell ref="GG48:GI48"/>
    <mergeCell ref="GJ48:GL48"/>
    <mergeCell ref="GP48:GP49"/>
    <mergeCell ref="GQ48:GQ50"/>
    <mergeCell ref="FW51:FW53"/>
    <mergeCell ref="FX51:FZ51"/>
    <mergeCell ref="GA51:GC51"/>
    <mergeCell ref="GD51:GF51"/>
    <mergeCell ref="GG51:GI51"/>
    <mergeCell ref="GJ51:GL51"/>
    <mergeCell ref="GP51:GP52"/>
    <mergeCell ref="GQ51:GQ53"/>
    <mergeCell ref="GM45:GO45"/>
    <mergeCell ref="GM48:GO48"/>
    <mergeCell ref="GM51:GO51"/>
    <mergeCell ref="FW36:FW38"/>
    <mergeCell ref="FX36:FZ36"/>
    <mergeCell ref="GA36:GC36"/>
    <mergeCell ref="GD36:GF36"/>
    <mergeCell ref="GG36:GI36"/>
    <mergeCell ref="GJ36:GL36"/>
    <mergeCell ref="GP36:GP37"/>
    <mergeCell ref="GQ36:GQ38"/>
    <mergeCell ref="FW39:FW41"/>
    <mergeCell ref="FX39:FZ39"/>
    <mergeCell ref="GA39:GC39"/>
    <mergeCell ref="GD39:GF39"/>
    <mergeCell ref="GG39:GI39"/>
    <mergeCell ref="GJ39:GL39"/>
    <mergeCell ref="GP39:GP40"/>
    <mergeCell ref="GQ39:GQ41"/>
    <mergeCell ref="FW42:FW44"/>
    <mergeCell ref="FX42:FZ42"/>
    <mergeCell ref="GA42:GC42"/>
    <mergeCell ref="GD42:GF42"/>
    <mergeCell ref="GG42:GI42"/>
    <mergeCell ref="GJ42:GL42"/>
    <mergeCell ref="GP42:GP43"/>
    <mergeCell ref="GQ42:GQ44"/>
    <mergeCell ref="GM36:GO36"/>
    <mergeCell ref="GM39:GO39"/>
    <mergeCell ref="GM42:GO42"/>
    <mergeCell ref="FW27:FW29"/>
    <mergeCell ref="FX27:FZ27"/>
    <mergeCell ref="GA27:GC27"/>
    <mergeCell ref="GD27:GF27"/>
    <mergeCell ref="GG27:GI27"/>
    <mergeCell ref="GJ27:GL27"/>
    <mergeCell ref="GP27:GP28"/>
    <mergeCell ref="GQ27:GQ29"/>
    <mergeCell ref="FW30:FW32"/>
    <mergeCell ref="FX30:FZ30"/>
    <mergeCell ref="GA30:GC30"/>
    <mergeCell ref="GD30:GF30"/>
    <mergeCell ref="GG30:GI30"/>
    <mergeCell ref="GJ30:GL30"/>
    <mergeCell ref="GP30:GP31"/>
    <mergeCell ref="GQ30:GQ32"/>
    <mergeCell ref="FW33:FW35"/>
    <mergeCell ref="FX33:FZ33"/>
    <mergeCell ref="GA33:GC33"/>
    <mergeCell ref="GD33:GF33"/>
    <mergeCell ref="GG33:GI33"/>
    <mergeCell ref="GJ33:GL33"/>
    <mergeCell ref="GP33:GP34"/>
    <mergeCell ref="GQ33:GQ35"/>
    <mergeCell ref="GM27:GO27"/>
    <mergeCell ref="GM30:GO30"/>
    <mergeCell ref="GM33:GO33"/>
    <mergeCell ref="FW18:FW20"/>
    <mergeCell ref="FX18:FZ18"/>
    <mergeCell ref="GA18:GC18"/>
    <mergeCell ref="GD18:GF18"/>
    <mergeCell ref="GG18:GI18"/>
    <mergeCell ref="GJ18:GL18"/>
    <mergeCell ref="GP18:GP19"/>
    <mergeCell ref="GQ18:GQ20"/>
    <mergeCell ref="FW21:FW23"/>
    <mergeCell ref="FX21:FZ21"/>
    <mergeCell ref="GA21:GC21"/>
    <mergeCell ref="GD21:GF21"/>
    <mergeCell ref="GG21:GI21"/>
    <mergeCell ref="GJ21:GL21"/>
    <mergeCell ref="GP21:GP22"/>
    <mergeCell ref="GQ21:GQ23"/>
    <mergeCell ref="FW24:FW26"/>
    <mergeCell ref="FX24:FZ24"/>
    <mergeCell ref="GA24:GC24"/>
    <mergeCell ref="GD24:GF24"/>
    <mergeCell ref="GG24:GI24"/>
    <mergeCell ref="GJ24:GL24"/>
    <mergeCell ref="GP24:GP25"/>
    <mergeCell ref="GQ24:GQ26"/>
    <mergeCell ref="GM18:GO18"/>
    <mergeCell ref="GM21:GO21"/>
    <mergeCell ref="GM24:GO24"/>
    <mergeCell ref="FW9:FW11"/>
    <mergeCell ref="FX9:FZ9"/>
    <mergeCell ref="GA9:GC9"/>
    <mergeCell ref="GD9:GF9"/>
    <mergeCell ref="GG9:GI9"/>
    <mergeCell ref="GJ9:GL9"/>
    <mergeCell ref="GP9:GP10"/>
    <mergeCell ref="GQ9:GQ11"/>
    <mergeCell ref="FW12:FW14"/>
    <mergeCell ref="FX12:FZ12"/>
    <mergeCell ref="GA12:GC12"/>
    <mergeCell ref="GD12:GF12"/>
    <mergeCell ref="GG12:GI12"/>
    <mergeCell ref="GJ12:GL12"/>
    <mergeCell ref="GP12:GP13"/>
    <mergeCell ref="GQ12:GQ14"/>
    <mergeCell ref="FW15:FW17"/>
    <mergeCell ref="FX15:FZ15"/>
    <mergeCell ref="GA15:GC15"/>
    <mergeCell ref="GD15:GF15"/>
    <mergeCell ref="GG15:GI15"/>
    <mergeCell ref="GJ15:GL15"/>
    <mergeCell ref="GP15:GP16"/>
    <mergeCell ref="GQ15:GQ17"/>
    <mergeCell ref="GM9:GO9"/>
    <mergeCell ref="GM12:GO12"/>
    <mergeCell ref="GM15:GO15"/>
    <mergeCell ref="FW1:FW2"/>
    <mergeCell ref="GP1:GP2"/>
    <mergeCell ref="FX2:FZ2"/>
    <mergeCell ref="GA2:GC2"/>
    <mergeCell ref="GD2:GF2"/>
    <mergeCell ref="GG2:GI2"/>
    <mergeCell ref="GJ2:GL2"/>
    <mergeCell ref="FW3:FW5"/>
    <mergeCell ref="FX3:FZ3"/>
    <mergeCell ref="GA3:GC3"/>
    <mergeCell ref="GD3:GF3"/>
    <mergeCell ref="GG3:GI3"/>
    <mergeCell ref="GJ3:GL3"/>
    <mergeCell ref="GP3:GP4"/>
    <mergeCell ref="GQ3:GQ5"/>
    <mergeCell ref="FW6:FW8"/>
    <mergeCell ref="FX6:FZ6"/>
    <mergeCell ref="GA6:GC6"/>
    <mergeCell ref="GD6:GF6"/>
    <mergeCell ref="GG6:GI6"/>
    <mergeCell ref="GJ6:GL6"/>
    <mergeCell ref="GP6:GP7"/>
    <mergeCell ref="GQ6:GQ8"/>
    <mergeCell ref="GQ1:GQ2"/>
    <mergeCell ref="FX1:GO1"/>
    <mergeCell ref="GM2:GO2"/>
    <mergeCell ref="GM3:GO3"/>
    <mergeCell ref="GM6:GO6"/>
    <mergeCell ref="FD93:FD95"/>
    <mergeCell ref="FE93:FG93"/>
    <mergeCell ref="FH93:FJ93"/>
    <mergeCell ref="FK93:FM93"/>
    <mergeCell ref="FN93:FP93"/>
    <mergeCell ref="FQ93:FS93"/>
    <mergeCell ref="FT93:FT94"/>
    <mergeCell ref="FU93:FU95"/>
    <mergeCell ref="FD81:FD83"/>
    <mergeCell ref="FE81:FG81"/>
    <mergeCell ref="FH81:FJ81"/>
    <mergeCell ref="FK81:FM81"/>
    <mergeCell ref="FN81:FP81"/>
    <mergeCell ref="FQ81:FS81"/>
    <mergeCell ref="FT81:FT82"/>
    <mergeCell ref="FU81:FU83"/>
    <mergeCell ref="FD84:FD86"/>
    <mergeCell ref="FE84:FG84"/>
    <mergeCell ref="FH84:FJ84"/>
    <mergeCell ref="FK84:FM84"/>
    <mergeCell ref="FN84:FP84"/>
    <mergeCell ref="FQ84:FS84"/>
    <mergeCell ref="FT84:FT85"/>
    <mergeCell ref="FU84:FU86"/>
    <mergeCell ref="FD72:FD74"/>
    <mergeCell ref="FE72:FG72"/>
    <mergeCell ref="FH72:FJ72"/>
    <mergeCell ref="FK72:FM72"/>
    <mergeCell ref="FN72:FP72"/>
    <mergeCell ref="FQ72:FS72"/>
    <mergeCell ref="FT72:FT73"/>
    <mergeCell ref="FU72:FU74"/>
    <mergeCell ref="FD75:FD77"/>
    <mergeCell ref="FE75:FG75"/>
    <mergeCell ref="FH75:FJ75"/>
    <mergeCell ref="FK75:FM75"/>
    <mergeCell ref="FN75:FP75"/>
    <mergeCell ref="FQ75:FS75"/>
    <mergeCell ref="FT75:FT76"/>
    <mergeCell ref="FU75:FU77"/>
    <mergeCell ref="FQ90:FS90"/>
    <mergeCell ref="FT90:FT91"/>
    <mergeCell ref="FU90:FU92"/>
    <mergeCell ref="FD66:FD68"/>
    <mergeCell ref="FE66:FG66"/>
    <mergeCell ref="FH66:FJ66"/>
    <mergeCell ref="FK66:FM66"/>
    <mergeCell ref="FN66:FP66"/>
    <mergeCell ref="FQ66:FS66"/>
    <mergeCell ref="FT66:FT67"/>
    <mergeCell ref="FU66:FU68"/>
    <mergeCell ref="FD69:FD71"/>
    <mergeCell ref="FE69:FG69"/>
    <mergeCell ref="FH69:FJ69"/>
    <mergeCell ref="FK69:FM69"/>
    <mergeCell ref="FN69:FP69"/>
    <mergeCell ref="FQ69:FS69"/>
    <mergeCell ref="FT69:FT70"/>
    <mergeCell ref="FU69:FU71"/>
    <mergeCell ref="FQ96:FS96"/>
    <mergeCell ref="FU96:FU97"/>
    <mergeCell ref="FQ97:FS97"/>
    <mergeCell ref="FD87:FD89"/>
    <mergeCell ref="FE87:FG87"/>
    <mergeCell ref="FH87:FJ87"/>
    <mergeCell ref="FK87:FM87"/>
    <mergeCell ref="FN87:FP87"/>
    <mergeCell ref="FQ87:FS87"/>
    <mergeCell ref="FT87:FT88"/>
    <mergeCell ref="FU87:FU89"/>
    <mergeCell ref="FD90:FD92"/>
    <mergeCell ref="FE90:FG90"/>
    <mergeCell ref="FH90:FJ90"/>
    <mergeCell ref="FK90:FM90"/>
    <mergeCell ref="FN90:FP90"/>
    <mergeCell ref="FD57:FD59"/>
    <mergeCell ref="FE57:FG57"/>
    <mergeCell ref="FH57:FJ57"/>
    <mergeCell ref="FK57:FM57"/>
    <mergeCell ref="FN57:FP57"/>
    <mergeCell ref="FQ57:FS57"/>
    <mergeCell ref="FT57:FT58"/>
    <mergeCell ref="FU57:FU59"/>
    <mergeCell ref="FD60:FD62"/>
    <mergeCell ref="FE60:FG60"/>
    <mergeCell ref="FH60:FJ60"/>
    <mergeCell ref="FK60:FM60"/>
    <mergeCell ref="FN60:FP60"/>
    <mergeCell ref="FQ60:FS60"/>
    <mergeCell ref="FT60:FT61"/>
    <mergeCell ref="FU60:FU62"/>
    <mergeCell ref="FD78:FD80"/>
    <mergeCell ref="FE78:FG78"/>
    <mergeCell ref="FH78:FJ78"/>
    <mergeCell ref="FK78:FM78"/>
    <mergeCell ref="FN78:FP78"/>
    <mergeCell ref="FQ78:FS78"/>
    <mergeCell ref="FT78:FT79"/>
    <mergeCell ref="FU78:FU80"/>
    <mergeCell ref="FD63:FD65"/>
    <mergeCell ref="FE63:FG63"/>
    <mergeCell ref="FH63:FJ63"/>
    <mergeCell ref="FK63:FM63"/>
    <mergeCell ref="FN63:FP63"/>
    <mergeCell ref="FQ63:FS63"/>
    <mergeCell ref="FT63:FT64"/>
    <mergeCell ref="FU63:FU65"/>
    <mergeCell ref="FD48:FD50"/>
    <mergeCell ref="FE48:FG48"/>
    <mergeCell ref="FH48:FJ48"/>
    <mergeCell ref="FK48:FM48"/>
    <mergeCell ref="FN48:FP48"/>
    <mergeCell ref="FQ48:FS48"/>
    <mergeCell ref="FT48:FT49"/>
    <mergeCell ref="FU48:FU50"/>
    <mergeCell ref="FD51:FD53"/>
    <mergeCell ref="FE51:FG51"/>
    <mergeCell ref="FH51:FJ51"/>
    <mergeCell ref="FK51:FM51"/>
    <mergeCell ref="FN51:FP51"/>
    <mergeCell ref="FQ51:FS51"/>
    <mergeCell ref="FT51:FT52"/>
    <mergeCell ref="FU51:FU53"/>
    <mergeCell ref="FD54:FD56"/>
    <mergeCell ref="FE54:FG54"/>
    <mergeCell ref="FH54:FJ54"/>
    <mergeCell ref="FK54:FM54"/>
    <mergeCell ref="FN54:FP54"/>
    <mergeCell ref="FQ54:FS54"/>
    <mergeCell ref="FT54:FT55"/>
    <mergeCell ref="FU54:FU56"/>
    <mergeCell ref="FD39:FD41"/>
    <mergeCell ref="FE39:FG39"/>
    <mergeCell ref="FH39:FJ39"/>
    <mergeCell ref="FK39:FM39"/>
    <mergeCell ref="FN39:FP39"/>
    <mergeCell ref="FQ39:FS39"/>
    <mergeCell ref="FT39:FT40"/>
    <mergeCell ref="FU39:FU41"/>
    <mergeCell ref="FD42:FD44"/>
    <mergeCell ref="FE42:FG42"/>
    <mergeCell ref="FH42:FJ42"/>
    <mergeCell ref="FK42:FM42"/>
    <mergeCell ref="FN42:FP42"/>
    <mergeCell ref="FQ42:FS42"/>
    <mergeCell ref="FT42:FT43"/>
    <mergeCell ref="FU42:FU44"/>
    <mergeCell ref="FD45:FD47"/>
    <mergeCell ref="FE45:FG45"/>
    <mergeCell ref="FH45:FJ45"/>
    <mergeCell ref="FK45:FM45"/>
    <mergeCell ref="FN45:FP45"/>
    <mergeCell ref="FQ45:FS45"/>
    <mergeCell ref="FT45:FT46"/>
    <mergeCell ref="FU45:FU47"/>
    <mergeCell ref="FD30:FD32"/>
    <mergeCell ref="FE30:FG30"/>
    <mergeCell ref="FH30:FJ30"/>
    <mergeCell ref="FK30:FM30"/>
    <mergeCell ref="FN30:FP30"/>
    <mergeCell ref="FQ30:FS30"/>
    <mergeCell ref="FT30:FT31"/>
    <mergeCell ref="FU30:FU32"/>
    <mergeCell ref="FD33:FD35"/>
    <mergeCell ref="FE33:FG33"/>
    <mergeCell ref="FH33:FJ33"/>
    <mergeCell ref="FK33:FM33"/>
    <mergeCell ref="FN33:FP33"/>
    <mergeCell ref="FQ33:FS33"/>
    <mergeCell ref="FT33:FT34"/>
    <mergeCell ref="FU33:FU35"/>
    <mergeCell ref="FD36:FD38"/>
    <mergeCell ref="FE36:FG36"/>
    <mergeCell ref="FH36:FJ36"/>
    <mergeCell ref="FK36:FM36"/>
    <mergeCell ref="FN36:FP36"/>
    <mergeCell ref="FQ36:FS36"/>
    <mergeCell ref="FT36:FT37"/>
    <mergeCell ref="FU36:FU38"/>
    <mergeCell ref="FD21:FD23"/>
    <mergeCell ref="FE21:FG21"/>
    <mergeCell ref="FH21:FJ21"/>
    <mergeCell ref="FK21:FM21"/>
    <mergeCell ref="FN21:FP21"/>
    <mergeCell ref="FQ21:FS21"/>
    <mergeCell ref="FT21:FT22"/>
    <mergeCell ref="FU21:FU23"/>
    <mergeCell ref="FD24:FD26"/>
    <mergeCell ref="FE24:FG24"/>
    <mergeCell ref="FH24:FJ24"/>
    <mergeCell ref="FK24:FM24"/>
    <mergeCell ref="FN24:FP24"/>
    <mergeCell ref="FQ24:FS24"/>
    <mergeCell ref="FT24:FT25"/>
    <mergeCell ref="FU24:FU26"/>
    <mergeCell ref="FD27:FD29"/>
    <mergeCell ref="FE27:FG27"/>
    <mergeCell ref="FH27:FJ27"/>
    <mergeCell ref="FK27:FM27"/>
    <mergeCell ref="FN27:FP27"/>
    <mergeCell ref="FQ27:FS27"/>
    <mergeCell ref="FT27:FT28"/>
    <mergeCell ref="FU27:FU29"/>
    <mergeCell ref="FD12:FD14"/>
    <mergeCell ref="FE12:FG12"/>
    <mergeCell ref="FH12:FJ12"/>
    <mergeCell ref="FK12:FM12"/>
    <mergeCell ref="FN12:FP12"/>
    <mergeCell ref="FQ12:FS12"/>
    <mergeCell ref="FT12:FT13"/>
    <mergeCell ref="FU12:FU14"/>
    <mergeCell ref="FD15:FD17"/>
    <mergeCell ref="FE15:FG15"/>
    <mergeCell ref="FH15:FJ15"/>
    <mergeCell ref="FK15:FM15"/>
    <mergeCell ref="FN15:FP15"/>
    <mergeCell ref="FQ15:FS15"/>
    <mergeCell ref="FT15:FT16"/>
    <mergeCell ref="FU15:FU17"/>
    <mergeCell ref="FD18:FD20"/>
    <mergeCell ref="FE18:FG18"/>
    <mergeCell ref="FH18:FJ18"/>
    <mergeCell ref="FK18:FM18"/>
    <mergeCell ref="FN18:FP18"/>
    <mergeCell ref="FQ18:FS18"/>
    <mergeCell ref="FT18:FT19"/>
    <mergeCell ref="FU18:FU20"/>
    <mergeCell ref="FN3:FP3"/>
    <mergeCell ref="FQ3:FS3"/>
    <mergeCell ref="FT3:FT4"/>
    <mergeCell ref="FU3:FU5"/>
    <mergeCell ref="FD6:FD8"/>
    <mergeCell ref="FE6:FG6"/>
    <mergeCell ref="FH6:FJ6"/>
    <mergeCell ref="FK6:FM6"/>
    <mergeCell ref="FN6:FP6"/>
    <mergeCell ref="FQ6:FS6"/>
    <mergeCell ref="FT6:FT7"/>
    <mergeCell ref="FU6:FU8"/>
    <mergeCell ref="FD9:FD11"/>
    <mergeCell ref="FE9:FG9"/>
    <mergeCell ref="FH9:FJ9"/>
    <mergeCell ref="FK9:FM9"/>
    <mergeCell ref="FN9:FP9"/>
    <mergeCell ref="FQ9:FS9"/>
    <mergeCell ref="FT9:FT10"/>
    <mergeCell ref="FU9:FU11"/>
    <mergeCell ref="EL84:EN84"/>
    <mergeCell ref="EO84:EQ84"/>
    <mergeCell ref="ER84:ET84"/>
    <mergeCell ref="EU84:EW84"/>
    <mergeCell ref="EX84:EZ84"/>
    <mergeCell ref="EL87:EN87"/>
    <mergeCell ref="EO87:EQ87"/>
    <mergeCell ref="ER87:ET87"/>
    <mergeCell ref="EU87:EW87"/>
    <mergeCell ref="EX87:EZ87"/>
    <mergeCell ref="JL1:JM1"/>
    <mergeCell ref="JL34:JL35"/>
    <mergeCell ref="BG96:BI96"/>
    <mergeCell ref="BK96:BK97"/>
    <mergeCell ref="BG97:BI97"/>
    <mergeCell ref="JH1:JI1"/>
    <mergeCell ref="JH34:JH35"/>
    <mergeCell ref="BM3:BM5"/>
    <mergeCell ref="BN3:BP3"/>
    <mergeCell ref="BQ3:BS3"/>
    <mergeCell ref="BT3:BV3"/>
    <mergeCell ref="BW3:BY3"/>
    <mergeCell ref="BZ3:CB3"/>
    <mergeCell ref="CC3:CC4"/>
    <mergeCell ref="CD3:CD5"/>
    <mergeCell ref="BM6:BM8"/>
    <mergeCell ref="BN6:BP6"/>
    <mergeCell ref="BQ6:BS6"/>
    <mergeCell ref="BT6:BV6"/>
    <mergeCell ref="FD1:FD2"/>
    <mergeCell ref="FE1:FS1"/>
    <mergeCell ref="FT1:FT2"/>
    <mergeCell ref="AT87:AT89"/>
    <mergeCell ref="AU87:AW87"/>
    <mergeCell ref="AX87:AZ87"/>
    <mergeCell ref="BA87:BC87"/>
    <mergeCell ref="BD87:BF87"/>
    <mergeCell ref="BG87:BI87"/>
    <mergeCell ref="BJ87:BJ88"/>
    <mergeCell ref="BK87:BK89"/>
    <mergeCell ref="AT90:AT92"/>
    <mergeCell ref="AU90:AW90"/>
    <mergeCell ref="AX90:AZ90"/>
    <mergeCell ref="BA90:BC90"/>
    <mergeCell ref="BD90:BF90"/>
    <mergeCell ref="BG90:BI90"/>
    <mergeCell ref="BJ90:BJ91"/>
    <mergeCell ref="BK90:BK92"/>
    <mergeCell ref="BG81:BI81"/>
    <mergeCell ref="BJ81:BJ82"/>
    <mergeCell ref="BK81:BK83"/>
    <mergeCell ref="AT84:AT86"/>
    <mergeCell ref="AU84:AW84"/>
    <mergeCell ref="AX84:AZ84"/>
    <mergeCell ref="BA84:BC84"/>
    <mergeCell ref="BD84:BF84"/>
    <mergeCell ref="BG84:BI84"/>
    <mergeCell ref="BJ84:BJ85"/>
    <mergeCell ref="BK84:BK86"/>
    <mergeCell ref="AT93:AT95"/>
    <mergeCell ref="AU93:AW93"/>
    <mergeCell ref="AX93:AZ93"/>
    <mergeCell ref="BA93:BC93"/>
    <mergeCell ref="BD93:BF93"/>
    <mergeCell ref="AT81:AT83"/>
    <mergeCell ref="AU81:AW81"/>
    <mergeCell ref="AX81:AZ81"/>
    <mergeCell ref="BA81:BC81"/>
    <mergeCell ref="BD81:BF81"/>
    <mergeCell ref="BG93:BI93"/>
    <mergeCell ref="BJ93:BJ94"/>
    <mergeCell ref="BK93:BK95"/>
    <mergeCell ref="AT72:AT74"/>
    <mergeCell ref="AU72:AW72"/>
    <mergeCell ref="AX72:AZ72"/>
    <mergeCell ref="BA72:BC72"/>
    <mergeCell ref="BD72:BF72"/>
    <mergeCell ref="BG72:BI72"/>
    <mergeCell ref="BJ72:BJ73"/>
    <mergeCell ref="BK72:BK74"/>
    <mergeCell ref="AT75:AT77"/>
    <mergeCell ref="AU75:AW75"/>
    <mergeCell ref="AX75:AZ75"/>
    <mergeCell ref="BA75:BC75"/>
    <mergeCell ref="BD75:BF75"/>
    <mergeCell ref="BG75:BI75"/>
    <mergeCell ref="BJ75:BJ76"/>
    <mergeCell ref="BK75:BK77"/>
    <mergeCell ref="AT78:AT80"/>
    <mergeCell ref="AU78:AW78"/>
    <mergeCell ref="AX78:AZ78"/>
    <mergeCell ref="BA78:BC78"/>
    <mergeCell ref="BD78:BF78"/>
    <mergeCell ref="BG78:BI78"/>
    <mergeCell ref="BJ78:BJ79"/>
    <mergeCell ref="BK78:BK80"/>
    <mergeCell ref="AT63:AT65"/>
    <mergeCell ref="AU63:AW63"/>
    <mergeCell ref="AX63:AZ63"/>
    <mergeCell ref="BA63:BC63"/>
    <mergeCell ref="BD63:BF63"/>
    <mergeCell ref="BG63:BI63"/>
    <mergeCell ref="BJ63:BJ64"/>
    <mergeCell ref="BK63:BK65"/>
    <mergeCell ref="AT66:AT68"/>
    <mergeCell ref="AU66:AW66"/>
    <mergeCell ref="AX66:AZ66"/>
    <mergeCell ref="BA66:BC66"/>
    <mergeCell ref="BD66:BF66"/>
    <mergeCell ref="BG66:BI66"/>
    <mergeCell ref="BJ66:BJ67"/>
    <mergeCell ref="BK66:BK68"/>
    <mergeCell ref="AT69:AT71"/>
    <mergeCell ref="AU69:AW69"/>
    <mergeCell ref="AX69:AZ69"/>
    <mergeCell ref="BA69:BC69"/>
    <mergeCell ref="BD69:BF69"/>
    <mergeCell ref="BG69:BI69"/>
    <mergeCell ref="BJ69:BJ70"/>
    <mergeCell ref="BK69:BK71"/>
    <mergeCell ref="AT54:AT56"/>
    <mergeCell ref="AU54:AW54"/>
    <mergeCell ref="AX54:AZ54"/>
    <mergeCell ref="BA54:BC54"/>
    <mergeCell ref="BD54:BF54"/>
    <mergeCell ref="BG54:BI54"/>
    <mergeCell ref="BJ54:BJ55"/>
    <mergeCell ref="BK54:BK56"/>
    <mergeCell ref="AT57:AT59"/>
    <mergeCell ref="AU57:AW57"/>
    <mergeCell ref="AX57:AZ57"/>
    <mergeCell ref="BA57:BC57"/>
    <mergeCell ref="BD57:BF57"/>
    <mergeCell ref="BG57:BI57"/>
    <mergeCell ref="BJ57:BJ58"/>
    <mergeCell ref="BK57:BK59"/>
    <mergeCell ref="AT60:AT62"/>
    <mergeCell ref="AU60:AW60"/>
    <mergeCell ref="AX60:AZ60"/>
    <mergeCell ref="BA60:BC60"/>
    <mergeCell ref="BD60:BF60"/>
    <mergeCell ref="BG60:BI60"/>
    <mergeCell ref="BJ60:BJ61"/>
    <mergeCell ref="BK60:BK62"/>
    <mergeCell ref="AT45:AT47"/>
    <mergeCell ref="AU45:AW45"/>
    <mergeCell ref="AX45:AZ45"/>
    <mergeCell ref="BA45:BC45"/>
    <mergeCell ref="BD45:BF45"/>
    <mergeCell ref="BG45:BI45"/>
    <mergeCell ref="BJ45:BJ46"/>
    <mergeCell ref="BK45:BK47"/>
    <mergeCell ref="AT48:AT50"/>
    <mergeCell ref="AU48:AW48"/>
    <mergeCell ref="AX48:AZ48"/>
    <mergeCell ref="BA48:BC48"/>
    <mergeCell ref="BD48:BF48"/>
    <mergeCell ref="BG48:BI48"/>
    <mergeCell ref="BJ48:BJ49"/>
    <mergeCell ref="BK48:BK50"/>
    <mergeCell ref="AT51:AT53"/>
    <mergeCell ref="AU51:AW51"/>
    <mergeCell ref="AX51:AZ51"/>
    <mergeCell ref="BA51:BC51"/>
    <mergeCell ref="BD51:BF51"/>
    <mergeCell ref="BG51:BI51"/>
    <mergeCell ref="BJ51:BJ52"/>
    <mergeCell ref="BK51:BK53"/>
    <mergeCell ref="AT36:AT38"/>
    <mergeCell ref="AU36:AW36"/>
    <mergeCell ref="AX36:AZ36"/>
    <mergeCell ref="BA36:BC36"/>
    <mergeCell ref="BD36:BF36"/>
    <mergeCell ref="BG36:BI36"/>
    <mergeCell ref="BJ36:BJ37"/>
    <mergeCell ref="BK36:BK38"/>
    <mergeCell ref="AT39:AT41"/>
    <mergeCell ref="AU39:AW39"/>
    <mergeCell ref="AX39:AZ39"/>
    <mergeCell ref="BA39:BC39"/>
    <mergeCell ref="BD39:BF39"/>
    <mergeCell ref="BG39:BI39"/>
    <mergeCell ref="BJ39:BJ40"/>
    <mergeCell ref="BK39:BK41"/>
    <mergeCell ref="AT42:AT44"/>
    <mergeCell ref="AU42:AW42"/>
    <mergeCell ref="AX42:AZ42"/>
    <mergeCell ref="BA42:BC42"/>
    <mergeCell ref="BD42:BF42"/>
    <mergeCell ref="BG42:BI42"/>
    <mergeCell ref="BJ42:BJ43"/>
    <mergeCell ref="BK42:BK44"/>
    <mergeCell ref="AT27:AT29"/>
    <mergeCell ref="AU27:AW27"/>
    <mergeCell ref="AX27:AZ27"/>
    <mergeCell ref="BA27:BC27"/>
    <mergeCell ref="BD27:BF27"/>
    <mergeCell ref="BG27:BI27"/>
    <mergeCell ref="BJ27:BJ28"/>
    <mergeCell ref="BK27:BK29"/>
    <mergeCell ref="AT30:AT32"/>
    <mergeCell ref="AU30:AW30"/>
    <mergeCell ref="AX30:AZ30"/>
    <mergeCell ref="BA30:BC30"/>
    <mergeCell ref="BD30:BF30"/>
    <mergeCell ref="BG30:BI30"/>
    <mergeCell ref="BJ30:BJ31"/>
    <mergeCell ref="BK30:BK32"/>
    <mergeCell ref="AT33:AT35"/>
    <mergeCell ref="AU33:AW33"/>
    <mergeCell ref="AX33:AZ33"/>
    <mergeCell ref="BA33:BC33"/>
    <mergeCell ref="BD33:BF33"/>
    <mergeCell ref="BG33:BI33"/>
    <mergeCell ref="BJ33:BJ34"/>
    <mergeCell ref="BK33:BK35"/>
    <mergeCell ref="AT18:AT20"/>
    <mergeCell ref="AU18:AW18"/>
    <mergeCell ref="AX18:AZ18"/>
    <mergeCell ref="BA18:BC18"/>
    <mergeCell ref="BD18:BF18"/>
    <mergeCell ref="BG18:BI18"/>
    <mergeCell ref="BJ18:BJ19"/>
    <mergeCell ref="BK18:BK20"/>
    <mergeCell ref="AT21:AT23"/>
    <mergeCell ref="AU21:AW21"/>
    <mergeCell ref="AX21:AZ21"/>
    <mergeCell ref="BA21:BC21"/>
    <mergeCell ref="BD21:BF21"/>
    <mergeCell ref="BG21:BI21"/>
    <mergeCell ref="BJ21:BJ22"/>
    <mergeCell ref="BK21:BK23"/>
    <mergeCell ref="AT24:AT26"/>
    <mergeCell ref="AU24:AW24"/>
    <mergeCell ref="AX24:AZ24"/>
    <mergeCell ref="BA24:BC24"/>
    <mergeCell ref="BD24:BF24"/>
    <mergeCell ref="BG24:BI24"/>
    <mergeCell ref="BJ24:BJ25"/>
    <mergeCell ref="BK24:BK26"/>
    <mergeCell ref="BA9:BC9"/>
    <mergeCell ref="BD9:BF9"/>
    <mergeCell ref="BG9:BI9"/>
    <mergeCell ref="BJ9:BJ10"/>
    <mergeCell ref="BK9:BK11"/>
    <mergeCell ref="AT12:AT14"/>
    <mergeCell ref="AU12:AW12"/>
    <mergeCell ref="AX12:AZ12"/>
    <mergeCell ref="BA12:BC12"/>
    <mergeCell ref="BD12:BF12"/>
    <mergeCell ref="BG12:BI12"/>
    <mergeCell ref="BJ12:BJ13"/>
    <mergeCell ref="BK12:BK14"/>
    <mergeCell ref="AT15:AT17"/>
    <mergeCell ref="AU15:AW15"/>
    <mergeCell ref="AX15:AZ15"/>
    <mergeCell ref="BA15:BC15"/>
    <mergeCell ref="BD15:BF15"/>
    <mergeCell ref="BG15:BI15"/>
    <mergeCell ref="BJ15:BJ16"/>
    <mergeCell ref="BK15:BK17"/>
    <mergeCell ref="Y3:Y5"/>
    <mergeCell ref="Y6:Y8"/>
    <mergeCell ref="Y9:Y11"/>
    <mergeCell ref="Y12:Y14"/>
    <mergeCell ref="AT1:AT2"/>
    <mergeCell ref="AU1:BI1"/>
    <mergeCell ref="BJ1:BJ2"/>
    <mergeCell ref="BK1:BK2"/>
    <mergeCell ref="AU2:AW2"/>
    <mergeCell ref="AX2:AZ2"/>
    <mergeCell ref="BA2:BC2"/>
    <mergeCell ref="BD2:BF2"/>
    <mergeCell ref="BG2:BI2"/>
    <mergeCell ref="AT3:AT5"/>
    <mergeCell ref="AU3:AW3"/>
    <mergeCell ref="AX3:AZ3"/>
    <mergeCell ref="BA3:BC3"/>
    <mergeCell ref="BD3:BF3"/>
    <mergeCell ref="BG3:BI3"/>
    <mergeCell ref="BJ3:BJ4"/>
    <mergeCell ref="BK3:BK5"/>
    <mergeCell ref="AT6:AT8"/>
    <mergeCell ref="AU6:AW6"/>
    <mergeCell ref="AX6:AZ6"/>
    <mergeCell ref="BA6:BC6"/>
    <mergeCell ref="BD6:BF6"/>
    <mergeCell ref="BG6:BI6"/>
    <mergeCell ref="BJ6:BJ7"/>
    <mergeCell ref="BK6:BK8"/>
    <mergeCell ref="AT9:AT11"/>
    <mergeCell ref="AU9:AW9"/>
    <mergeCell ref="AX9:AZ9"/>
    <mergeCell ref="U37:W37"/>
    <mergeCell ref="U36:W36"/>
    <mergeCell ref="U33:W33"/>
    <mergeCell ref="X33:X34"/>
    <mergeCell ref="U27:W27"/>
    <mergeCell ref="X27:X28"/>
    <mergeCell ref="U30:W30"/>
    <mergeCell ref="X30:X31"/>
    <mergeCell ref="X1:X2"/>
    <mergeCell ref="U24:W24"/>
    <mergeCell ref="X24:X25"/>
    <mergeCell ref="U21:W21"/>
    <mergeCell ref="X3:X4"/>
    <mergeCell ref="X6:X7"/>
    <mergeCell ref="X9:X10"/>
    <mergeCell ref="X12:X13"/>
    <mergeCell ref="X15:X16"/>
    <mergeCell ref="X18:X19"/>
    <mergeCell ref="X21:X22"/>
    <mergeCell ref="U6:W6"/>
    <mergeCell ref="U3:W3"/>
    <mergeCell ref="Y36:Y37"/>
    <mergeCell ref="Y30:Y32"/>
    <mergeCell ref="Y33:Y35"/>
    <mergeCell ref="Y15:Y17"/>
    <mergeCell ref="Y18:Y20"/>
    <mergeCell ref="Y21:Y23"/>
    <mergeCell ref="Y24:Y26"/>
    <mergeCell ref="Y27:Y29"/>
    <mergeCell ref="Y1:Y2"/>
    <mergeCell ref="H27:H29"/>
    <mergeCell ref="I27:K27"/>
    <mergeCell ref="L27:N27"/>
    <mergeCell ref="O27:Q27"/>
    <mergeCell ref="R27:T27"/>
    <mergeCell ref="H24:H26"/>
    <mergeCell ref="I24:K24"/>
    <mergeCell ref="L24:N24"/>
    <mergeCell ref="O24:Q24"/>
    <mergeCell ref="R24:T24"/>
    <mergeCell ref="H33:H35"/>
    <mergeCell ref="I33:K33"/>
    <mergeCell ref="L33:N33"/>
    <mergeCell ref="O33:Q33"/>
    <mergeCell ref="R33:T33"/>
    <mergeCell ref="H30:H32"/>
    <mergeCell ref="I30:K30"/>
    <mergeCell ref="L30:N30"/>
    <mergeCell ref="O30:Q30"/>
    <mergeCell ref="R30:T30"/>
    <mergeCell ref="H12:H14"/>
    <mergeCell ref="I15:K15"/>
    <mergeCell ref="L15:N15"/>
    <mergeCell ref="O15:Q15"/>
    <mergeCell ref="R15:T15"/>
    <mergeCell ref="R9:T9"/>
    <mergeCell ref="U9:W9"/>
    <mergeCell ref="I12:K12"/>
    <mergeCell ref="L12:N12"/>
    <mergeCell ref="O12:Q12"/>
    <mergeCell ref="R12:T12"/>
    <mergeCell ref="U12:W12"/>
    <mergeCell ref="H21:H23"/>
    <mergeCell ref="I21:K21"/>
    <mergeCell ref="L21:N21"/>
    <mergeCell ref="O21:Q21"/>
    <mergeCell ref="R21:T21"/>
    <mergeCell ref="U15:W15"/>
    <mergeCell ref="H18:H20"/>
    <mergeCell ref="I18:K18"/>
    <mergeCell ref="L18:N18"/>
    <mergeCell ref="O18:Q18"/>
    <mergeCell ref="R18:T18"/>
    <mergeCell ref="U18:W18"/>
    <mergeCell ref="H15:H17"/>
    <mergeCell ref="E6:F6"/>
    <mergeCell ref="A14:A18"/>
    <mergeCell ref="B14:B18"/>
    <mergeCell ref="A19:A22"/>
    <mergeCell ref="B19:B22"/>
    <mergeCell ref="A2:A6"/>
    <mergeCell ref="B2:B6"/>
    <mergeCell ref="A7:A10"/>
    <mergeCell ref="B7:B10"/>
    <mergeCell ref="A11:A13"/>
    <mergeCell ref="B11:B13"/>
    <mergeCell ref="I2:K2"/>
    <mergeCell ref="R2:T2"/>
    <mergeCell ref="O2:Q2"/>
    <mergeCell ref="L2:N2"/>
    <mergeCell ref="R3:T3"/>
    <mergeCell ref="O3:Q3"/>
    <mergeCell ref="L3:N3"/>
    <mergeCell ref="I3:K3"/>
    <mergeCell ref="H3:H5"/>
    <mergeCell ref="H1:H2"/>
    <mergeCell ref="I1:W1"/>
    <mergeCell ref="U2:W2"/>
    <mergeCell ref="H6:H8"/>
    <mergeCell ref="H9:H11"/>
    <mergeCell ref="I9:K9"/>
    <mergeCell ref="L9:N9"/>
    <mergeCell ref="O9:Q9"/>
    <mergeCell ref="I6:K6"/>
    <mergeCell ref="L6:N6"/>
    <mergeCell ref="O6:Q6"/>
    <mergeCell ref="R6:T6"/>
    <mergeCell ref="AA3:AA5"/>
    <mergeCell ref="AB3:AD3"/>
    <mergeCell ref="AE3:AG3"/>
    <mergeCell ref="AH3:AJ3"/>
    <mergeCell ref="AK3:AM3"/>
    <mergeCell ref="AN3:AP3"/>
    <mergeCell ref="AQ3:AQ4"/>
    <mergeCell ref="AR3:AR5"/>
    <mergeCell ref="AA6:AA8"/>
    <mergeCell ref="AB6:AD6"/>
    <mergeCell ref="AE6:AG6"/>
    <mergeCell ref="AH6:AJ6"/>
    <mergeCell ref="AK6:AM6"/>
    <mergeCell ref="AN6:AP6"/>
    <mergeCell ref="AQ6:AQ7"/>
    <mergeCell ref="AR6:AR8"/>
    <mergeCell ref="AA1:AA2"/>
    <mergeCell ref="AB1:AP1"/>
    <mergeCell ref="AQ1:AQ2"/>
    <mergeCell ref="AR1:AR2"/>
    <mergeCell ref="AB2:AD2"/>
    <mergeCell ref="AE2:AG2"/>
    <mergeCell ref="AH2:AJ2"/>
    <mergeCell ref="AK2:AM2"/>
    <mergeCell ref="AN2:AP2"/>
    <mergeCell ref="AA15:AA17"/>
    <mergeCell ref="AB15:AD15"/>
    <mergeCell ref="AE15:AG15"/>
    <mergeCell ref="AH15:AJ15"/>
    <mergeCell ref="AK15:AM15"/>
    <mergeCell ref="AN15:AP15"/>
    <mergeCell ref="AQ15:AQ16"/>
    <mergeCell ref="AR15:AR17"/>
    <mergeCell ref="AA18:AA20"/>
    <mergeCell ref="AB18:AD18"/>
    <mergeCell ref="AE18:AG18"/>
    <mergeCell ref="AH18:AJ18"/>
    <mergeCell ref="AK18:AM18"/>
    <mergeCell ref="AN18:AP18"/>
    <mergeCell ref="AQ18:AQ19"/>
    <mergeCell ref="AR18:AR20"/>
    <mergeCell ref="AA9:AA11"/>
    <mergeCell ref="AB9:AD9"/>
    <mergeCell ref="AE9:AG9"/>
    <mergeCell ref="AH9:AJ9"/>
    <mergeCell ref="AK9:AM9"/>
    <mergeCell ref="AN9:AP9"/>
    <mergeCell ref="AQ9:AQ10"/>
    <mergeCell ref="AR9:AR11"/>
    <mergeCell ref="AA12:AA14"/>
    <mergeCell ref="AB12:AD12"/>
    <mergeCell ref="AE12:AG12"/>
    <mergeCell ref="AH12:AJ12"/>
    <mergeCell ref="AK12:AM12"/>
    <mergeCell ref="AN12:AP12"/>
    <mergeCell ref="AQ12:AQ13"/>
    <mergeCell ref="AR12:AR14"/>
    <mergeCell ref="AA27:AA29"/>
    <mergeCell ref="AB27:AD27"/>
    <mergeCell ref="AE27:AG27"/>
    <mergeCell ref="AH27:AJ27"/>
    <mergeCell ref="AK27:AM27"/>
    <mergeCell ref="AN27:AP27"/>
    <mergeCell ref="AQ27:AQ28"/>
    <mergeCell ref="AR27:AR29"/>
    <mergeCell ref="AA30:AA32"/>
    <mergeCell ref="AB30:AD30"/>
    <mergeCell ref="AE30:AG30"/>
    <mergeCell ref="AH30:AJ30"/>
    <mergeCell ref="AK30:AM30"/>
    <mergeCell ref="AN30:AP30"/>
    <mergeCell ref="AQ30:AQ31"/>
    <mergeCell ref="AR30:AR32"/>
    <mergeCell ref="AA21:AA23"/>
    <mergeCell ref="AB21:AD21"/>
    <mergeCell ref="AE21:AG21"/>
    <mergeCell ref="AH21:AJ21"/>
    <mergeCell ref="AK21:AM21"/>
    <mergeCell ref="AN21:AP21"/>
    <mergeCell ref="AQ21:AQ22"/>
    <mergeCell ref="AR21:AR23"/>
    <mergeCell ref="AA24:AA26"/>
    <mergeCell ref="AB24:AD24"/>
    <mergeCell ref="AE24:AG24"/>
    <mergeCell ref="AH24:AJ24"/>
    <mergeCell ref="AK24:AM24"/>
    <mergeCell ref="AN24:AP24"/>
    <mergeCell ref="AQ24:AQ25"/>
    <mergeCell ref="AR24:AR26"/>
    <mergeCell ref="AA33:AA35"/>
    <mergeCell ref="AB33:AD33"/>
    <mergeCell ref="AE33:AG33"/>
    <mergeCell ref="AH33:AJ33"/>
    <mergeCell ref="AK33:AM33"/>
    <mergeCell ref="AN33:AP33"/>
    <mergeCell ref="AQ33:AQ34"/>
    <mergeCell ref="AR33:AR35"/>
    <mergeCell ref="AN87:AP87"/>
    <mergeCell ref="AR87:AR88"/>
    <mergeCell ref="AN88:AP88"/>
    <mergeCell ref="AA36:AA38"/>
    <mergeCell ref="AA45:AA47"/>
    <mergeCell ref="AA48:AA50"/>
    <mergeCell ref="AA51:AA53"/>
    <mergeCell ref="AA54:AA56"/>
    <mergeCell ref="AA57:AA59"/>
    <mergeCell ref="AA60:AA62"/>
    <mergeCell ref="AA63:AA65"/>
    <mergeCell ref="AA66:AA68"/>
    <mergeCell ref="AA69:AA71"/>
    <mergeCell ref="AA72:AA74"/>
    <mergeCell ref="AA75:AA77"/>
    <mergeCell ref="AA78:AA80"/>
    <mergeCell ref="AA39:AA41"/>
    <mergeCell ref="AA42:AA44"/>
    <mergeCell ref="AB36:AD36"/>
    <mergeCell ref="AE36:AG36"/>
    <mergeCell ref="AH36:AJ36"/>
    <mergeCell ref="AK36:AM36"/>
    <mergeCell ref="AN36:AP36"/>
    <mergeCell ref="AQ36:AQ37"/>
    <mergeCell ref="AR36:AR38"/>
    <mergeCell ref="AB39:AD39"/>
    <mergeCell ref="AE39:AG39"/>
    <mergeCell ref="AH39:AJ39"/>
    <mergeCell ref="AK39:AM39"/>
    <mergeCell ref="AN39:AP39"/>
    <mergeCell ref="AQ39:AQ40"/>
    <mergeCell ref="AR39:AR41"/>
    <mergeCell ref="AB42:AD42"/>
    <mergeCell ref="AE42:AG42"/>
    <mergeCell ref="AH42:AJ42"/>
    <mergeCell ref="AK42:AM42"/>
    <mergeCell ref="AN42:AP42"/>
    <mergeCell ref="AQ42:AQ43"/>
    <mergeCell ref="AR42:AR44"/>
    <mergeCell ref="AA81:AA83"/>
    <mergeCell ref="AA84:AA86"/>
    <mergeCell ref="AB45:AD45"/>
    <mergeCell ref="AE45:AG45"/>
    <mergeCell ref="AH45:AJ45"/>
    <mergeCell ref="AK45:AM45"/>
    <mergeCell ref="AN45:AP45"/>
    <mergeCell ref="AQ45:AQ46"/>
    <mergeCell ref="AR45:AR47"/>
    <mergeCell ref="AB48:AD48"/>
    <mergeCell ref="AE48:AG48"/>
    <mergeCell ref="AH48:AJ48"/>
    <mergeCell ref="AK48:AM48"/>
    <mergeCell ref="AN48:AP48"/>
    <mergeCell ref="AQ48:AQ49"/>
    <mergeCell ref="AR48:AR50"/>
    <mergeCell ref="AB51:AD51"/>
    <mergeCell ref="AE51:AG51"/>
    <mergeCell ref="AH51:AJ51"/>
    <mergeCell ref="AK51:AM51"/>
    <mergeCell ref="AN51:AP51"/>
    <mergeCell ref="AQ51:AQ52"/>
    <mergeCell ref="AR51:AR53"/>
    <mergeCell ref="AB54:AD54"/>
    <mergeCell ref="AB60:AD60"/>
    <mergeCell ref="AE60:AG60"/>
    <mergeCell ref="AH60:AJ60"/>
    <mergeCell ref="AK60:AM60"/>
    <mergeCell ref="AN60:AP60"/>
    <mergeCell ref="AQ60:AQ61"/>
    <mergeCell ref="AR60:AR62"/>
    <mergeCell ref="AB63:AD63"/>
    <mergeCell ref="AE63:AG63"/>
    <mergeCell ref="AH63:AJ63"/>
    <mergeCell ref="AK63:AM63"/>
    <mergeCell ref="AN63:AP63"/>
    <mergeCell ref="AQ63:AQ64"/>
    <mergeCell ref="AR63:AR65"/>
    <mergeCell ref="AE54:AG54"/>
    <mergeCell ref="AH54:AJ54"/>
    <mergeCell ref="AK54:AM54"/>
    <mergeCell ref="AN54:AP54"/>
    <mergeCell ref="AQ54:AQ55"/>
    <mergeCell ref="AR54:AR56"/>
    <mergeCell ref="AB57:AD57"/>
    <mergeCell ref="AE57:AG57"/>
    <mergeCell ref="AH57:AJ57"/>
    <mergeCell ref="AK57:AM57"/>
    <mergeCell ref="AN57:AP57"/>
    <mergeCell ref="AQ57:AQ58"/>
    <mergeCell ref="AR57:AR59"/>
    <mergeCell ref="AH75:AJ75"/>
    <mergeCell ref="AK75:AM75"/>
    <mergeCell ref="AN75:AP75"/>
    <mergeCell ref="AQ75:AQ76"/>
    <mergeCell ref="AR75:AR77"/>
    <mergeCell ref="AB66:AD66"/>
    <mergeCell ref="AE66:AG66"/>
    <mergeCell ref="AH66:AJ66"/>
    <mergeCell ref="AK66:AM66"/>
    <mergeCell ref="AN66:AP66"/>
    <mergeCell ref="AQ66:AQ67"/>
    <mergeCell ref="AR66:AR68"/>
    <mergeCell ref="AB69:AD69"/>
    <mergeCell ref="AE69:AG69"/>
    <mergeCell ref="AH69:AJ69"/>
    <mergeCell ref="AK69:AM69"/>
    <mergeCell ref="AN69:AP69"/>
    <mergeCell ref="AQ69:AQ70"/>
    <mergeCell ref="AR69:AR71"/>
    <mergeCell ref="AB84:AD84"/>
    <mergeCell ref="AE84:AG84"/>
    <mergeCell ref="AH84:AJ84"/>
    <mergeCell ref="AK84:AM84"/>
    <mergeCell ref="AN84:AP84"/>
    <mergeCell ref="AQ84:AQ85"/>
    <mergeCell ref="AR84:AR86"/>
    <mergeCell ref="JJ1:JK1"/>
    <mergeCell ref="JJ34:JJ35"/>
    <mergeCell ref="AB78:AD78"/>
    <mergeCell ref="AE78:AG78"/>
    <mergeCell ref="AH78:AJ78"/>
    <mergeCell ref="AK78:AM78"/>
    <mergeCell ref="AN78:AP78"/>
    <mergeCell ref="AQ78:AQ79"/>
    <mergeCell ref="AR78:AR80"/>
    <mergeCell ref="AB81:AD81"/>
    <mergeCell ref="AE81:AG81"/>
    <mergeCell ref="AH81:AJ81"/>
    <mergeCell ref="AK81:AM81"/>
    <mergeCell ref="AN81:AP81"/>
    <mergeCell ref="AQ81:AQ82"/>
    <mergeCell ref="AR81:AR83"/>
    <mergeCell ref="AB72:AD72"/>
    <mergeCell ref="AE72:AG72"/>
    <mergeCell ref="AH72:AJ72"/>
    <mergeCell ref="AK72:AM72"/>
    <mergeCell ref="AN72:AP72"/>
    <mergeCell ref="AQ72:AQ73"/>
    <mergeCell ref="AR72:AR74"/>
    <mergeCell ref="AB75:AD75"/>
    <mergeCell ref="AE75:AG75"/>
    <mergeCell ref="BW6:BY6"/>
    <mergeCell ref="BZ6:CB6"/>
    <mergeCell ref="CC6:CC7"/>
    <mergeCell ref="CD6:CD8"/>
    <mergeCell ref="BM1:BM2"/>
    <mergeCell ref="BN1:CB1"/>
    <mergeCell ref="CC1:CC2"/>
    <mergeCell ref="CD1:CD2"/>
    <mergeCell ref="BN2:BP2"/>
    <mergeCell ref="BQ2:BS2"/>
    <mergeCell ref="BT2:BV2"/>
    <mergeCell ref="BW2:BY2"/>
    <mergeCell ref="BZ2:CB2"/>
    <mergeCell ref="BM15:BM17"/>
    <mergeCell ref="BN15:BP15"/>
    <mergeCell ref="BQ15:BS15"/>
    <mergeCell ref="BT15:BV15"/>
    <mergeCell ref="BW15:BY15"/>
    <mergeCell ref="BZ15:CB15"/>
    <mergeCell ref="CC15:CC16"/>
    <mergeCell ref="CD15:CD17"/>
    <mergeCell ref="BM18:BM20"/>
    <mergeCell ref="BN18:BP18"/>
    <mergeCell ref="BQ18:BS18"/>
    <mergeCell ref="BT18:BV18"/>
    <mergeCell ref="BW18:BY18"/>
    <mergeCell ref="BZ18:CB18"/>
    <mergeCell ref="CC18:CC19"/>
    <mergeCell ref="CD18:CD20"/>
    <mergeCell ref="BM9:BM11"/>
    <mergeCell ref="BN9:BP9"/>
    <mergeCell ref="BQ9:BS9"/>
    <mergeCell ref="BT9:BV9"/>
    <mergeCell ref="BW9:BY9"/>
    <mergeCell ref="BZ9:CB9"/>
    <mergeCell ref="CC9:CC10"/>
    <mergeCell ref="CD9:CD11"/>
    <mergeCell ref="BM12:BM14"/>
    <mergeCell ref="BN12:BP12"/>
    <mergeCell ref="BQ12:BS12"/>
    <mergeCell ref="BT12:BV12"/>
    <mergeCell ref="BW12:BY12"/>
    <mergeCell ref="BZ12:CB12"/>
    <mergeCell ref="CC12:CC13"/>
    <mergeCell ref="CD12:CD14"/>
    <mergeCell ref="BM27:BM29"/>
    <mergeCell ref="BN27:BP27"/>
    <mergeCell ref="BQ27:BS27"/>
    <mergeCell ref="BT27:BV27"/>
    <mergeCell ref="BW27:BY27"/>
    <mergeCell ref="BZ27:CB27"/>
    <mergeCell ref="CC27:CC28"/>
    <mergeCell ref="CD27:CD29"/>
    <mergeCell ref="BM30:BM32"/>
    <mergeCell ref="BN30:BP30"/>
    <mergeCell ref="BQ30:BS30"/>
    <mergeCell ref="BT30:BV30"/>
    <mergeCell ref="BW30:BY30"/>
    <mergeCell ref="BZ30:CB30"/>
    <mergeCell ref="CC30:CC31"/>
    <mergeCell ref="CD30:CD32"/>
    <mergeCell ref="BM21:BM23"/>
    <mergeCell ref="BN21:BP21"/>
    <mergeCell ref="BQ21:BS21"/>
    <mergeCell ref="BT21:BV21"/>
    <mergeCell ref="BW21:BY21"/>
    <mergeCell ref="BZ21:CB21"/>
    <mergeCell ref="CC21:CC22"/>
    <mergeCell ref="CD21:CD23"/>
    <mergeCell ref="BM24:BM26"/>
    <mergeCell ref="BN24:BP24"/>
    <mergeCell ref="BQ24:BS24"/>
    <mergeCell ref="BT24:BV24"/>
    <mergeCell ref="BW24:BY24"/>
    <mergeCell ref="BZ24:CB24"/>
    <mergeCell ref="CC24:CC25"/>
    <mergeCell ref="CD24:CD26"/>
    <mergeCell ref="BM39:BM41"/>
    <mergeCell ref="BN39:BP39"/>
    <mergeCell ref="BQ39:BS39"/>
    <mergeCell ref="BT39:BV39"/>
    <mergeCell ref="BW39:BY39"/>
    <mergeCell ref="BZ39:CB39"/>
    <mergeCell ref="CC39:CC40"/>
    <mergeCell ref="CD39:CD41"/>
    <mergeCell ref="BM42:BM44"/>
    <mergeCell ref="BN42:BP42"/>
    <mergeCell ref="BQ42:BS42"/>
    <mergeCell ref="BT42:BV42"/>
    <mergeCell ref="BW42:BY42"/>
    <mergeCell ref="BZ42:CB42"/>
    <mergeCell ref="CC42:CC43"/>
    <mergeCell ref="CD42:CD44"/>
    <mergeCell ref="BM33:BM35"/>
    <mergeCell ref="BN33:BP33"/>
    <mergeCell ref="BQ33:BS33"/>
    <mergeCell ref="BT33:BV33"/>
    <mergeCell ref="BW33:BY33"/>
    <mergeCell ref="BZ33:CB33"/>
    <mergeCell ref="CC33:CC34"/>
    <mergeCell ref="CD33:CD35"/>
    <mergeCell ref="BM36:BM38"/>
    <mergeCell ref="BN36:BP36"/>
    <mergeCell ref="BQ36:BS36"/>
    <mergeCell ref="BT36:BV36"/>
    <mergeCell ref="BW36:BY36"/>
    <mergeCell ref="BZ36:CB36"/>
    <mergeCell ref="CC36:CC37"/>
    <mergeCell ref="CD36:CD38"/>
    <mergeCell ref="BM51:BM53"/>
    <mergeCell ref="BN51:BP51"/>
    <mergeCell ref="BQ51:BS51"/>
    <mergeCell ref="BT51:BV51"/>
    <mergeCell ref="BW51:BY51"/>
    <mergeCell ref="BZ51:CB51"/>
    <mergeCell ref="CC51:CC52"/>
    <mergeCell ref="CD51:CD53"/>
    <mergeCell ref="BM54:BM56"/>
    <mergeCell ref="BN54:BP54"/>
    <mergeCell ref="BQ54:BS54"/>
    <mergeCell ref="BT54:BV54"/>
    <mergeCell ref="BW54:BY54"/>
    <mergeCell ref="BZ54:CB54"/>
    <mergeCell ref="CC54:CC55"/>
    <mergeCell ref="CD54:CD56"/>
    <mergeCell ref="BM45:BM47"/>
    <mergeCell ref="BN45:BP45"/>
    <mergeCell ref="BQ45:BS45"/>
    <mergeCell ref="BT45:BV45"/>
    <mergeCell ref="BW45:BY45"/>
    <mergeCell ref="BZ45:CB45"/>
    <mergeCell ref="CC45:CC46"/>
    <mergeCell ref="CD45:CD47"/>
    <mergeCell ref="BM48:BM50"/>
    <mergeCell ref="BN48:BP48"/>
    <mergeCell ref="BQ48:BS48"/>
    <mergeCell ref="BT48:BV48"/>
    <mergeCell ref="BW48:BY48"/>
    <mergeCell ref="BZ48:CB48"/>
    <mergeCell ref="CC48:CC49"/>
    <mergeCell ref="CD48:CD50"/>
    <mergeCell ref="BM63:BM65"/>
    <mergeCell ref="BN63:BP63"/>
    <mergeCell ref="BQ63:BS63"/>
    <mergeCell ref="BT63:BV63"/>
    <mergeCell ref="BW63:BY63"/>
    <mergeCell ref="BZ63:CB63"/>
    <mergeCell ref="CC63:CC64"/>
    <mergeCell ref="CD63:CD65"/>
    <mergeCell ref="BM66:BM68"/>
    <mergeCell ref="BN66:BP66"/>
    <mergeCell ref="BQ66:BS66"/>
    <mergeCell ref="BT66:BV66"/>
    <mergeCell ref="BW66:BY66"/>
    <mergeCell ref="BZ66:CB66"/>
    <mergeCell ref="CC66:CC67"/>
    <mergeCell ref="CD66:CD68"/>
    <mergeCell ref="BM57:BM59"/>
    <mergeCell ref="BN57:BP57"/>
    <mergeCell ref="BQ57:BS57"/>
    <mergeCell ref="BT57:BV57"/>
    <mergeCell ref="BW57:BY57"/>
    <mergeCell ref="BZ57:CB57"/>
    <mergeCell ref="CC57:CC58"/>
    <mergeCell ref="CD57:CD59"/>
    <mergeCell ref="BM60:BM62"/>
    <mergeCell ref="BN60:BP60"/>
    <mergeCell ref="BQ60:BS60"/>
    <mergeCell ref="BT60:BV60"/>
    <mergeCell ref="BW60:BY60"/>
    <mergeCell ref="BZ60:CB60"/>
    <mergeCell ref="CC60:CC61"/>
    <mergeCell ref="CD60:CD62"/>
    <mergeCell ref="BM75:BM77"/>
    <mergeCell ref="BN75:BP75"/>
    <mergeCell ref="BQ75:BS75"/>
    <mergeCell ref="BT75:BV75"/>
    <mergeCell ref="BW75:BY75"/>
    <mergeCell ref="BZ75:CB75"/>
    <mergeCell ref="CC75:CC76"/>
    <mergeCell ref="CD75:CD77"/>
    <mergeCell ref="BM78:BM80"/>
    <mergeCell ref="BN78:BP78"/>
    <mergeCell ref="BQ78:BS78"/>
    <mergeCell ref="BT78:BV78"/>
    <mergeCell ref="BW78:BY78"/>
    <mergeCell ref="BZ78:CB78"/>
    <mergeCell ref="CC78:CC79"/>
    <mergeCell ref="CD78:CD80"/>
    <mergeCell ref="BM69:BM71"/>
    <mergeCell ref="BN69:BP69"/>
    <mergeCell ref="BQ69:BS69"/>
    <mergeCell ref="BT69:BV69"/>
    <mergeCell ref="BW69:BY69"/>
    <mergeCell ref="BZ69:CB69"/>
    <mergeCell ref="CC69:CC70"/>
    <mergeCell ref="CD69:CD71"/>
    <mergeCell ref="BM72:BM74"/>
    <mergeCell ref="BN72:BP72"/>
    <mergeCell ref="BQ72:BS72"/>
    <mergeCell ref="BT72:BV72"/>
    <mergeCell ref="BW72:BY72"/>
    <mergeCell ref="BZ72:CB72"/>
    <mergeCell ref="CC72:CC73"/>
    <mergeCell ref="CD72:CD74"/>
    <mergeCell ref="BW84:BY84"/>
    <mergeCell ref="BZ96:CB96"/>
    <mergeCell ref="CD96:CD97"/>
    <mergeCell ref="BZ97:CB97"/>
    <mergeCell ref="BM87:BM89"/>
    <mergeCell ref="BN87:BP87"/>
    <mergeCell ref="BQ87:BS87"/>
    <mergeCell ref="BT87:BV87"/>
    <mergeCell ref="BW87:BY87"/>
    <mergeCell ref="BZ87:CB87"/>
    <mergeCell ref="CC87:CC88"/>
    <mergeCell ref="CD87:CD89"/>
    <mergeCell ref="BM90:BM92"/>
    <mergeCell ref="BN90:BP90"/>
    <mergeCell ref="BQ90:BS90"/>
    <mergeCell ref="BT90:BV90"/>
    <mergeCell ref="BW90:BY90"/>
    <mergeCell ref="BZ90:CB90"/>
    <mergeCell ref="CC90:CC91"/>
    <mergeCell ref="CD90:CD92"/>
    <mergeCell ref="BZ84:CB84"/>
    <mergeCell ref="CC84:CC85"/>
    <mergeCell ref="CD84:CD86"/>
    <mergeCell ref="CF1:CF2"/>
    <mergeCell ref="CG1:CU1"/>
    <mergeCell ref="CV1:CV2"/>
    <mergeCell ref="CW1:CW2"/>
    <mergeCell ref="CG2:CI2"/>
    <mergeCell ref="CJ2:CL2"/>
    <mergeCell ref="CM2:CO2"/>
    <mergeCell ref="CP2:CR2"/>
    <mergeCell ref="CS2:CU2"/>
    <mergeCell ref="JN1:JO1"/>
    <mergeCell ref="JN34:JN35"/>
    <mergeCell ref="BM93:BM95"/>
    <mergeCell ref="BN93:BP93"/>
    <mergeCell ref="BQ93:BS93"/>
    <mergeCell ref="BT93:BV93"/>
    <mergeCell ref="BW93:BY93"/>
    <mergeCell ref="BZ93:CB93"/>
    <mergeCell ref="CC93:CC94"/>
    <mergeCell ref="CD93:CD95"/>
    <mergeCell ref="BM81:BM83"/>
    <mergeCell ref="BN81:BP81"/>
    <mergeCell ref="BQ81:BS81"/>
    <mergeCell ref="BT81:BV81"/>
    <mergeCell ref="BW81:BY81"/>
    <mergeCell ref="BZ81:CB81"/>
    <mergeCell ref="CC81:CC82"/>
    <mergeCell ref="CD81:CD83"/>
    <mergeCell ref="BM84:BM86"/>
    <mergeCell ref="BN84:BP84"/>
    <mergeCell ref="BQ84:BS84"/>
    <mergeCell ref="BT84:BV84"/>
    <mergeCell ref="CF9:CF11"/>
    <mergeCell ref="CG9:CI9"/>
    <mergeCell ref="CJ9:CL9"/>
    <mergeCell ref="CM9:CO9"/>
    <mergeCell ref="CP9:CR9"/>
    <mergeCell ref="CS9:CU9"/>
    <mergeCell ref="CV9:CV10"/>
    <mergeCell ref="CW9:CW11"/>
    <mergeCell ref="CF12:CF14"/>
    <mergeCell ref="CG12:CI12"/>
    <mergeCell ref="CJ12:CL12"/>
    <mergeCell ref="CM12:CO12"/>
    <mergeCell ref="CP12:CR12"/>
    <mergeCell ref="CS12:CU12"/>
    <mergeCell ref="CV12:CV13"/>
    <mergeCell ref="CW12:CW14"/>
    <mergeCell ref="CF3:CF5"/>
    <mergeCell ref="CG3:CI3"/>
    <mergeCell ref="CJ3:CL3"/>
    <mergeCell ref="CM3:CO3"/>
    <mergeCell ref="CP3:CR3"/>
    <mergeCell ref="CS3:CU3"/>
    <mergeCell ref="CV3:CV4"/>
    <mergeCell ref="CW3:CW5"/>
    <mergeCell ref="CF6:CF8"/>
    <mergeCell ref="CG6:CI6"/>
    <mergeCell ref="CJ6:CL6"/>
    <mergeCell ref="CM6:CO6"/>
    <mergeCell ref="CP6:CR6"/>
    <mergeCell ref="CS6:CU6"/>
    <mergeCell ref="CV6:CV7"/>
    <mergeCell ref="CW6:CW8"/>
    <mergeCell ref="CF21:CF23"/>
    <mergeCell ref="CG21:CI21"/>
    <mergeCell ref="CJ21:CL21"/>
    <mergeCell ref="CM21:CO21"/>
    <mergeCell ref="CP21:CR21"/>
    <mergeCell ref="CS21:CU21"/>
    <mergeCell ref="CV21:CV22"/>
    <mergeCell ref="CW21:CW23"/>
    <mergeCell ref="CF24:CF26"/>
    <mergeCell ref="CG24:CI24"/>
    <mergeCell ref="CJ24:CL24"/>
    <mergeCell ref="CM24:CO24"/>
    <mergeCell ref="CP24:CR24"/>
    <mergeCell ref="CS24:CU24"/>
    <mergeCell ref="CV24:CV25"/>
    <mergeCell ref="CW24:CW26"/>
    <mergeCell ref="CF15:CF17"/>
    <mergeCell ref="CG15:CI15"/>
    <mergeCell ref="CJ15:CL15"/>
    <mergeCell ref="CM15:CO15"/>
    <mergeCell ref="CP15:CR15"/>
    <mergeCell ref="CS15:CU15"/>
    <mergeCell ref="CV15:CV16"/>
    <mergeCell ref="CW15:CW17"/>
    <mergeCell ref="CF18:CF20"/>
    <mergeCell ref="CG18:CI18"/>
    <mergeCell ref="CJ18:CL18"/>
    <mergeCell ref="CM18:CO18"/>
    <mergeCell ref="CP18:CR18"/>
    <mergeCell ref="CS18:CU18"/>
    <mergeCell ref="CV18:CV19"/>
    <mergeCell ref="CW18:CW20"/>
    <mergeCell ref="CF33:CF35"/>
    <mergeCell ref="CG33:CI33"/>
    <mergeCell ref="CJ33:CL33"/>
    <mergeCell ref="CM33:CO33"/>
    <mergeCell ref="CP33:CR33"/>
    <mergeCell ref="CS33:CU33"/>
    <mergeCell ref="CV33:CV34"/>
    <mergeCell ref="CW33:CW35"/>
    <mergeCell ref="CF36:CF38"/>
    <mergeCell ref="CG36:CI36"/>
    <mergeCell ref="CJ36:CL36"/>
    <mergeCell ref="CM36:CO36"/>
    <mergeCell ref="CP36:CR36"/>
    <mergeCell ref="CS36:CU36"/>
    <mergeCell ref="CV36:CV37"/>
    <mergeCell ref="CW36:CW38"/>
    <mergeCell ref="CF27:CF29"/>
    <mergeCell ref="CG27:CI27"/>
    <mergeCell ref="CJ27:CL27"/>
    <mergeCell ref="CM27:CO27"/>
    <mergeCell ref="CP27:CR27"/>
    <mergeCell ref="CS27:CU27"/>
    <mergeCell ref="CV27:CV28"/>
    <mergeCell ref="CW27:CW29"/>
    <mergeCell ref="CF30:CF32"/>
    <mergeCell ref="CG30:CI30"/>
    <mergeCell ref="CJ30:CL30"/>
    <mergeCell ref="CM30:CO30"/>
    <mergeCell ref="CP30:CR30"/>
    <mergeCell ref="CS30:CU30"/>
    <mergeCell ref="CV30:CV31"/>
    <mergeCell ref="CW30:CW32"/>
    <mergeCell ref="CF45:CF47"/>
    <mergeCell ref="CG45:CI45"/>
    <mergeCell ref="CJ45:CL45"/>
    <mergeCell ref="CM45:CO45"/>
    <mergeCell ref="CP45:CR45"/>
    <mergeCell ref="CS45:CU45"/>
    <mergeCell ref="CV45:CV46"/>
    <mergeCell ref="CW45:CW47"/>
    <mergeCell ref="CF48:CF50"/>
    <mergeCell ref="CG48:CI48"/>
    <mergeCell ref="CJ48:CL48"/>
    <mergeCell ref="CM48:CO48"/>
    <mergeCell ref="CP48:CR48"/>
    <mergeCell ref="CS48:CU48"/>
    <mergeCell ref="CV48:CV49"/>
    <mergeCell ref="CW48:CW50"/>
    <mergeCell ref="CF39:CF41"/>
    <mergeCell ref="CG39:CI39"/>
    <mergeCell ref="CJ39:CL39"/>
    <mergeCell ref="CM39:CO39"/>
    <mergeCell ref="CP39:CR39"/>
    <mergeCell ref="CS39:CU39"/>
    <mergeCell ref="CV39:CV40"/>
    <mergeCell ref="CW39:CW41"/>
    <mergeCell ref="CF42:CF44"/>
    <mergeCell ref="CG42:CI42"/>
    <mergeCell ref="CJ42:CL42"/>
    <mergeCell ref="CM42:CO42"/>
    <mergeCell ref="CP42:CR42"/>
    <mergeCell ref="CS42:CU42"/>
    <mergeCell ref="CV42:CV43"/>
    <mergeCell ref="CW42:CW44"/>
    <mergeCell ref="CF57:CF59"/>
    <mergeCell ref="CG57:CI57"/>
    <mergeCell ref="CJ57:CL57"/>
    <mergeCell ref="CM57:CO57"/>
    <mergeCell ref="CP57:CR57"/>
    <mergeCell ref="CS57:CU57"/>
    <mergeCell ref="CV57:CV58"/>
    <mergeCell ref="CW57:CW59"/>
    <mergeCell ref="CF60:CF62"/>
    <mergeCell ref="CG60:CI60"/>
    <mergeCell ref="CJ60:CL60"/>
    <mergeCell ref="CM60:CO60"/>
    <mergeCell ref="CP60:CR60"/>
    <mergeCell ref="CS60:CU60"/>
    <mergeCell ref="CV60:CV61"/>
    <mergeCell ref="CW60:CW62"/>
    <mergeCell ref="CF51:CF53"/>
    <mergeCell ref="CG51:CI51"/>
    <mergeCell ref="CJ51:CL51"/>
    <mergeCell ref="CM51:CO51"/>
    <mergeCell ref="CP51:CR51"/>
    <mergeCell ref="CS51:CU51"/>
    <mergeCell ref="CV51:CV52"/>
    <mergeCell ref="CW51:CW53"/>
    <mergeCell ref="CF54:CF56"/>
    <mergeCell ref="CG54:CI54"/>
    <mergeCell ref="CJ54:CL54"/>
    <mergeCell ref="CM54:CO54"/>
    <mergeCell ref="CP54:CR54"/>
    <mergeCell ref="CS54:CU54"/>
    <mergeCell ref="CV54:CV55"/>
    <mergeCell ref="CW54:CW56"/>
    <mergeCell ref="CF69:CF71"/>
    <mergeCell ref="CG69:CI69"/>
    <mergeCell ref="CJ69:CL69"/>
    <mergeCell ref="CM69:CO69"/>
    <mergeCell ref="CP69:CR69"/>
    <mergeCell ref="CS69:CU69"/>
    <mergeCell ref="CV69:CV70"/>
    <mergeCell ref="CW69:CW71"/>
    <mergeCell ref="CF72:CF74"/>
    <mergeCell ref="CG72:CI72"/>
    <mergeCell ref="CJ72:CL72"/>
    <mergeCell ref="CM72:CO72"/>
    <mergeCell ref="CP72:CR72"/>
    <mergeCell ref="CS72:CU72"/>
    <mergeCell ref="CV72:CV73"/>
    <mergeCell ref="CW72:CW74"/>
    <mergeCell ref="CF63:CF65"/>
    <mergeCell ref="CG63:CI63"/>
    <mergeCell ref="CJ63:CL63"/>
    <mergeCell ref="CM63:CO63"/>
    <mergeCell ref="CP63:CR63"/>
    <mergeCell ref="CS63:CU63"/>
    <mergeCell ref="CV63:CV64"/>
    <mergeCell ref="CW63:CW65"/>
    <mergeCell ref="CF66:CF68"/>
    <mergeCell ref="CG66:CI66"/>
    <mergeCell ref="CJ66:CL66"/>
    <mergeCell ref="CM66:CO66"/>
    <mergeCell ref="CP66:CR66"/>
    <mergeCell ref="CS66:CU66"/>
    <mergeCell ref="CV66:CV67"/>
    <mergeCell ref="CW66:CW68"/>
    <mergeCell ref="CF81:CF83"/>
    <mergeCell ref="CG81:CI81"/>
    <mergeCell ref="CJ81:CL81"/>
    <mergeCell ref="CM81:CO81"/>
    <mergeCell ref="CP81:CR81"/>
    <mergeCell ref="CS81:CU81"/>
    <mergeCell ref="CV81:CV82"/>
    <mergeCell ref="CW81:CW83"/>
    <mergeCell ref="CF84:CF86"/>
    <mergeCell ref="CG84:CI84"/>
    <mergeCell ref="CJ84:CL84"/>
    <mergeCell ref="CM84:CO84"/>
    <mergeCell ref="CP84:CR84"/>
    <mergeCell ref="CS84:CU84"/>
    <mergeCell ref="CV84:CV85"/>
    <mergeCell ref="CW84:CW86"/>
    <mergeCell ref="CF75:CF77"/>
    <mergeCell ref="CG75:CI75"/>
    <mergeCell ref="CJ75:CL75"/>
    <mergeCell ref="CM75:CO75"/>
    <mergeCell ref="CP75:CR75"/>
    <mergeCell ref="CS75:CU75"/>
    <mergeCell ref="CV75:CV76"/>
    <mergeCell ref="CW75:CW77"/>
    <mergeCell ref="CF78:CF80"/>
    <mergeCell ref="CG78:CI78"/>
    <mergeCell ref="CJ78:CL78"/>
    <mergeCell ref="CM78:CO78"/>
    <mergeCell ref="CP78:CR78"/>
    <mergeCell ref="CS78:CU78"/>
    <mergeCell ref="CV78:CV79"/>
    <mergeCell ref="CW78:CW80"/>
    <mergeCell ref="CF93:CF95"/>
    <mergeCell ref="CG93:CI93"/>
    <mergeCell ref="CJ93:CL93"/>
    <mergeCell ref="CM93:CO93"/>
    <mergeCell ref="CP93:CR93"/>
    <mergeCell ref="CS93:CU93"/>
    <mergeCell ref="CV93:CV94"/>
    <mergeCell ref="CW93:CW95"/>
    <mergeCell ref="CS96:CU96"/>
    <mergeCell ref="CW96:CW97"/>
    <mergeCell ref="CS97:CU97"/>
    <mergeCell ref="CF87:CF89"/>
    <mergeCell ref="CG87:CI87"/>
    <mergeCell ref="CJ87:CL87"/>
    <mergeCell ref="CM87:CO87"/>
    <mergeCell ref="CP87:CR87"/>
    <mergeCell ref="CS87:CU87"/>
    <mergeCell ref="CV87:CV88"/>
    <mergeCell ref="CW87:CW89"/>
    <mergeCell ref="CF90:CF92"/>
    <mergeCell ref="CG90:CI90"/>
    <mergeCell ref="CJ90:CL90"/>
    <mergeCell ref="CM90:CO90"/>
    <mergeCell ref="CP90:CR90"/>
    <mergeCell ref="CS90:CU90"/>
    <mergeCell ref="CV90:CV91"/>
    <mergeCell ref="CW90:CW92"/>
    <mergeCell ref="CY1:CY2"/>
    <mergeCell ref="CZ1:DN1"/>
    <mergeCell ref="DO1:DO2"/>
    <mergeCell ref="DP1:DP2"/>
    <mergeCell ref="CZ2:DB2"/>
    <mergeCell ref="DC2:DE2"/>
    <mergeCell ref="DF2:DH2"/>
    <mergeCell ref="DI2:DK2"/>
    <mergeCell ref="DL2:DN2"/>
    <mergeCell ref="CY3:CY5"/>
    <mergeCell ref="CZ3:DB3"/>
    <mergeCell ref="DC3:DE3"/>
    <mergeCell ref="DF3:DH3"/>
    <mergeCell ref="DI3:DK3"/>
    <mergeCell ref="DL3:DN3"/>
    <mergeCell ref="DO3:DO4"/>
    <mergeCell ref="DP3:DP5"/>
    <mergeCell ref="CY6:CY8"/>
    <mergeCell ref="CZ6:DB6"/>
    <mergeCell ref="DC6:DE6"/>
    <mergeCell ref="DF6:DH6"/>
    <mergeCell ref="DI6:DK6"/>
    <mergeCell ref="DL6:DN6"/>
    <mergeCell ref="DO6:DO7"/>
    <mergeCell ref="DP6:DP8"/>
    <mergeCell ref="CY9:CY11"/>
    <mergeCell ref="CZ9:DB9"/>
    <mergeCell ref="DC9:DE9"/>
    <mergeCell ref="DF9:DH9"/>
    <mergeCell ref="DI9:DK9"/>
    <mergeCell ref="DL9:DN9"/>
    <mergeCell ref="DO9:DO10"/>
    <mergeCell ref="DP9:DP11"/>
    <mergeCell ref="CY12:CY14"/>
    <mergeCell ref="CZ12:DB12"/>
    <mergeCell ref="DC12:DE12"/>
    <mergeCell ref="DF12:DH12"/>
    <mergeCell ref="DI12:DK12"/>
    <mergeCell ref="DL12:DN12"/>
    <mergeCell ref="DO12:DO13"/>
    <mergeCell ref="DP12:DP14"/>
    <mergeCell ref="CY15:CY17"/>
    <mergeCell ref="CZ15:DB15"/>
    <mergeCell ref="DC15:DE15"/>
    <mergeCell ref="DF15:DH15"/>
    <mergeCell ref="DI15:DK15"/>
    <mergeCell ref="DL15:DN15"/>
    <mergeCell ref="DO15:DO16"/>
    <mergeCell ref="DP15:DP17"/>
    <mergeCell ref="CY18:CY20"/>
    <mergeCell ref="CZ18:DB18"/>
    <mergeCell ref="DC18:DE18"/>
    <mergeCell ref="DF18:DH18"/>
    <mergeCell ref="DI18:DK18"/>
    <mergeCell ref="DL18:DN18"/>
    <mergeCell ref="DO18:DO19"/>
    <mergeCell ref="DP18:DP20"/>
    <mergeCell ref="CY21:CY23"/>
    <mergeCell ref="CZ21:DB21"/>
    <mergeCell ref="DC21:DE21"/>
    <mergeCell ref="DF21:DH21"/>
    <mergeCell ref="DI21:DK21"/>
    <mergeCell ref="DL21:DN21"/>
    <mergeCell ref="DO21:DO22"/>
    <mergeCell ref="DP21:DP23"/>
    <mergeCell ref="CY24:CY26"/>
    <mergeCell ref="CZ24:DB24"/>
    <mergeCell ref="DC24:DE24"/>
    <mergeCell ref="DF24:DH24"/>
    <mergeCell ref="DI24:DK24"/>
    <mergeCell ref="DL24:DN24"/>
    <mergeCell ref="DO24:DO25"/>
    <mergeCell ref="DP24:DP26"/>
    <mergeCell ref="CY27:CY29"/>
    <mergeCell ref="CZ27:DB27"/>
    <mergeCell ref="DC27:DE27"/>
    <mergeCell ref="DF27:DH27"/>
    <mergeCell ref="DI27:DK27"/>
    <mergeCell ref="DL27:DN27"/>
    <mergeCell ref="DO27:DO28"/>
    <mergeCell ref="DP27:DP29"/>
    <mergeCell ref="CY30:CY32"/>
    <mergeCell ref="CZ30:DB30"/>
    <mergeCell ref="DC30:DE30"/>
    <mergeCell ref="DF30:DH30"/>
    <mergeCell ref="DI30:DK30"/>
    <mergeCell ref="DL30:DN30"/>
    <mergeCell ref="DO30:DO31"/>
    <mergeCell ref="DP30:DP32"/>
    <mergeCell ref="CY33:CY35"/>
    <mergeCell ref="CZ33:DB33"/>
    <mergeCell ref="DC33:DE33"/>
    <mergeCell ref="DF33:DH33"/>
    <mergeCell ref="DI33:DK33"/>
    <mergeCell ref="DL33:DN33"/>
    <mergeCell ref="DO33:DO34"/>
    <mergeCell ref="DP33:DP35"/>
    <mergeCell ref="CY36:CY38"/>
    <mergeCell ref="CZ36:DB36"/>
    <mergeCell ref="DC36:DE36"/>
    <mergeCell ref="DF36:DH36"/>
    <mergeCell ref="DI36:DK36"/>
    <mergeCell ref="DL36:DN36"/>
    <mergeCell ref="DO36:DO37"/>
    <mergeCell ref="DP36:DP38"/>
    <mergeCell ref="CY39:CY41"/>
    <mergeCell ref="CZ39:DB39"/>
    <mergeCell ref="DC39:DE39"/>
    <mergeCell ref="DF39:DH39"/>
    <mergeCell ref="DI39:DK39"/>
    <mergeCell ref="DL39:DN39"/>
    <mergeCell ref="DO39:DO40"/>
    <mergeCell ref="DP39:DP41"/>
    <mergeCell ref="CY42:CY44"/>
    <mergeCell ref="CZ42:DB42"/>
    <mergeCell ref="DC42:DE42"/>
    <mergeCell ref="DF42:DH42"/>
    <mergeCell ref="DI42:DK42"/>
    <mergeCell ref="DL42:DN42"/>
    <mergeCell ref="DO42:DO43"/>
    <mergeCell ref="DP42:DP44"/>
    <mergeCell ref="CY45:CY47"/>
    <mergeCell ref="CZ45:DB45"/>
    <mergeCell ref="DC45:DE45"/>
    <mergeCell ref="DF45:DH45"/>
    <mergeCell ref="DI45:DK45"/>
    <mergeCell ref="DL45:DN45"/>
    <mergeCell ref="DO45:DO46"/>
    <mergeCell ref="DP45:DP47"/>
    <mergeCell ref="CY48:CY50"/>
    <mergeCell ref="CZ48:DB48"/>
    <mergeCell ref="DC48:DE48"/>
    <mergeCell ref="DF48:DH48"/>
    <mergeCell ref="DI48:DK48"/>
    <mergeCell ref="DL48:DN48"/>
    <mergeCell ref="DO48:DO49"/>
    <mergeCell ref="DP48:DP50"/>
    <mergeCell ref="CY51:CY53"/>
    <mergeCell ref="CZ51:DB51"/>
    <mergeCell ref="DC51:DE51"/>
    <mergeCell ref="DF51:DH51"/>
    <mergeCell ref="DI51:DK51"/>
    <mergeCell ref="DL51:DN51"/>
    <mergeCell ref="DO51:DO52"/>
    <mergeCell ref="DP51:DP53"/>
    <mergeCell ref="CY54:CY56"/>
    <mergeCell ref="CZ54:DB54"/>
    <mergeCell ref="DC54:DE54"/>
    <mergeCell ref="DF54:DH54"/>
    <mergeCell ref="DI54:DK54"/>
    <mergeCell ref="DL54:DN54"/>
    <mergeCell ref="DO54:DO55"/>
    <mergeCell ref="DP54:DP56"/>
    <mergeCell ref="CY57:CY59"/>
    <mergeCell ref="CZ57:DB57"/>
    <mergeCell ref="DC57:DE57"/>
    <mergeCell ref="DF57:DH57"/>
    <mergeCell ref="DI57:DK57"/>
    <mergeCell ref="DL57:DN57"/>
    <mergeCell ref="DO57:DO58"/>
    <mergeCell ref="DP57:DP59"/>
    <mergeCell ref="CY60:CY62"/>
    <mergeCell ref="CZ60:DB60"/>
    <mergeCell ref="DC60:DE60"/>
    <mergeCell ref="DF60:DH60"/>
    <mergeCell ref="DI60:DK60"/>
    <mergeCell ref="DL60:DN60"/>
    <mergeCell ref="DO60:DO61"/>
    <mergeCell ref="DP60:DP62"/>
    <mergeCell ref="CY63:CY65"/>
    <mergeCell ref="CZ63:DB63"/>
    <mergeCell ref="DC63:DE63"/>
    <mergeCell ref="DF63:DH63"/>
    <mergeCell ref="DI63:DK63"/>
    <mergeCell ref="DL63:DN63"/>
    <mergeCell ref="DO63:DO64"/>
    <mergeCell ref="DP63:DP65"/>
    <mergeCell ref="CY66:CY68"/>
    <mergeCell ref="CZ66:DB66"/>
    <mergeCell ref="DC66:DE66"/>
    <mergeCell ref="DF66:DH66"/>
    <mergeCell ref="DI66:DK66"/>
    <mergeCell ref="DL66:DN66"/>
    <mergeCell ref="DO66:DO67"/>
    <mergeCell ref="DP66:DP68"/>
    <mergeCell ref="CY69:CY71"/>
    <mergeCell ref="CZ69:DB69"/>
    <mergeCell ref="DC69:DE69"/>
    <mergeCell ref="DF69:DH69"/>
    <mergeCell ref="DI69:DK69"/>
    <mergeCell ref="DL69:DN69"/>
    <mergeCell ref="DO69:DO70"/>
    <mergeCell ref="DP69:DP71"/>
    <mergeCell ref="CY72:CY74"/>
    <mergeCell ref="CZ72:DB72"/>
    <mergeCell ref="DC72:DE72"/>
    <mergeCell ref="DF72:DH72"/>
    <mergeCell ref="DI72:DK72"/>
    <mergeCell ref="DL72:DN72"/>
    <mergeCell ref="DO72:DO73"/>
    <mergeCell ref="DP72:DP74"/>
    <mergeCell ref="CY75:CY77"/>
    <mergeCell ref="CZ75:DB75"/>
    <mergeCell ref="DC75:DE75"/>
    <mergeCell ref="DF75:DH75"/>
    <mergeCell ref="DI75:DK75"/>
    <mergeCell ref="DL75:DN75"/>
    <mergeCell ref="DO75:DO76"/>
    <mergeCell ref="DP75:DP77"/>
    <mergeCell ref="DF78:DH78"/>
    <mergeCell ref="DI78:DK78"/>
    <mergeCell ref="DL78:DN78"/>
    <mergeCell ref="DO78:DO79"/>
    <mergeCell ref="DP78:DP80"/>
    <mergeCell ref="CY81:CY83"/>
    <mergeCell ref="CZ81:DB81"/>
    <mergeCell ref="DC81:DE81"/>
    <mergeCell ref="DF81:DH81"/>
    <mergeCell ref="DI81:DK81"/>
    <mergeCell ref="DL81:DN81"/>
    <mergeCell ref="DO81:DO82"/>
    <mergeCell ref="DP81:DP83"/>
    <mergeCell ref="CY84:CY86"/>
    <mergeCell ref="CZ84:DB84"/>
    <mergeCell ref="DC84:DE84"/>
    <mergeCell ref="DF84:DH84"/>
    <mergeCell ref="DI84:DK84"/>
    <mergeCell ref="DL84:DN84"/>
    <mergeCell ref="DO84:DO85"/>
    <mergeCell ref="DP84:DP86"/>
    <mergeCell ref="DL96:DN96"/>
    <mergeCell ref="DP96:DP97"/>
    <mergeCell ref="DL97:DN97"/>
    <mergeCell ref="JR1:JS1"/>
    <mergeCell ref="JR34:JR35"/>
    <mergeCell ref="CY87:CY89"/>
    <mergeCell ref="CZ87:DB87"/>
    <mergeCell ref="DC87:DE87"/>
    <mergeCell ref="DF87:DH87"/>
    <mergeCell ref="DI87:DK87"/>
    <mergeCell ref="DL87:DN87"/>
    <mergeCell ref="DO87:DO88"/>
    <mergeCell ref="DP87:DP89"/>
    <mergeCell ref="CY90:CY92"/>
    <mergeCell ref="CZ90:DB90"/>
    <mergeCell ref="DC90:DE90"/>
    <mergeCell ref="DF90:DH90"/>
    <mergeCell ref="DI90:DK90"/>
    <mergeCell ref="DL90:DN90"/>
    <mergeCell ref="DO90:DO91"/>
    <mergeCell ref="DP90:DP92"/>
    <mergeCell ref="CY93:CY95"/>
    <mergeCell ref="CZ93:DB93"/>
    <mergeCell ref="DC93:DE93"/>
    <mergeCell ref="DF93:DH93"/>
    <mergeCell ref="DI93:DK93"/>
    <mergeCell ref="DL93:DN93"/>
    <mergeCell ref="DO93:DO94"/>
    <mergeCell ref="DP93:DP95"/>
    <mergeCell ref="CY78:CY80"/>
    <mergeCell ref="CZ78:DB78"/>
    <mergeCell ref="DC78:DE78"/>
    <mergeCell ref="DR1:DR2"/>
    <mergeCell ref="DS1:EG1"/>
    <mergeCell ref="EH1:EH2"/>
    <mergeCell ref="EI1:EI2"/>
    <mergeCell ref="DS2:DU2"/>
    <mergeCell ref="DV2:DX2"/>
    <mergeCell ref="DY2:EA2"/>
    <mergeCell ref="EB2:ED2"/>
    <mergeCell ref="EE2:EG2"/>
    <mergeCell ref="DR3:DR5"/>
    <mergeCell ref="DS3:DU3"/>
    <mergeCell ref="DV3:DX3"/>
    <mergeCell ref="DY3:EA3"/>
    <mergeCell ref="EB3:ED3"/>
    <mergeCell ref="EE3:EG3"/>
    <mergeCell ref="EH3:EH4"/>
    <mergeCell ref="EI3:EI5"/>
    <mergeCell ref="DR6:DR8"/>
    <mergeCell ref="DS6:DU6"/>
    <mergeCell ref="DV6:DX6"/>
    <mergeCell ref="DY6:EA6"/>
    <mergeCell ref="EB6:ED6"/>
    <mergeCell ref="EE6:EG6"/>
    <mergeCell ref="EH6:EH7"/>
    <mergeCell ref="EI6:EI8"/>
    <mergeCell ref="DR9:DR11"/>
    <mergeCell ref="DS9:DU9"/>
    <mergeCell ref="DV9:DX9"/>
    <mergeCell ref="DY9:EA9"/>
    <mergeCell ref="EB9:ED9"/>
    <mergeCell ref="EE9:EG9"/>
    <mergeCell ref="EH9:EH10"/>
    <mergeCell ref="EI9:EI11"/>
    <mergeCell ref="DR12:DR14"/>
    <mergeCell ref="DS12:DU12"/>
    <mergeCell ref="DV12:DX12"/>
    <mergeCell ref="DY12:EA12"/>
    <mergeCell ref="EB12:ED12"/>
    <mergeCell ref="EE12:EG12"/>
    <mergeCell ref="EH12:EH13"/>
    <mergeCell ref="EI12:EI14"/>
    <mergeCell ref="DR15:DR17"/>
    <mergeCell ref="DS15:DU15"/>
    <mergeCell ref="DV15:DX15"/>
    <mergeCell ref="DY15:EA15"/>
    <mergeCell ref="EB15:ED15"/>
    <mergeCell ref="EE15:EG15"/>
    <mergeCell ref="EH15:EH16"/>
    <mergeCell ref="EI15:EI17"/>
    <mergeCell ref="DR18:DR20"/>
    <mergeCell ref="DS18:DU18"/>
    <mergeCell ref="DV18:DX18"/>
    <mergeCell ref="DY18:EA18"/>
    <mergeCell ref="EB18:ED18"/>
    <mergeCell ref="EE18:EG18"/>
    <mergeCell ref="EH18:EH19"/>
    <mergeCell ref="EI18:EI20"/>
    <mergeCell ref="DR21:DR23"/>
    <mergeCell ref="DS21:DU21"/>
    <mergeCell ref="DV21:DX21"/>
    <mergeCell ref="DY21:EA21"/>
    <mergeCell ref="EB21:ED21"/>
    <mergeCell ref="EE21:EG21"/>
    <mergeCell ref="EH21:EH22"/>
    <mergeCell ref="EI21:EI23"/>
    <mergeCell ref="DR24:DR26"/>
    <mergeCell ref="DS24:DU24"/>
    <mergeCell ref="DV24:DX24"/>
    <mergeCell ref="DY24:EA24"/>
    <mergeCell ref="EB24:ED24"/>
    <mergeCell ref="EE24:EG24"/>
    <mergeCell ref="EH24:EH25"/>
    <mergeCell ref="EI24:EI26"/>
    <mergeCell ref="DR27:DR29"/>
    <mergeCell ref="DS27:DU27"/>
    <mergeCell ref="DV27:DX27"/>
    <mergeCell ref="DY27:EA27"/>
    <mergeCell ref="EB27:ED27"/>
    <mergeCell ref="EE27:EG27"/>
    <mergeCell ref="EH27:EH28"/>
    <mergeCell ref="EI27:EI29"/>
    <mergeCell ref="DR30:DR32"/>
    <mergeCell ref="DS30:DU30"/>
    <mergeCell ref="DV30:DX30"/>
    <mergeCell ref="DY30:EA30"/>
    <mergeCell ref="EB30:ED30"/>
    <mergeCell ref="EE30:EG30"/>
    <mergeCell ref="EH30:EH31"/>
    <mergeCell ref="EI30:EI32"/>
    <mergeCell ref="DR33:DR35"/>
    <mergeCell ref="DS33:DU33"/>
    <mergeCell ref="DV33:DX33"/>
    <mergeCell ref="DY33:EA33"/>
    <mergeCell ref="EB33:ED33"/>
    <mergeCell ref="EE33:EG33"/>
    <mergeCell ref="EH33:EH34"/>
    <mergeCell ref="EI33:EI35"/>
    <mergeCell ref="DR36:DR38"/>
    <mergeCell ref="DS36:DU36"/>
    <mergeCell ref="DV36:DX36"/>
    <mergeCell ref="DY36:EA36"/>
    <mergeCell ref="EB36:ED36"/>
    <mergeCell ref="EE36:EG36"/>
    <mergeCell ref="EH36:EH37"/>
    <mergeCell ref="EI36:EI38"/>
    <mergeCell ref="DR39:DR41"/>
    <mergeCell ref="DS39:DU39"/>
    <mergeCell ref="DV39:DX39"/>
    <mergeCell ref="DY39:EA39"/>
    <mergeCell ref="EB39:ED39"/>
    <mergeCell ref="EE39:EG39"/>
    <mergeCell ref="EH39:EH40"/>
    <mergeCell ref="EI39:EI41"/>
    <mergeCell ref="DR42:DR44"/>
    <mergeCell ref="DS42:DU42"/>
    <mergeCell ref="DV42:DX42"/>
    <mergeCell ref="DY42:EA42"/>
    <mergeCell ref="EB42:ED42"/>
    <mergeCell ref="EE42:EG42"/>
    <mergeCell ref="EH42:EH43"/>
    <mergeCell ref="EI42:EI44"/>
    <mergeCell ref="DR45:DR47"/>
    <mergeCell ref="DS45:DU45"/>
    <mergeCell ref="DV45:DX45"/>
    <mergeCell ref="DY45:EA45"/>
    <mergeCell ref="EB45:ED45"/>
    <mergeCell ref="EE45:EG45"/>
    <mergeCell ref="EH45:EH46"/>
    <mergeCell ref="EI45:EI47"/>
    <mergeCell ref="DR48:DR50"/>
    <mergeCell ref="DS48:DU48"/>
    <mergeCell ref="DV48:DX48"/>
    <mergeCell ref="DY48:EA48"/>
    <mergeCell ref="EB48:ED48"/>
    <mergeCell ref="EE48:EG48"/>
    <mergeCell ref="EH48:EH49"/>
    <mergeCell ref="EI48:EI50"/>
    <mergeCell ref="DR51:DR53"/>
    <mergeCell ref="DS51:DU51"/>
    <mergeCell ref="DV51:DX51"/>
    <mergeCell ref="DY51:EA51"/>
    <mergeCell ref="EB51:ED51"/>
    <mergeCell ref="EE51:EG51"/>
    <mergeCell ref="EH51:EH52"/>
    <mergeCell ref="EI51:EI53"/>
    <mergeCell ref="DR54:DR56"/>
    <mergeCell ref="DS54:DU54"/>
    <mergeCell ref="DV54:DX54"/>
    <mergeCell ref="DY54:EA54"/>
    <mergeCell ref="EB54:ED54"/>
    <mergeCell ref="EE54:EG54"/>
    <mergeCell ref="EH54:EH55"/>
    <mergeCell ref="EI54:EI56"/>
    <mergeCell ref="DR57:DR59"/>
    <mergeCell ref="DS57:DU57"/>
    <mergeCell ref="DV57:DX57"/>
    <mergeCell ref="DY57:EA57"/>
    <mergeCell ref="EB57:ED57"/>
    <mergeCell ref="EE57:EG57"/>
    <mergeCell ref="EH57:EH58"/>
    <mergeCell ref="EI57:EI59"/>
    <mergeCell ref="DR60:DR62"/>
    <mergeCell ref="DS60:DU60"/>
    <mergeCell ref="DV60:DX60"/>
    <mergeCell ref="DY60:EA60"/>
    <mergeCell ref="EB60:ED60"/>
    <mergeCell ref="EE60:EG60"/>
    <mergeCell ref="EH60:EH61"/>
    <mergeCell ref="EI60:EI62"/>
    <mergeCell ref="DR63:DR65"/>
    <mergeCell ref="DS63:DU63"/>
    <mergeCell ref="DV63:DX63"/>
    <mergeCell ref="DY63:EA63"/>
    <mergeCell ref="EB63:ED63"/>
    <mergeCell ref="EE63:EG63"/>
    <mergeCell ref="EH63:EH64"/>
    <mergeCell ref="EI63:EI65"/>
    <mergeCell ref="DR66:DR68"/>
    <mergeCell ref="DS66:DU66"/>
    <mergeCell ref="DV66:DX66"/>
    <mergeCell ref="DY66:EA66"/>
    <mergeCell ref="EB66:ED66"/>
    <mergeCell ref="EE66:EG66"/>
    <mergeCell ref="EH66:EH67"/>
    <mergeCell ref="EI66:EI68"/>
    <mergeCell ref="DR69:DR71"/>
    <mergeCell ref="DS69:DU69"/>
    <mergeCell ref="DV69:DX69"/>
    <mergeCell ref="DY69:EA69"/>
    <mergeCell ref="EB69:ED69"/>
    <mergeCell ref="EE69:EG69"/>
    <mergeCell ref="EH69:EH70"/>
    <mergeCell ref="EI69:EI71"/>
    <mergeCell ref="DR72:DR74"/>
    <mergeCell ref="DS72:DU72"/>
    <mergeCell ref="DV72:DX72"/>
    <mergeCell ref="DY72:EA72"/>
    <mergeCell ref="EB72:ED72"/>
    <mergeCell ref="EE72:EG72"/>
    <mergeCell ref="EH72:EH73"/>
    <mergeCell ref="EI72:EI74"/>
    <mergeCell ref="DR75:DR77"/>
    <mergeCell ref="DS75:DU75"/>
    <mergeCell ref="DV75:DX75"/>
    <mergeCell ref="DY75:EA75"/>
    <mergeCell ref="EB75:ED75"/>
    <mergeCell ref="EE75:EG75"/>
    <mergeCell ref="EH75:EH76"/>
    <mergeCell ref="EI75:EI77"/>
    <mergeCell ref="DY78:EA78"/>
    <mergeCell ref="EB78:ED78"/>
    <mergeCell ref="EE78:EG78"/>
    <mergeCell ref="EH78:EH79"/>
    <mergeCell ref="EI78:EI80"/>
    <mergeCell ref="DR81:DR83"/>
    <mergeCell ref="DS81:DU81"/>
    <mergeCell ref="DV81:DX81"/>
    <mergeCell ref="DY81:EA81"/>
    <mergeCell ref="EB81:ED81"/>
    <mergeCell ref="EE81:EG81"/>
    <mergeCell ref="EH81:EH82"/>
    <mergeCell ref="EI81:EI83"/>
    <mergeCell ref="DR84:DR86"/>
    <mergeCell ref="DS84:DU84"/>
    <mergeCell ref="DV84:DX84"/>
    <mergeCell ref="DY84:EA84"/>
    <mergeCell ref="EB84:ED84"/>
    <mergeCell ref="EE84:EG84"/>
    <mergeCell ref="EH84:EH85"/>
    <mergeCell ref="EI84:EI86"/>
    <mergeCell ref="EE96:EG96"/>
    <mergeCell ref="EI96:EI97"/>
    <mergeCell ref="EE97:EG97"/>
    <mergeCell ref="JT1:JU1"/>
    <mergeCell ref="JT34:JT35"/>
    <mergeCell ref="DR87:DR89"/>
    <mergeCell ref="DS87:DU87"/>
    <mergeCell ref="DV87:DX87"/>
    <mergeCell ref="DY87:EA87"/>
    <mergeCell ref="EB87:ED87"/>
    <mergeCell ref="EE87:EG87"/>
    <mergeCell ref="EH87:EH88"/>
    <mergeCell ref="EI87:EI89"/>
    <mergeCell ref="DR90:DR92"/>
    <mergeCell ref="DS90:DU90"/>
    <mergeCell ref="DV90:DX90"/>
    <mergeCell ref="DY90:EA90"/>
    <mergeCell ref="EB90:ED90"/>
    <mergeCell ref="EE90:EG90"/>
    <mergeCell ref="EH90:EH91"/>
    <mergeCell ref="EI90:EI92"/>
    <mergeCell ref="DR93:DR95"/>
    <mergeCell ref="DS93:DU93"/>
    <mergeCell ref="DV93:DX93"/>
    <mergeCell ref="DY93:EA93"/>
    <mergeCell ref="EB93:ED93"/>
    <mergeCell ref="EE93:EG93"/>
    <mergeCell ref="EH93:EH94"/>
    <mergeCell ref="EI93:EI95"/>
    <mergeCell ref="DR78:DR80"/>
    <mergeCell ref="DS78:DU78"/>
    <mergeCell ref="DV78:DX78"/>
    <mergeCell ref="EK1:EK2"/>
    <mergeCell ref="EL1:EZ1"/>
    <mergeCell ref="FA1:FA2"/>
    <mergeCell ref="FB1:FB2"/>
    <mergeCell ref="EL2:EN2"/>
    <mergeCell ref="EO2:EQ2"/>
    <mergeCell ref="ER2:ET2"/>
    <mergeCell ref="EU2:EW2"/>
    <mergeCell ref="EX2:EZ2"/>
    <mergeCell ref="EK3:EK5"/>
    <mergeCell ref="EL3:EN3"/>
    <mergeCell ref="EO3:EQ3"/>
    <mergeCell ref="ER3:ET3"/>
    <mergeCell ref="EU3:EW3"/>
    <mergeCell ref="EX3:EZ3"/>
    <mergeCell ref="FA3:FA4"/>
    <mergeCell ref="FB3:FB5"/>
    <mergeCell ref="EK6:EK8"/>
    <mergeCell ref="EL6:EN6"/>
    <mergeCell ref="EO6:EQ6"/>
    <mergeCell ref="ER6:ET6"/>
    <mergeCell ref="EU6:EW6"/>
    <mergeCell ref="EX6:EZ6"/>
    <mergeCell ref="FA6:FA7"/>
    <mergeCell ref="FB6:FB8"/>
    <mergeCell ref="EK9:EK11"/>
    <mergeCell ref="EL9:EN9"/>
    <mergeCell ref="EO9:EQ9"/>
    <mergeCell ref="ER9:ET9"/>
    <mergeCell ref="EU9:EW9"/>
    <mergeCell ref="EX9:EZ9"/>
    <mergeCell ref="FA9:FA10"/>
    <mergeCell ref="FB9:FB11"/>
    <mergeCell ref="EK12:EK14"/>
    <mergeCell ref="EL12:EN12"/>
    <mergeCell ref="EO12:EQ12"/>
    <mergeCell ref="ER12:ET12"/>
    <mergeCell ref="EU12:EW12"/>
    <mergeCell ref="EX12:EZ12"/>
    <mergeCell ref="FA12:FA13"/>
    <mergeCell ref="FB12:FB14"/>
    <mergeCell ref="EK15:EK17"/>
    <mergeCell ref="EL15:EN15"/>
    <mergeCell ref="EO15:EQ15"/>
    <mergeCell ref="ER15:ET15"/>
    <mergeCell ref="EU15:EW15"/>
    <mergeCell ref="EX15:EZ15"/>
    <mergeCell ref="FA15:FA16"/>
    <mergeCell ref="FB15:FB17"/>
    <mergeCell ref="EK18:EK20"/>
    <mergeCell ref="EL18:EN18"/>
    <mergeCell ref="EO18:EQ18"/>
    <mergeCell ref="ER18:ET18"/>
    <mergeCell ref="EU18:EW18"/>
    <mergeCell ref="EX18:EZ18"/>
    <mergeCell ref="FA18:FA19"/>
    <mergeCell ref="FB18:FB20"/>
    <mergeCell ref="EK21:EK23"/>
    <mergeCell ref="EL21:EN21"/>
    <mergeCell ref="EO21:EQ21"/>
    <mergeCell ref="ER21:ET21"/>
    <mergeCell ref="EU21:EW21"/>
    <mergeCell ref="EX21:EZ21"/>
    <mergeCell ref="FA21:FA22"/>
    <mergeCell ref="FB21:FB23"/>
    <mergeCell ref="EK24:EK26"/>
    <mergeCell ref="EL24:EN24"/>
    <mergeCell ref="EO24:EQ24"/>
    <mergeCell ref="ER24:ET24"/>
    <mergeCell ref="EU24:EW24"/>
    <mergeCell ref="EX24:EZ24"/>
    <mergeCell ref="FA24:FA25"/>
    <mergeCell ref="FB24:FB26"/>
    <mergeCell ref="EK27:EK29"/>
    <mergeCell ref="EL27:EN27"/>
    <mergeCell ref="EO27:EQ27"/>
    <mergeCell ref="ER27:ET27"/>
    <mergeCell ref="EU27:EW27"/>
    <mergeCell ref="EX27:EZ27"/>
    <mergeCell ref="FA27:FA28"/>
    <mergeCell ref="FB27:FB29"/>
    <mergeCell ref="EK30:EK32"/>
    <mergeCell ref="EL30:EN30"/>
    <mergeCell ref="EO30:EQ30"/>
    <mergeCell ref="ER30:ET30"/>
    <mergeCell ref="EU30:EW30"/>
    <mergeCell ref="EX30:EZ30"/>
    <mergeCell ref="FA30:FA31"/>
    <mergeCell ref="FB30:FB32"/>
    <mergeCell ref="EK33:EK35"/>
    <mergeCell ref="EL33:EN33"/>
    <mergeCell ref="EO33:EQ33"/>
    <mergeCell ref="ER33:ET33"/>
    <mergeCell ref="EU33:EW33"/>
    <mergeCell ref="EX33:EZ33"/>
    <mergeCell ref="FA33:FA34"/>
    <mergeCell ref="FB33:FB35"/>
    <mergeCell ref="EK36:EK38"/>
    <mergeCell ref="EL36:EN36"/>
    <mergeCell ref="EO36:EQ36"/>
    <mergeCell ref="ER36:ET36"/>
    <mergeCell ref="EU36:EW36"/>
    <mergeCell ref="EX36:EZ36"/>
    <mergeCell ref="FA36:FA37"/>
    <mergeCell ref="FB36:FB38"/>
    <mergeCell ref="EK39:EK41"/>
    <mergeCell ref="EL39:EN39"/>
    <mergeCell ref="EO39:EQ39"/>
    <mergeCell ref="ER39:ET39"/>
    <mergeCell ref="EU39:EW39"/>
    <mergeCell ref="EX39:EZ39"/>
    <mergeCell ref="FA39:FA40"/>
    <mergeCell ref="FB39:FB41"/>
    <mergeCell ref="EL81:EN81"/>
    <mergeCell ref="EK42:EK44"/>
    <mergeCell ref="EL42:EN42"/>
    <mergeCell ref="EO42:EQ42"/>
    <mergeCell ref="ER42:ET42"/>
    <mergeCell ref="EU42:EW42"/>
    <mergeCell ref="EX42:EZ42"/>
    <mergeCell ref="FA42:FA43"/>
    <mergeCell ref="FB42:FB44"/>
    <mergeCell ref="EK45:EK47"/>
    <mergeCell ref="EL45:EN45"/>
    <mergeCell ref="EO45:EQ45"/>
    <mergeCell ref="ER45:ET45"/>
    <mergeCell ref="EU45:EW45"/>
    <mergeCell ref="EX45:EZ45"/>
    <mergeCell ref="FA45:FA46"/>
    <mergeCell ref="FB45:FB47"/>
    <mergeCell ref="EK48:EK50"/>
    <mergeCell ref="EL48:EN48"/>
    <mergeCell ref="EO48:EQ48"/>
    <mergeCell ref="ER48:ET48"/>
    <mergeCell ref="EU48:EW48"/>
    <mergeCell ref="EX48:EZ48"/>
    <mergeCell ref="FA48:FA49"/>
    <mergeCell ref="FB48:FB50"/>
    <mergeCell ref="FA81:FA82"/>
    <mergeCell ref="FB81:FB83"/>
    <mergeCell ref="EU81:EW81"/>
    <mergeCell ref="EX81:EZ81"/>
    <mergeCell ref="EK51:EK53"/>
    <mergeCell ref="EL51:EN51"/>
    <mergeCell ref="EO51:EQ51"/>
    <mergeCell ref="ER51:ET51"/>
    <mergeCell ref="EU51:EW51"/>
    <mergeCell ref="EX51:EZ51"/>
    <mergeCell ref="FA51:FA52"/>
    <mergeCell ref="FB51:FB53"/>
    <mergeCell ref="EK54:EK56"/>
    <mergeCell ref="EL54:EN54"/>
    <mergeCell ref="EO54:EQ54"/>
    <mergeCell ref="ER54:ET54"/>
    <mergeCell ref="EU54:EW54"/>
    <mergeCell ref="EX54:EZ54"/>
    <mergeCell ref="FA54:FA55"/>
    <mergeCell ref="FB54:FB56"/>
    <mergeCell ref="EK57:EK59"/>
    <mergeCell ref="EL57:EN57"/>
    <mergeCell ref="EO57:EQ57"/>
    <mergeCell ref="ER57:ET57"/>
    <mergeCell ref="EU57:EW57"/>
    <mergeCell ref="EX57:EZ57"/>
    <mergeCell ref="FA57:FA58"/>
    <mergeCell ref="FB57:FB59"/>
    <mergeCell ref="EL78:EN78"/>
    <mergeCell ref="EO78:EQ78"/>
    <mergeCell ref="ER78:ET78"/>
    <mergeCell ref="EU78:EW78"/>
    <mergeCell ref="EK60:EK62"/>
    <mergeCell ref="EL60:EN60"/>
    <mergeCell ref="EO60:EQ60"/>
    <mergeCell ref="ER60:ET60"/>
    <mergeCell ref="EU60:EW60"/>
    <mergeCell ref="EX60:EZ60"/>
    <mergeCell ref="FA60:FA61"/>
    <mergeCell ref="FB60:FB62"/>
    <mergeCell ref="EK63:EK65"/>
    <mergeCell ref="EL63:EN63"/>
    <mergeCell ref="EO63:EQ63"/>
    <mergeCell ref="ER63:ET63"/>
    <mergeCell ref="EU63:EW63"/>
    <mergeCell ref="EX63:EZ63"/>
    <mergeCell ref="FA63:FA64"/>
    <mergeCell ref="FB63:FB65"/>
    <mergeCell ref="EK66:EK68"/>
    <mergeCell ref="EL66:EN66"/>
    <mergeCell ref="EO66:EQ66"/>
    <mergeCell ref="ER66:ET66"/>
    <mergeCell ref="EU66:EW66"/>
    <mergeCell ref="EX66:EZ66"/>
    <mergeCell ref="FA66:FA67"/>
    <mergeCell ref="FB66:FB68"/>
    <mergeCell ref="EX78:EZ78"/>
    <mergeCell ref="EK84:EK86"/>
    <mergeCell ref="FA84:FA85"/>
    <mergeCell ref="FB84:FB86"/>
    <mergeCell ref="EK69:EK71"/>
    <mergeCell ref="EL69:EN69"/>
    <mergeCell ref="EO69:EQ69"/>
    <mergeCell ref="ER69:ET69"/>
    <mergeCell ref="EU69:EW69"/>
    <mergeCell ref="EX69:EZ69"/>
    <mergeCell ref="FA69:FA70"/>
    <mergeCell ref="FB69:FB71"/>
    <mergeCell ref="EK72:EK74"/>
    <mergeCell ref="EL72:EN72"/>
    <mergeCell ref="EO72:EQ72"/>
    <mergeCell ref="ER72:ET72"/>
    <mergeCell ref="EU72:EW72"/>
    <mergeCell ref="EX72:EZ72"/>
    <mergeCell ref="FA72:FA73"/>
    <mergeCell ref="FB72:FB74"/>
    <mergeCell ref="EK75:EK77"/>
    <mergeCell ref="FA75:FA76"/>
    <mergeCell ref="FB75:FB77"/>
    <mergeCell ref="EL75:EN75"/>
    <mergeCell ref="EO75:EQ75"/>
    <mergeCell ref="ER75:ET75"/>
    <mergeCell ref="EU75:EW75"/>
    <mergeCell ref="EO81:EQ81"/>
    <mergeCell ref="ER81:ET81"/>
    <mergeCell ref="EK78:EK80"/>
    <mergeCell ref="FA78:FA79"/>
    <mergeCell ref="FB78:FB80"/>
    <mergeCell ref="EK81:EK83"/>
    <mergeCell ref="EK87:EK89"/>
    <mergeCell ref="FA87:FA88"/>
    <mergeCell ref="FB87:FB89"/>
    <mergeCell ref="EK90:EK92"/>
    <mergeCell ref="EL90:EN90"/>
    <mergeCell ref="EO90:EQ90"/>
    <mergeCell ref="ER90:ET90"/>
    <mergeCell ref="EU90:EW90"/>
    <mergeCell ref="EX90:EZ90"/>
    <mergeCell ref="FA90:FA91"/>
    <mergeCell ref="FB90:FB92"/>
    <mergeCell ref="EK93:EK95"/>
    <mergeCell ref="EL93:EN93"/>
    <mergeCell ref="EO93:EQ93"/>
    <mergeCell ref="ER93:ET93"/>
    <mergeCell ref="EU93:EW93"/>
    <mergeCell ref="EX93:EZ93"/>
    <mergeCell ref="FA93:FA94"/>
    <mergeCell ref="FB93:FB95"/>
    <mergeCell ref="GS1:GS2"/>
    <mergeCell ref="GT2:GV2"/>
    <mergeCell ref="GW2:GY2"/>
    <mergeCell ref="GZ2:HB2"/>
    <mergeCell ref="HC2:HE2"/>
    <mergeCell ref="HF2:HH2"/>
    <mergeCell ref="GS3:GS5"/>
    <mergeCell ref="GT3:GV3"/>
    <mergeCell ref="GW3:GY3"/>
    <mergeCell ref="GZ3:HB3"/>
    <mergeCell ref="HC3:HE3"/>
    <mergeCell ref="HF3:HH3"/>
    <mergeCell ref="JX1:JY1"/>
    <mergeCell ref="JX34:JX35"/>
    <mergeCell ref="EX96:EZ96"/>
    <mergeCell ref="FB96:FB97"/>
    <mergeCell ref="EX97:EZ97"/>
    <mergeCell ref="JV1:JW1"/>
    <mergeCell ref="JV34:JV35"/>
    <mergeCell ref="EX75:EZ75"/>
    <mergeCell ref="JP1:JQ1"/>
    <mergeCell ref="JP34:JP35"/>
    <mergeCell ref="FU1:FU2"/>
    <mergeCell ref="FE2:FG2"/>
    <mergeCell ref="FH2:FJ2"/>
    <mergeCell ref="FK2:FM2"/>
    <mergeCell ref="FN2:FP2"/>
    <mergeCell ref="FQ2:FS2"/>
    <mergeCell ref="FD3:FD5"/>
    <mergeCell ref="FE3:FG3"/>
    <mergeCell ref="FH3:FJ3"/>
    <mergeCell ref="FK3:FM3"/>
    <mergeCell ref="GS6:GS8"/>
    <mergeCell ref="GT6:GV6"/>
    <mergeCell ref="GW6:GY6"/>
    <mergeCell ref="GZ6:HB6"/>
    <mergeCell ref="HC6:HE6"/>
    <mergeCell ref="HF6:HH6"/>
    <mergeCell ref="GS9:GS11"/>
    <mergeCell ref="GT9:GV9"/>
    <mergeCell ref="GW9:GY9"/>
    <mergeCell ref="GZ9:HB9"/>
    <mergeCell ref="HC9:HE9"/>
    <mergeCell ref="HF9:HH9"/>
    <mergeCell ref="GS12:GS14"/>
    <mergeCell ref="GT12:GV12"/>
    <mergeCell ref="GW12:GY12"/>
    <mergeCell ref="GZ12:HB12"/>
    <mergeCell ref="HC12:HE12"/>
    <mergeCell ref="HF12:HH12"/>
    <mergeCell ref="GS15:GS17"/>
    <mergeCell ref="GT15:GV15"/>
    <mergeCell ref="GW15:GY15"/>
    <mergeCell ref="GZ15:HB15"/>
    <mergeCell ref="HC15:HE15"/>
    <mergeCell ref="HF15:HH15"/>
    <mergeCell ref="GS18:GS20"/>
    <mergeCell ref="GT18:GV18"/>
    <mergeCell ref="GW18:GY18"/>
    <mergeCell ref="GZ18:HB18"/>
    <mergeCell ref="HC18:HE18"/>
    <mergeCell ref="HF18:HH18"/>
    <mergeCell ref="GS21:GS23"/>
    <mergeCell ref="GT21:GV21"/>
    <mergeCell ref="GW21:GY21"/>
    <mergeCell ref="GZ21:HB21"/>
    <mergeCell ref="HC21:HE21"/>
    <mergeCell ref="HF21:HH21"/>
    <mergeCell ref="GS24:GS26"/>
    <mergeCell ref="GT24:GV24"/>
    <mergeCell ref="GW24:GY24"/>
    <mergeCell ref="GZ24:HB24"/>
    <mergeCell ref="HC24:HE24"/>
    <mergeCell ref="HF24:HH24"/>
    <mergeCell ref="GS27:GS29"/>
    <mergeCell ref="GT27:GV27"/>
    <mergeCell ref="GW27:GY27"/>
    <mergeCell ref="GZ27:HB27"/>
    <mergeCell ref="HC27:HE27"/>
    <mergeCell ref="HF27:HH27"/>
    <mergeCell ref="GS30:GS32"/>
    <mergeCell ref="GT30:GV30"/>
    <mergeCell ref="GW30:GY30"/>
    <mergeCell ref="GZ30:HB30"/>
    <mergeCell ref="HC30:HE30"/>
    <mergeCell ref="HF30:HH30"/>
    <mergeCell ref="GS33:GS35"/>
    <mergeCell ref="GT33:GV33"/>
    <mergeCell ref="GW33:GY33"/>
    <mergeCell ref="GZ33:HB33"/>
    <mergeCell ref="HC33:HE33"/>
    <mergeCell ref="HF33:HH33"/>
    <mergeCell ref="GS36:GS38"/>
    <mergeCell ref="GT36:GV36"/>
    <mergeCell ref="GW36:GY36"/>
    <mergeCell ref="GZ36:HB36"/>
    <mergeCell ref="HC36:HE36"/>
    <mergeCell ref="HF36:HH36"/>
    <mergeCell ref="GS39:GS41"/>
    <mergeCell ref="GT39:GV39"/>
    <mergeCell ref="GW39:GY39"/>
    <mergeCell ref="GZ39:HB39"/>
    <mergeCell ref="HC39:HE39"/>
    <mergeCell ref="HF39:HH39"/>
    <mergeCell ref="GS42:GS44"/>
    <mergeCell ref="GT42:GV42"/>
    <mergeCell ref="GW42:GY42"/>
    <mergeCell ref="GZ42:HB42"/>
    <mergeCell ref="HC42:HE42"/>
    <mergeCell ref="HF42:HH42"/>
    <mergeCell ref="GS45:GS47"/>
    <mergeCell ref="GT45:GV45"/>
    <mergeCell ref="GW45:GY45"/>
    <mergeCell ref="GZ45:HB45"/>
    <mergeCell ref="HC45:HE45"/>
    <mergeCell ref="HF45:HH45"/>
    <mergeCell ref="GS48:GS50"/>
    <mergeCell ref="GT48:GV48"/>
    <mergeCell ref="GW48:GY48"/>
    <mergeCell ref="GZ48:HB48"/>
    <mergeCell ref="HC48:HE48"/>
    <mergeCell ref="HF48:HH48"/>
    <mergeCell ref="GS51:GS53"/>
    <mergeCell ref="GT51:GV51"/>
    <mergeCell ref="GW51:GY51"/>
    <mergeCell ref="GZ51:HB51"/>
    <mergeCell ref="HC51:HE51"/>
    <mergeCell ref="HF51:HH51"/>
    <mergeCell ref="GS54:GS56"/>
    <mergeCell ref="GT54:GV54"/>
    <mergeCell ref="GW54:GY54"/>
    <mergeCell ref="GZ54:HB54"/>
    <mergeCell ref="HC54:HE54"/>
    <mergeCell ref="HF54:HH54"/>
    <mergeCell ref="GS57:GS59"/>
    <mergeCell ref="GT57:GV57"/>
    <mergeCell ref="GW57:GY57"/>
    <mergeCell ref="GZ57:HB57"/>
    <mergeCell ref="HC57:HE57"/>
    <mergeCell ref="HF57:HH57"/>
    <mergeCell ref="GS60:GS62"/>
    <mergeCell ref="GT60:GV60"/>
    <mergeCell ref="GW60:GY60"/>
    <mergeCell ref="GZ60:HB60"/>
    <mergeCell ref="HC60:HE60"/>
    <mergeCell ref="HF60:HH60"/>
    <mergeCell ref="GS63:GS65"/>
    <mergeCell ref="GT63:GV63"/>
    <mergeCell ref="GW63:GY63"/>
    <mergeCell ref="GZ63:HB63"/>
    <mergeCell ref="HC63:HE63"/>
    <mergeCell ref="HF63:HH63"/>
    <mergeCell ref="GS66:GS68"/>
    <mergeCell ref="GT66:GV66"/>
    <mergeCell ref="GW66:GY66"/>
    <mergeCell ref="GZ66:HB66"/>
    <mergeCell ref="HC66:HE66"/>
    <mergeCell ref="HF66:HH66"/>
    <mergeCell ref="GS69:GS71"/>
    <mergeCell ref="GT69:GV69"/>
    <mergeCell ref="GW69:GY69"/>
    <mergeCell ref="GZ69:HB69"/>
    <mergeCell ref="HC69:HE69"/>
    <mergeCell ref="HF69:HH69"/>
    <mergeCell ref="GS72:GS74"/>
    <mergeCell ref="GT72:GV72"/>
    <mergeCell ref="GW72:GY72"/>
    <mergeCell ref="GZ72:HB72"/>
    <mergeCell ref="HC72:HE72"/>
    <mergeCell ref="HF72:HH72"/>
    <mergeCell ref="GS75:GS77"/>
    <mergeCell ref="GT75:GV75"/>
    <mergeCell ref="GW75:GY75"/>
    <mergeCell ref="GZ75:HB75"/>
    <mergeCell ref="HC75:HE75"/>
    <mergeCell ref="HF75:HH75"/>
    <mergeCell ref="HI93:HK93"/>
    <mergeCell ref="GS78:GS80"/>
    <mergeCell ref="GT78:GV78"/>
    <mergeCell ref="GW78:GY78"/>
    <mergeCell ref="GZ78:HB78"/>
    <mergeCell ref="HC78:HE78"/>
    <mergeCell ref="HF78:HH78"/>
    <mergeCell ref="GS81:GS83"/>
    <mergeCell ref="GT81:GV81"/>
    <mergeCell ref="GW81:GY81"/>
    <mergeCell ref="GZ81:HB81"/>
    <mergeCell ref="HC81:HE81"/>
    <mergeCell ref="HF81:HH81"/>
    <mergeCell ref="GS84:GS86"/>
    <mergeCell ref="GT84:GV84"/>
    <mergeCell ref="GW84:GY84"/>
    <mergeCell ref="GZ84:HB84"/>
    <mergeCell ref="HC84:HE84"/>
    <mergeCell ref="HF84:HH84"/>
    <mergeCell ref="GS87:GS89"/>
    <mergeCell ref="GT87:GV87"/>
    <mergeCell ref="GW87:GY87"/>
    <mergeCell ref="GZ87:HB87"/>
    <mergeCell ref="HC87:HE87"/>
    <mergeCell ref="HF87:HH87"/>
    <mergeCell ref="GS90:GS92"/>
    <mergeCell ref="GT90:GV90"/>
    <mergeCell ref="GW90:GY90"/>
    <mergeCell ref="GZ90:HB90"/>
    <mergeCell ref="HC90:HE90"/>
    <mergeCell ref="HF90:HH90"/>
    <mergeCell ref="GS93:GS95"/>
    <mergeCell ref="GT93:GV93"/>
    <mergeCell ref="GW93:GY93"/>
    <mergeCell ref="GZ93:HB93"/>
    <mergeCell ref="HC93:HE93"/>
    <mergeCell ref="HF93:HH93"/>
    <mergeCell ref="HO1:HO2"/>
    <mergeCell ref="IH1:IH2"/>
    <mergeCell ref="II1:II2"/>
    <mergeCell ref="HP2:HR2"/>
    <mergeCell ref="HS2:HU2"/>
    <mergeCell ref="HV2:HX2"/>
    <mergeCell ref="HY2:IA2"/>
    <mergeCell ref="IB2:ID2"/>
    <mergeCell ref="HO3:HO5"/>
    <mergeCell ref="HP3:HR3"/>
    <mergeCell ref="HS3:HU3"/>
    <mergeCell ref="HV3:HX3"/>
    <mergeCell ref="HY3:IA3"/>
    <mergeCell ref="IB3:ID3"/>
    <mergeCell ref="IH3:IH4"/>
    <mergeCell ref="II3:II5"/>
    <mergeCell ref="HO6:HO8"/>
    <mergeCell ref="HP6:HR6"/>
    <mergeCell ref="HS6:HU6"/>
    <mergeCell ref="HV6:HX6"/>
    <mergeCell ref="HY6:IA6"/>
    <mergeCell ref="IB6:ID6"/>
    <mergeCell ref="IH6:IH7"/>
    <mergeCell ref="II6:II8"/>
    <mergeCell ref="HY9:IA9"/>
    <mergeCell ref="IB9:ID9"/>
    <mergeCell ref="IH9:IH10"/>
    <mergeCell ref="II9:II11"/>
    <mergeCell ref="HO12:HO14"/>
    <mergeCell ref="HP12:HR12"/>
    <mergeCell ref="HS12:HU12"/>
    <mergeCell ref="HV12:HX12"/>
    <mergeCell ref="HY12:IA12"/>
    <mergeCell ref="IB12:ID12"/>
    <mergeCell ref="IH12:IH13"/>
    <mergeCell ref="II12:II14"/>
    <mergeCell ref="HO15:HO17"/>
    <mergeCell ref="HP15:HR15"/>
    <mergeCell ref="HS15:HU15"/>
    <mergeCell ref="HV15:HX15"/>
    <mergeCell ref="HY15:IA15"/>
    <mergeCell ref="IB15:ID15"/>
    <mergeCell ref="IH15:IH16"/>
    <mergeCell ref="II15:II17"/>
    <mergeCell ref="HO9:HO11"/>
    <mergeCell ref="HP9:HR9"/>
    <mergeCell ref="HS9:HU9"/>
    <mergeCell ref="HV9:HX9"/>
    <mergeCell ref="HO18:HO20"/>
    <mergeCell ref="HP18:HR18"/>
    <mergeCell ref="HS18:HU18"/>
    <mergeCell ref="HV18:HX18"/>
    <mergeCell ref="HY18:IA18"/>
    <mergeCell ref="IB18:ID18"/>
    <mergeCell ref="IH18:IH19"/>
    <mergeCell ref="II18:II20"/>
    <mergeCell ref="HO21:HO23"/>
    <mergeCell ref="HP21:HR21"/>
    <mergeCell ref="HS21:HU21"/>
    <mergeCell ref="HV21:HX21"/>
    <mergeCell ref="HY21:IA21"/>
    <mergeCell ref="IB21:ID21"/>
    <mergeCell ref="IH21:IH22"/>
    <mergeCell ref="II21:II23"/>
    <mergeCell ref="HO24:HO26"/>
    <mergeCell ref="HP24:HR24"/>
    <mergeCell ref="HS24:HU24"/>
    <mergeCell ref="HV24:HX24"/>
    <mergeCell ref="HY24:IA24"/>
    <mergeCell ref="IB24:ID24"/>
    <mergeCell ref="IH24:IH25"/>
    <mergeCell ref="II24:II26"/>
    <mergeCell ref="HO27:HO29"/>
    <mergeCell ref="HP27:HR27"/>
    <mergeCell ref="HS27:HU27"/>
    <mergeCell ref="HV27:HX27"/>
    <mergeCell ref="HY27:IA27"/>
    <mergeCell ref="IB27:ID27"/>
    <mergeCell ref="IH27:IH28"/>
    <mergeCell ref="II27:II29"/>
    <mergeCell ref="HO30:HO32"/>
    <mergeCell ref="HP30:HR30"/>
    <mergeCell ref="HS30:HU30"/>
    <mergeCell ref="HV30:HX30"/>
    <mergeCell ref="HY30:IA30"/>
    <mergeCell ref="IB30:ID30"/>
    <mergeCell ref="IH30:IH31"/>
    <mergeCell ref="II30:II32"/>
    <mergeCell ref="HO33:HO35"/>
    <mergeCell ref="HP33:HR33"/>
    <mergeCell ref="HS33:HU33"/>
    <mergeCell ref="HV33:HX33"/>
    <mergeCell ref="HY33:IA33"/>
    <mergeCell ref="IB33:ID33"/>
    <mergeCell ref="IH33:IH34"/>
    <mergeCell ref="II33:II35"/>
    <mergeCell ref="HO36:HO38"/>
    <mergeCell ref="HP36:HR36"/>
    <mergeCell ref="HS36:HU36"/>
    <mergeCell ref="HV36:HX36"/>
    <mergeCell ref="HY36:IA36"/>
    <mergeCell ref="IB36:ID36"/>
    <mergeCell ref="IH36:IH37"/>
    <mergeCell ref="II36:II38"/>
    <mergeCell ref="HO39:HO41"/>
    <mergeCell ref="HP39:HR39"/>
    <mergeCell ref="HS39:HU39"/>
    <mergeCell ref="HV39:HX39"/>
    <mergeCell ref="HY39:IA39"/>
    <mergeCell ref="IB39:ID39"/>
    <mergeCell ref="IH39:IH40"/>
    <mergeCell ref="II39:II41"/>
    <mergeCell ref="HO42:HO44"/>
    <mergeCell ref="HP42:HR42"/>
    <mergeCell ref="HS42:HU42"/>
    <mergeCell ref="HV42:HX42"/>
    <mergeCell ref="HY42:IA42"/>
    <mergeCell ref="IB42:ID42"/>
    <mergeCell ref="IH42:IH43"/>
    <mergeCell ref="II42:II44"/>
    <mergeCell ref="HO45:HO47"/>
    <mergeCell ref="HP45:HR45"/>
    <mergeCell ref="HS45:HU45"/>
    <mergeCell ref="HV45:HX45"/>
    <mergeCell ref="HY45:IA45"/>
    <mergeCell ref="IB45:ID45"/>
    <mergeCell ref="IH45:IH46"/>
    <mergeCell ref="II45:II47"/>
    <mergeCell ref="HO48:HO50"/>
    <mergeCell ref="HP48:HR48"/>
    <mergeCell ref="HS48:HU48"/>
    <mergeCell ref="HV48:HX48"/>
    <mergeCell ref="HY48:IA48"/>
    <mergeCell ref="IB48:ID48"/>
    <mergeCell ref="IH48:IH49"/>
    <mergeCell ref="II48:II50"/>
    <mergeCell ref="HO51:HO53"/>
    <mergeCell ref="HP51:HR51"/>
    <mergeCell ref="HS51:HU51"/>
    <mergeCell ref="HV51:HX51"/>
    <mergeCell ref="HY51:IA51"/>
    <mergeCell ref="IB51:ID51"/>
    <mergeCell ref="IH51:IH52"/>
    <mergeCell ref="II51:II53"/>
    <mergeCell ref="HO54:HO56"/>
    <mergeCell ref="HP54:HR54"/>
    <mergeCell ref="HS54:HU54"/>
    <mergeCell ref="HV54:HX54"/>
    <mergeCell ref="HY54:IA54"/>
    <mergeCell ref="IB54:ID54"/>
    <mergeCell ref="IH54:IH55"/>
    <mergeCell ref="II54:II56"/>
    <mergeCell ref="HO57:HO59"/>
    <mergeCell ref="HP57:HR57"/>
    <mergeCell ref="HS57:HU57"/>
    <mergeCell ref="HV57:HX57"/>
    <mergeCell ref="HY57:IA57"/>
    <mergeCell ref="IB57:ID57"/>
    <mergeCell ref="IH57:IH58"/>
    <mergeCell ref="II57:II59"/>
    <mergeCell ref="HO60:HO62"/>
    <mergeCell ref="HP60:HR60"/>
    <mergeCell ref="HS60:HU60"/>
    <mergeCell ref="HV60:HX60"/>
    <mergeCell ref="HY60:IA60"/>
    <mergeCell ref="IB60:ID60"/>
    <mergeCell ref="IH60:IH61"/>
    <mergeCell ref="II60:II62"/>
    <mergeCell ref="HO63:HO65"/>
    <mergeCell ref="HP63:HR63"/>
    <mergeCell ref="HS63:HU63"/>
    <mergeCell ref="HV63:HX63"/>
    <mergeCell ref="HY63:IA63"/>
    <mergeCell ref="IB63:ID63"/>
    <mergeCell ref="IH63:IH64"/>
    <mergeCell ref="II63:II65"/>
    <mergeCell ref="HO66:HO68"/>
    <mergeCell ref="HP66:HR66"/>
    <mergeCell ref="HS66:HU66"/>
    <mergeCell ref="HV66:HX66"/>
    <mergeCell ref="HY66:IA66"/>
    <mergeCell ref="IB66:ID66"/>
    <mergeCell ref="IH66:IH67"/>
    <mergeCell ref="II66:II68"/>
    <mergeCell ref="HO69:HO71"/>
    <mergeCell ref="HP69:HR69"/>
    <mergeCell ref="HS69:HU69"/>
    <mergeCell ref="HV69:HX69"/>
    <mergeCell ref="HY69:IA69"/>
    <mergeCell ref="IB69:ID69"/>
    <mergeCell ref="IH69:IH70"/>
    <mergeCell ref="II69:II71"/>
    <mergeCell ref="IE66:IG66"/>
    <mergeCell ref="IE69:IG69"/>
    <mergeCell ref="IH72:IH73"/>
    <mergeCell ref="II72:II74"/>
    <mergeCell ref="HO75:HO77"/>
    <mergeCell ref="HP75:HR75"/>
    <mergeCell ref="HS75:HU75"/>
    <mergeCell ref="HV75:HX75"/>
    <mergeCell ref="HY75:IA75"/>
    <mergeCell ref="IB75:ID75"/>
    <mergeCell ref="IH75:IH76"/>
    <mergeCell ref="II75:II77"/>
    <mergeCell ref="HO78:HO80"/>
    <mergeCell ref="HP78:HR78"/>
    <mergeCell ref="HS78:HU78"/>
    <mergeCell ref="HV78:HX78"/>
    <mergeCell ref="HY78:IA78"/>
    <mergeCell ref="IB78:ID78"/>
    <mergeCell ref="IH78:IH79"/>
    <mergeCell ref="II78:II80"/>
    <mergeCell ref="IE72:IG72"/>
    <mergeCell ref="IE75:IG75"/>
    <mergeCell ref="IE78:IG78"/>
    <mergeCell ref="IH81:IH82"/>
    <mergeCell ref="II81:II83"/>
    <mergeCell ref="HO84:HO86"/>
    <mergeCell ref="HP84:HR84"/>
    <mergeCell ref="HS84:HU84"/>
    <mergeCell ref="HV84:HX84"/>
    <mergeCell ref="HY84:IA84"/>
    <mergeCell ref="IB84:ID84"/>
    <mergeCell ref="IH84:IH85"/>
    <mergeCell ref="II84:II86"/>
    <mergeCell ref="HO87:HO89"/>
    <mergeCell ref="HP87:HR87"/>
    <mergeCell ref="HS87:HU87"/>
    <mergeCell ref="HV87:HX87"/>
    <mergeCell ref="HY87:IA87"/>
    <mergeCell ref="IB87:ID87"/>
    <mergeCell ref="IH87:IH88"/>
    <mergeCell ref="II87:II89"/>
    <mergeCell ref="IE81:IG81"/>
    <mergeCell ref="IE84:IG84"/>
    <mergeCell ref="IE87:IG87"/>
    <mergeCell ref="HO90:HO92"/>
    <mergeCell ref="HP90:HR90"/>
    <mergeCell ref="HS90:HU90"/>
    <mergeCell ref="HV90:HX90"/>
    <mergeCell ref="HY90:IA90"/>
    <mergeCell ref="IB90:ID90"/>
    <mergeCell ref="IH90:IH91"/>
    <mergeCell ref="II90:II92"/>
    <mergeCell ref="HO93:HO95"/>
    <mergeCell ref="HP93:HR93"/>
    <mergeCell ref="HS93:HU93"/>
    <mergeCell ref="HV93:HX93"/>
    <mergeCell ref="HY93:IA93"/>
    <mergeCell ref="IB93:ID93"/>
    <mergeCell ref="IH93:IH94"/>
    <mergeCell ref="II93:II95"/>
    <mergeCell ref="II96:II97"/>
    <mergeCell ref="IE90:IG90"/>
    <mergeCell ref="IE93:IG93"/>
    <mergeCell ref="IE96:IG96"/>
    <mergeCell ref="IE97:IG97"/>
    <mergeCell ref="GM72:GO72"/>
    <mergeCell ref="GM75:GO75"/>
    <mergeCell ref="GM78:GO78"/>
    <mergeCell ref="GM81:GO81"/>
    <mergeCell ref="GM84:GO84"/>
    <mergeCell ref="GM87:GO87"/>
    <mergeCell ref="GM90:GO90"/>
    <mergeCell ref="GM93:GO93"/>
    <mergeCell ref="GM96:GO96"/>
    <mergeCell ref="GM97:GO97"/>
    <mergeCell ref="GT1:HK1"/>
    <mergeCell ref="HL1:HL2"/>
    <mergeCell ref="HM1:HM2"/>
    <mergeCell ref="HI2:HK2"/>
    <mergeCell ref="HI3:HK3"/>
    <mergeCell ref="HL3:HL4"/>
    <mergeCell ref="HM3:HM5"/>
    <mergeCell ref="HI6:HK6"/>
    <mergeCell ref="HL6:HL7"/>
    <mergeCell ref="HM6:HM8"/>
    <mergeCell ref="HI9:HK9"/>
    <mergeCell ref="HL9:HL10"/>
    <mergeCell ref="HM9:HM11"/>
    <mergeCell ref="HI12:HK12"/>
    <mergeCell ref="HL12:HL13"/>
    <mergeCell ref="HM12:HM14"/>
    <mergeCell ref="HI15:HK15"/>
    <mergeCell ref="HL15:HL16"/>
    <mergeCell ref="HM15:HM17"/>
    <mergeCell ref="HI18:HK18"/>
    <mergeCell ref="HL18:HL19"/>
    <mergeCell ref="HM18:HM20"/>
    <mergeCell ref="HM54:HM56"/>
    <mergeCell ref="HI39:HK39"/>
    <mergeCell ref="HL21:HL22"/>
    <mergeCell ref="HM21:HM23"/>
    <mergeCell ref="HI24:HK24"/>
    <mergeCell ref="HL24:HL25"/>
    <mergeCell ref="HM24:HM26"/>
    <mergeCell ref="HI27:HK27"/>
    <mergeCell ref="HL27:HL28"/>
    <mergeCell ref="HM27:HM29"/>
    <mergeCell ref="HI30:HK30"/>
    <mergeCell ref="HL30:HL31"/>
    <mergeCell ref="HM30:HM32"/>
    <mergeCell ref="HI33:HK33"/>
    <mergeCell ref="HL33:HL34"/>
    <mergeCell ref="HM33:HM35"/>
    <mergeCell ref="HI36:HK36"/>
    <mergeCell ref="HL36:HL37"/>
    <mergeCell ref="HM36:HM38"/>
    <mergeCell ref="HI21:HK21"/>
    <mergeCell ref="HM69:HM71"/>
    <mergeCell ref="HI72:HK72"/>
    <mergeCell ref="HL72:HL73"/>
    <mergeCell ref="HM72:HM74"/>
    <mergeCell ref="HI75:HK75"/>
    <mergeCell ref="HI57:HK57"/>
    <mergeCell ref="HL75:HL76"/>
    <mergeCell ref="HM75:HM77"/>
    <mergeCell ref="HI78:HK78"/>
    <mergeCell ref="HL78:HL79"/>
    <mergeCell ref="HM78:HM80"/>
    <mergeCell ref="HI81:HK81"/>
    <mergeCell ref="HL81:HL82"/>
    <mergeCell ref="HM81:HM83"/>
    <mergeCell ref="HI84:HK84"/>
    <mergeCell ref="HL84:HL85"/>
    <mergeCell ref="HL39:HL40"/>
    <mergeCell ref="HM39:HM41"/>
    <mergeCell ref="HI42:HK42"/>
    <mergeCell ref="HL42:HL43"/>
    <mergeCell ref="HM42:HM44"/>
    <mergeCell ref="HI45:HK45"/>
    <mergeCell ref="HL45:HL46"/>
    <mergeCell ref="HM45:HM47"/>
    <mergeCell ref="HI48:HK48"/>
    <mergeCell ref="HL48:HL49"/>
    <mergeCell ref="HM48:HM50"/>
    <mergeCell ref="HI51:HK51"/>
    <mergeCell ref="HL51:HL52"/>
    <mergeCell ref="HM51:HM53"/>
    <mergeCell ref="HI54:HK54"/>
    <mergeCell ref="HL54:HL55"/>
    <mergeCell ref="HI87:HK87"/>
    <mergeCell ref="HL87:HL88"/>
    <mergeCell ref="HM87:HM89"/>
    <mergeCell ref="HO81:HO83"/>
    <mergeCell ref="HP81:HR81"/>
    <mergeCell ref="HS81:HU81"/>
    <mergeCell ref="HV81:HX81"/>
    <mergeCell ref="HY81:IA81"/>
    <mergeCell ref="IB81:ID81"/>
    <mergeCell ref="HO72:HO74"/>
    <mergeCell ref="HP72:HR72"/>
    <mergeCell ref="HS72:HU72"/>
    <mergeCell ref="HV72:HX72"/>
    <mergeCell ref="HY72:IA72"/>
    <mergeCell ref="IB72:ID72"/>
    <mergeCell ref="HP1:IG1"/>
    <mergeCell ref="HI90:HK90"/>
    <mergeCell ref="HL90:HL91"/>
    <mergeCell ref="HM90:HM92"/>
    <mergeCell ref="HL57:HL58"/>
    <mergeCell ref="HM57:HM59"/>
    <mergeCell ref="HI60:HK60"/>
    <mergeCell ref="HL60:HL61"/>
    <mergeCell ref="HM60:HM62"/>
    <mergeCell ref="HI63:HK63"/>
    <mergeCell ref="HL63:HL64"/>
    <mergeCell ref="HM63:HM65"/>
    <mergeCell ref="HI66:HK66"/>
    <mergeCell ref="HL66:HL67"/>
    <mergeCell ref="HM66:HM68"/>
    <mergeCell ref="HI69:HK69"/>
    <mergeCell ref="HL69:HL70"/>
    <mergeCell ref="KB1:KC1"/>
    <mergeCell ref="KB34:KB35"/>
    <mergeCell ref="KD1:KE1"/>
    <mergeCell ref="KD34:KD35"/>
    <mergeCell ref="HL93:HL94"/>
    <mergeCell ref="HM93:HM95"/>
    <mergeCell ref="HI96:HK96"/>
    <mergeCell ref="HM96:HM97"/>
    <mergeCell ref="HI97:HK97"/>
    <mergeCell ref="IE2:IG2"/>
    <mergeCell ref="IE3:IG3"/>
    <mergeCell ref="IE6:IG6"/>
    <mergeCell ref="IE9:IG9"/>
    <mergeCell ref="IE12:IG12"/>
    <mergeCell ref="IE15:IG15"/>
    <mergeCell ref="IE18:IG18"/>
    <mergeCell ref="IE21:IG21"/>
    <mergeCell ref="IE24:IG24"/>
    <mergeCell ref="IE27:IG27"/>
    <mergeCell ref="IE30:IG30"/>
    <mergeCell ref="IE33:IG33"/>
    <mergeCell ref="IE36:IG36"/>
    <mergeCell ref="IE39:IG39"/>
    <mergeCell ref="IE42:IG42"/>
    <mergeCell ref="IE45:IG45"/>
    <mergeCell ref="IE48:IG48"/>
    <mergeCell ref="IE51:IG51"/>
    <mergeCell ref="IE54:IG54"/>
    <mergeCell ref="IE57:IG57"/>
    <mergeCell ref="IE60:IG60"/>
    <mergeCell ref="IE63:IG63"/>
    <mergeCell ref="HM84:HM86"/>
  </mergeCells>
  <conditionalFormatting sqref="Y6:Y35 CD6:CD95 DP6:DP95 HM6:HN95 II6:II95">
    <cfRule type="cellIs" dxfId="885" priority="17" operator="lessThan">
      <formula>Y3</formula>
    </cfRule>
    <cfRule type="cellIs" dxfId="884" priority="18" operator="greaterThan">
      <formula>Y3</formula>
    </cfRule>
  </conditionalFormatting>
  <conditionalFormatting sqref="AR6:AR86">
    <cfRule type="cellIs" dxfId="883" priority="15" operator="lessThan">
      <formula>AR3</formula>
    </cfRule>
    <cfRule type="cellIs" dxfId="882" priority="16" operator="greaterThan">
      <formula>AR3</formula>
    </cfRule>
  </conditionalFormatting>
  <conditionalFormatting sqref="BK6:BL95">
    <cfRule type="cellIs" dxfId="881" priority="13" operator="lessThan">
      <formula>BK3</formula>
    </cfRule>
    <cfRule type="cellIs" dxfId="880" priority="14" operator="greaterThan">
      <formula>BK3</formula>
    </cfRule>
  </conditionalFormatting>
  <conditionalFormatting sqref="CW6:CX95">
    <cfRule type="cellIs" dxfId="879" priority="11" operator="lessThan">
      <formula>CW3</formula>
    </cfRule>
    <cfRule type="cellIs" dxfId="878" priority="12" operator="greaterThan">
      <formula>CW3</formula>
    </cfRule>
  </conditionalFormatting>
  <conditionalFormatting sqref="EI6:EI95">
    <cfRule type="cellIs" dxfId="877" priority="9" operator="lessThan">
      <formula>EI3</formula>
    </cfRule>
    <cfRule type="cellIs" dxfId="876" priority="10" operator="greaterThan">
      <formula>EI3</formula>
    </cfRule>
  </conditionalFormatting>
  <conditionalFormatting sqref="FB6:FB95">
    <cfRule type="cellIs" dxfId="875" priority="7" operator="lessThan">
      <formula>FB3</formula>
    </cfRule>
    <cfRule type="cellIs" dxfId="874" priority="8" operator="greaterThan">
      <formula>FB3</formula>
    </cfRule>
  </conditionalFormatting>
  <conditionalFormatting sqref="FU6:FU95">
    <cfRule type="cellIs" dxfId="873" priority="5" operator="lessThan">
      <formula>FU3</formula>
    </cfRule>
    <cfRule type="cellIs" dxfId="872" priority="6" operator="greaterThan">
      <formula>FU3</formula>
    </cfRule>
  </conditionalFormatting>
  <conditionalFormatting sqref="GQ6:GR95">
    <cfRule type="cellIs" dxfId="871" priority="3" operator="lessThan">
      <formula>GQ3</formula>
    </cfRule>
    <cfRule type="cellIs" dxfId="870" priority="4" operator="greaterThan">
      <formula>GQ3</formula>
    </cfRule>
  </conditionalFormatting>
  <conditionalFormatting sqref="JF6:JF95">
    <cfRule type="cellIs" dxfId="869" priority="1" operator="lessThan">
      <formula>JF3</formula>
    </cfRule>
    <cfRule type="cellIs" dxfId="868" priority="2" operator="greaterThan">
      <formula>JF3</formula>
    </cfRule>
  </conditionalFormatting>
  <pageMargins left="0.7" right="0.7" top="0.75" bottom="0.75" header="0.3" footer="0.3"/>
  <pageSetup paperSize="9" orientation="portrait" r:id="rId1"/>
  <ignoredErrors>
    <ignoredError sqref="X6" formulaRange="1"/>
  </ignoredError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C9005-8C60-4307-9DC2-18F3E1EDCD3B}">
  <sheetPr>
    <tabColor theme="0"/>
  </sheetPr>
  <dimension ref="A1:M73"/>
  <sheetViews>
    <sheetView topLeftCell="A44" workbookViewId="0">
      <selection activeCell="E17" sqref="E17"/>
    </sheetView>
  </sheetViews>
  <sheetFormatPr defaultRowHeight="15"/>
  <cols>
    <col min="1" max="1" width="12" customWidth="1"/>
    <col min="2" max="4" width="10" customWidth="1"/>
    <col min="5" max="5" width="12" customWidth="1"/>
    <col min="6" max="8" width="10" customWidth="1"/>
    <col min="9" max="9" width="12" customWidth="1"/>
    <col min="10" max="10" width="10" customWidth="1"/>
    <col min="11" max="12" width="12" customWidth="1"/>
    <col min="13" max="13" width="30" customWidth="1"/>
  </cols>
  <sheetData>
    <row r="1" spans="1:13" ht="36" customHeight="1">
      <c r="A1" s="953" t="s">
        <v>624</v>
      </c>
      <c r="B1" s="729"/>
      <c r="C1" s="729"/>
      <c r="D1" s="729"/>
      <c r="E1" s="729"/>
      <c r="F1" s="729"/>
      <c r="G1" s="729"/>
      <c r="H1" s="729"/>
      <c r="I1" s="729"/>
      <c r="J1" s="729"/>
      <c r="K1" s="729"/>
      <c r="L1" s="729"/>
      <c r="M1" s="729"/>
    </row>
    <row r="2" spans="1:13" ht="32.1" customHeight="1">
      <c r="A2" s="954" t="s">
        <v>625</v>
      </c>
      <c r="B2" s="729"/>
      <c r="C2" s="729"/>
      <c r="D2" s="729"/>
      <c r="E2" s="729"/>
      <c r="F2" s="729"/>
      <c r="G2" s="729"/>
      <c r="H2" s="729"/>
      <c r="I2" s="729"/>
      <c r="J2" s="729"/>
      <c r="K2" s="729"/>
      <c r="L2" s="729"/>
      <c r="M2" s="729"/>
    </row>
    <row r="3" spans="1:13" ht="32.1" customHeight="1">
      <c r="A3" s="403" t="s">
        <v>1</v>
      </c>
      <c r="B3" s="403" t="s">
        <v>56</v>
      </c>
      <c r="C3" s="403" t="s">
        <v>626</v>
      </c>
      <c r="D3" s="403" t="s">
        <v>627</v>
      </c>
      <c r="E3" s="403" t="s">
        <v>628</v>
      </c>
      <c r="F3" s="403" t="s">
        <v>629</v>
      </c>
      <c r="G3" s="403" t="s">
        <v>630</v>
      </c>
      <c r="H3" s="403" t="s">
        <v>631</v>
      </c>
      <c r="I3" s="403" t="s">
        <v>632</v>
      </c>
      <c r="J3" s="403" t="s">
        <v>633</v>
      </c>
      <c r="K3" s="403" t="s">
        <v>634</v>
      </c>
      <c r="L3" s="403" t="s">
        <v>635</v>
      </c>
      <c r="M3" s="403" t="s">
        <v>636</v>
      </c>
    </row>
    <row r="4" spans="1:13" ht="24" customHeight="1">
      <c r="A4" s="404">
        <v>46070</v>
      </c>
      <c r="B4" s="405" t="s">
        <v>637</v>
      </c>
      <c r="C4" s="447">
        <v>0.95833333333333337</v>
      </c>
      <c r="D4" s="447">
        <v>0.20833333333333334</v>
      </c>
      <c r="E4" s="448">
        <f>IF(AND(C4&lt;&gt;"",D4&lt;&gt;""),TIME(HOUR(D4),MINUTE(D4),0)-TIME(HOUR(C4),MINUTE(C4),0)+IF(TIME(HOUR(D4),MINUTE(D4),0)&lt;TIME(HOUR(C4),MINUTE(C4),0),1,0),"")</f>
        <v>0.25</v>
      </c>
      <c r="F4" s="446"/>
      <c r="G4" s="446"/>
      <c r="H4" s="446"/>
      <c r="I4" s="446"/>
      <c r="J4" s="449" t="str">
        <f t="shared" ref="J4:J63" si="0">IF(B4="Mon","Upper Push",IF(B4="Wed","Lower + Core",IF(B4="Thu","Upper Pull",IF(B4="Sun","Full Body",IF(B4="Tue","Cardio","Rest")))))</f>
        <v>Cardio</v>
      </c>
      <c r="K4" s="446"/>
      <c r="L4" s="446"/>
      <c r="M4" s="446"/>
    </row>
    <row r="5" spans="1:13" ht="24" customHeight="1">
      <c r="A5" s="404">
        <v>46071</v>
      </c>
      <c r="B5" s="405" t="s">
        <v>402</v>
      </c>
      <c r="C5" s="446"/>
      <c r="D5" s="446"/>
      <c r="E5" s="448" t="str">
        <f t="shared" ref="E5:E63" si="1">IF(AND(C5&lt;&gt;"",D5&lt;&gt;""),TIME(HOUR(D5),MINUTE(D5),0)-TIME(HOUR(C5),MINUTE(C5),0)+IF(TIME(HOUR(D5),MINUTE(D5),0)&lt;TIME(HOUR(C5),MINUTE(C5),0),1,0),"")</f>
        <v/>
      </c>
      <c r="F5" s="446"/>
      <c r="G5" s="446"/>
      <c r="H5" s="446"/>
      <c r="I5" s="446"/>
      <c r="J5" s="449" t="str">
        <f t="shared" si="0"/>
        <v>Lower + Core</v>
      </c>
      <c r="K5" s="446"/>
      <c r="L5" s="446"/>
      <c r="M5" s="446"/>
    </row>
    <row r="6" spans="1:13" ht="24" customHeight="1">
      <c r="A6" s="404">
        <v>46072</v>
      </c>
      <c r="B6" s="405" t="s">
        <v>638</v>
      </c>
      <c r="C6" s="446"/>
      <c r="D6" s="446"/>
      <c r="E6" s="448" t="str">
        <f t="shared" si="1"/>
        <v/>
      </c>
      <c r="F6" s="446"/>
      <c r="G6" s="446"/>
      <c r="H6" s="446"/>
      <c r="I6" s="446"/>
      <c r="J6" s="449" t="str">
        <f t="shared" si="0"/>
        <v>Upper Pull</v>
      </c>
      <c r="K6" s="446"/>
      <c r="L6" s="446"/>
      <c r="M6" s="446"/>
    </row>
    <row r="7" spans="1:13" ht="24" customHeight="1">
      <c r="A7" s="404">
        <v>46073</v>
      </c>
      <c r="B7" s="405" t="s">
        <v>639</v>
      </c>
      <c r="C7" s="446"/>
      <c r="D7" s="446"/>
      <c r="E7" s="448" t="str">
        <f t="shared" si="1"/>
        <v/>
      </c>
      <c r="F7" s="446"/>
      <c r="G7" s="446"/>
      <c r="H7" s="446"/>
      <c r="I7" s="446"/>
      <c r="J7" s="449" t="str">
        <f t="shared" si="0"/>
        <v>Rest</v>
      </c>
      <c r="K7" s="446"/>
      <c r="L7" s="446"/>
      <c r="M7" s="446"/>
    </row>
    <row r="8" spans="1:13" ht="24" customHeight="1">
      <c r="A8" s="404">
        <v>46074</v>
      </c>
      <c r="B8" s="409" t="s">
        <v>405</v>
      </c>
      <c r="C8" s="446"/>
      <c r="D8" s="446"/>
      <c r="E8" s="448" t="str">
        <f t="shared" si="1"/>
        <v/>
      </c>
      <c r="F8" s="446"/>
      <c r="G8" s="446"/>
      <c r="H8" s="446"/>
      <c r="I8" s="446"/>
      <c r="J8" s="449" t="str">
        <f t="shared" si="0"/>
        <v>Rest</v>
      </c>
      <c r="K8" s="446"/>
      <c r="L8" s="446"/>
      <c r="M8" s="446"/>
    </row>
    <row r="9" spans="1:13" ht="24" customHeight="1">
      <c r="A9" s="404">
        <v>46075</v>
      </c>
      <c r="B9" s="409" t="s">
        <v>640</v>
      </c>
      <c r="C9" s="446"/>
      <c r="D9" s="446"/>
      <c r="E9" s="448" t="str">
        <f t="shared" si="1"/>
        <v/>
      </c>
      <c r="F9" s="446"/>
      <c r="G9" s="446"/>
      <c r="H9" s="446"/>
      <c r="I9" s="446"/>
      <c r="J9" s="449" t="str">
        <f t="shared" si="0"/>
        <v>Full Body</v>
      </c>
      <c r="K9" s="446"/>
      <c r="L9" s="446"/>
      <c r="M9" s="446"/>
    </row>
    <row r="10" spans="1:13" ht="24" customHeight="1">
      <c r="A10" s="404">
        <v>46076</v>
      </c>
      <c r="B10" s="405" t="s">
        <v>399</v>
      </c>
      <c r="C10" s="407"/>
      <c r="D10" s="407"/>
      <c r="E10" s="406" t="str">
        <f t="shared" si="1"/>
        <v/>
      </c>
      <c r="F10" s="407"/>
      <c r="G10" s="407"/>
      <c r="H10" s="407"/>
      <c r="I10" s="407"/>
      <c r="J10" s="408" t="str">
        <f t="shared" si="0"/>
        <v>Upper Push</v>
      </c>
      <c r="K10" s="407"/>
      <c r="L10" s="407"/>
      <c r="M10" s="407"/>
    </row>
    <row r="11" spans="1:13" ht="24" customHeight="1">
      <c r="A11" s="404">
        <v>46077</v>
      </c>
      <c r="B11" s="405" t="s">
        <v>637</v>
      </c>
      <c r="C11" s="407"/>
      <c r="D11" s="407"/>
      <c r="E11" s="406" t="str">
        <f t="shared" si="1"/>
        <v/>
      </c>
      <c r="F11" s="407"/>
      <c r="G11" s="407"/>
      <c r="H11" s="407"/>
      <c r="I11" s="407"/>
      <c r="J11" s="408" t="str">
        <f t="shared" si="0"/>
        <v>Cardio</v>
      </c>
      <c r="K11" s="407"/>
      <c r="L11" s="407"/>
      <c r="M11" s="407"/>
    </row>
    <row r="12" spans="1:13" ht="24" customHeight="1">
      <c r="A12" s="404">
        <v>46078</v>
      </c>
      <c r="B12" s="405" t="s">
        <v>402</v>
      </c>
      <c r="C12" s="407"/>
      <c r="D12" s="407"/>
      <c r="E12" s="406" t="str">
        <f t="shared" si="1"/>
        <v/>
      </c>
      <c r="F12" s="407"/>
      <c r="G12" s="407"/>
      <c r="H12" s="407"/>
      <c r="I12" s="407"/>
      <c r="J12" s="408" t="str">
        <f t="shared" si="0"/>
        <v>Lower + Core</v>
      </c>
      <c r="K12" s="407"/>
      <c r="L12" s="407"/>
      <c r="M12" s="407"/>
    </row>
    <row r="13" spans="1:13" ht="24" customHeight="1">
      <c r="A13" s="404">
        <v>46079</v>
      </c>
      <c r="B13" s="405" t="s">
        <v>638</v>
      </c>
      <c r="C13" s="407"/>
      <c r="D13" s="407"/>
      <c r="E13" s="406" t="str">
        <f t="shared" si="1"/>
        <v/>
      </c>
      <c r="F13" s="407"/>
      <c r="G13" s="407"/>
      <c r="H13" s="407"/>
      <c r="I13" s="407"/>
      <c r="J13" s="408" t="str">
        <f t="shared" si="0"/>
        <v>Upper Pull</v>
      </c>
      <c r="K13" s="407"/>
      <c r="L13" s="407"/>
      <c r="M13" s="407"/>
    </row>
    <row r="14" spans="1:13" ht="24" customHeight="1">
      <c r="A14" s="404">
        <v>46080</v>
      </c>
      <c r="B14" s="405" t="s">
        <v>639</v>
      </c>
      <c r="C14" s="407"/>
      <c r="D14" s="407"/>
      <c r="E14" s="406" t="str">
        <f t="shared" si="1"/>
        <v/>
      </c>
      <c r="F14" s="407"/>
      <c r="G14" s="407"/>
      <c r="H14" s="407"/>
      <c r="I14" s="407"/>
      <c r="J14" s="408" t="str">
        <f t="shared" si="0"/>
        <v>Rest</v>
      </c>
      <c r="K14" s="407"/>
      <c r="L14" s="407"/>
      <c r="M14" s="407"/>
    </row>
    <row r="15" spans="1:13" ht="24" customHeight="1">
      <c r="A15" s="404">
        <v>46081</v>
      </c>
      <c r="B15" s="409" t="s">
        <v>405</v>
      </c>
      <c r="C15" s="407"/>
      <c r="D15" s="407"/>
      <c r="E15" s="406" t="str">
        <f t="shared" si="1"/>
        <v/>
      </c>
      <c r="F15" s="407"/>
      <c r="G15" s="407"/>
      <c r="H15" s="407"/>
      <c r="I15" s="407"/>
      <c r="J15" s="408" t="str">
        <f t="shared" si="0"/>
        <v>Rest</v>
      </c>
      <c r="K15" s="407"/>
      <c r="L15" s="407"/>
      <c r="M15" s="407"/>
    </row>
    <row r="16" spans="1:13" ht="24" customHeight="1">
      <c r="A16" s="404">
        <v>46082</v>
      </c>
      <c r="B16" s="409" t="s">
        <v>640</v>
      </c>
      <c r="C16" s="407"/>
      <c r="D16" s="407"/>
      <c r="E16" s="406" t="str">
        <f t="shared" si="1"/>
        <v/>
      </c>
      <c r="F16" s="407"/>
      <c r="G16" s="407"/>
      <c r="H16" s="407"/>
      <c r="I16" s="407"/>
      <c r="J16" s="408" t="str">
        <f t="shared" si="0"/>
        <v>Full Body</v>
      </c>
      <c r="K16" s="407"/>
      <c r="L16" s="407"/>
      <c r="M16" s="407"/>
    </row>
    <row r="17" spans="1:13" ht="24" customHeight="1">
      <c r="A17" s="404">
        <v>46083</v>
      </c>
      <c r="B17" s="405" t="s">
        <v>399</v>
      </c>
      <c r="C17" s="407"/>
      <c r="D17" s="407"/>
      <c r="E17" s="406" t="str">
        <f t="shared" si="1"/>
        <v/>
      </c>
      <c r="F17" s="407"/>
      <c r="G17" s="407"/>
      <c r="H17" s="407"/>
      <c r="I17" s="407"/>
      <c r="J17" s="408" t="str">
        <f t="shared" si="0"/>
        <v>Upper Push</v>
      </c>
      <c r="K17" s="407"/>
      <c r="L17" s="407"/>
      <c r="M17" s="407"/>
    </row>
    <row r="18" spans="1:13" ht="24" customHeight="1">
      <c r="A18" s="404">
        <v>46084</v>
      </c>
      <c r="B18" s="405" t="s">
        <v>637</v>
      </c>
      <c r="C18" s="407"/>
      <c r="D18" s="407"/>
      <c r="E18" s="406" t="str">
        <f t="shared" si="1"/>
        <v/>
      </c>
      <c r="F18" s="407"/>
      <c r="G18" s="407"/>
      <c r="H18" s="407"/>
      <c r="I18" s="407"/>
      <c r="J18" s="408" t="str">
        <f t="shared" si="0"/>
        <v>Cardio</v>
      </c>
      <c r="K18" s="407"/>
      <c r="L18" s="407"/>
      <c r="M18" s="407"/>
    </row>
    <row r="19" spans="1:13" ht="24" customHeight="1">
      <c r="A19" s="404">
        <v>46085</v>
      </c>
      <c r="B19" s="405" t="s">
        <v>402</v>
      </c>
      <c r="C19" s="407"/>
      <c r="D19" s="407"/>
      <c r="E19" s="406" t="str">
        <f t="shared" si="1"/>
        <v/>
      </c>
      <c r="F19" s="407"/>
      <c r="G19" s="407"/>
      <c r="H19" s="407"/>
      <c r="I19" s="407"/>
      <c r="J19" s="408" t="str">
        <f t="shared" si="0"/>
        <v>Lower + Core</v>
      </c>
      <c r="K19" s="407"/>
      <c r="L19" s="407"/>
      <c r="M19" s="407"/>
    </row>
    <row r="20" spans="1:13" ht="24" customHeight="1">
      <c r="A20" s="404">
        <v>46086</v>
      </c>
      <c r="B20" s="405" t="s">
        <v>638</v>
      </c>
      <c r="C20" s="407"/>
      <c r="D20" s="407"/>
      <c r="E20" s="406" t="str">
        <f t="shared" si="1"/>
        <v/>
      </c>
      <c r="F20" s="407"/>
      <c r="G20" s="407"/>
      <c r="H20" s="407"/>
      <c r="I20" s="407"/>
      <c r="J20" s="408" t="str">
        <f t="shared" si="0"/>
        <v>Upper Pull</v>
      </c>
      <c r="K20" s="407"/>
      <c r="L20" s="407"/>
      <c r="M20" s="407"/>
    </row>
    <row r="21" spans="1:13" ht="24" customHeight="1">
      <c r="A21" s="404">
        <v>46087</v>
      </c>
      <c r="B21" s="405" t="s">
        <v>639</v>
      </c>
      <c r="C21" s="407"/>
      <c r="D21" s="407"/>
      <c r="E21" s="406" t="str">
        <f t="shared" si="1"/>
        <v/>
      </c>
      <c r="F21" s="407"/>
      <c r="G21" s="407"/>
      <c r="H21" s="407"/>
      <c r="I21" s="407"/>
      <c r="J21" s="408" t="str">
        <f t="shared" si="0"/>
        <v>Rest</v>
      </c>
      <c r="K21" s="407"/>
      <c r="L21" s="407"/>
      <c r="M21" s="407"/>
    </row>
    <row r="22" spans="1:13" ht="24" customHeight="1">
      <c r="A22" s="404">
        <v>46088</v>
      </c>
      <c r="B22" s="409" t="s">
        <v>405</v>
      </c>
      <c r="C22" s="407"/>
      <c r="D22" s="407"/>
      <c r="E22" s="406" t="str">
        <f t="shared" si="1"/>
        <v/>
      </c>
      <c r="F22" s="407"/>
      <c r="G22" s="407"/>
      <c r="H22" s="407"/>
      <c r="I22" s="407"/>
      <c r="J22" s="408" t="str">
        <f t="shared" si="0"/>
        <v>Rest</v>
      </c>
      <c r="K22" s="407"/>
      <c r="L22" s="407"/>
      <c r="M22" s="407"/>
    </row>
    <row r="23" spans="1:13" ht="24" customHeight="1">
      <c r="A23" s="404">
        <v>46089</v>
      </c>
      <c r="B23" s="409" t="s">
        <v>640</v>
      </c>
      <c r="C23" s="407"/>
      <c r="D23" s="407"/>
      <c r="E23" s="406" t="str">
        <f t="shared" si="1"/>
        <v/>
      </c>
      <c r="F23" s="407"/>
      <c r="G23" s="407"/>
      <c r="H23" s="407"/>
      <c r="I23" s="407"/>
      <c r="J23" s="408" t="str">
        <f t="shared" si="0"/>
        <v>Full Body</v>
      </c>
      <c r="K23" s="407"/>
      <c r="L23" s="407"/>
      <c r="M23" s="407"/>
    </row>
    <row r="24" spans="1:13" ht="24" customHeight="1">
      <c r="A24" s="404">
        <v>46090</v>
      </c>
      <c r="B24" s="405" t="s">
        <v>399</v>
      </c>
      <c r="C24" s="407"/>
      <c r="D24" s="407"/>
      <c r="E24" s="406" t="str">
        <f t="shared" si="1"/>
        <v/>
      </c>
      <c r="F24" s="407"/>
      <c r="G24" s="407"/>
      <c r="H24" s="407"/>
      <c r="I24" s="407"/>
      <c r="J24" s="408" t="str">
        <f t="shared" si="0"/>
        <v>Upper Push</v>
      </c>
      <c r="K24" s="407"/>
      <c r="L24" s="407"/>
      <c r="M24" s="407"/>
    </row>
    <row r="25" spans="1:13" ht="24" customHeight="1">
      <c r="A25" s="404">
        <v>46091</v>
      </c>
      <c r="B25" s="405" t="s">
        <v>637</v>
      </c>
      <c r="C25" s="407"/>
      <c r="D25" s="407"/>
      <c r="E25" s="406" t="str">
        <f t="shared" si="1"/>
        <v/>
      </c>
      <c r="F25" s="407"/>
      <c r="G25" s="407"/>
      <c r="H25" s="407"/>
      <c r="I25" s="407"/>
      <c r="J25" s="408" t="str">
        <f t="shared" si="0"/>
        <v>Cardio</v>
      </c>
      <c r="K25" s="407"/>
      <c r="L25" s="407"/>
      <c r="M25" s="407"/>
    </row>
    <row r="26" spans="1:13" ht="24" customHeight="1">
      <c r="A26" s="404">
        <v>46092</v>
      </c>
      <c r="B26" s="405" t="s">
        <v>402</v>
      </c>
      <c r="C26" s="407"/>
      <c r="D26" s="407"/>
      <c r="E26" s="406" t="str">
        <f t="shared" si="1"/>
        <v/>
      </c>
      <c r="F26" s="407"/>
      <c r="G26" s="407"/>
      <c r="H26" s="407"/>
      <c r="I26" s="407"/>
      <c r="J26" s="408" t="str">
        <f t="shared" si="0"/>
        <v>Lower + Core</v>
      </c>
      <c r="K26" s="407"/>
      <c r="L26" s="407"/>
      <c r="M26" s="407"/>
    </row>
    <row r="27" spans="1:13" ht="24" customHeight="1">
      <c r="A27" s="404">
        <v>46093</v>
      </c>
      <c r="B27" s="405" t="s">
        <v>638</v>
      </c>
      <c r="C27" s="407"/>
      <c r="D27" s="407"/>
      <c r="E27" s="406" t="str">
        <f t="shared" si="1"/>
        <v/>
      </c>
      <c r="F27" s="407"/>
      <c r="G27" s="407"/>
      <c r="H27" s="407"/>
      <c r="I27" s="407"/>
      <c r="J27" s="408" t="str">
        <f t="shared" si="0"/>
        <v>Upper Pull</v>
      </c>
      <c r="K27" s="407"/>
      <c r="L27" s="407"/>
      <c r="M27" s="407"/>
    </row>
    <row r="28" spans="1:13" ht="24" customHeight="1">
      <c r="A28" s="404">
        <v>46094</v>
      </c>
      <c r="B28" s="405" t="s">
        <v>639</v>
      </c>
      <c r="C28" s="407"/>
      <c r="D28" s="407"/>
      <c r="E28" s="406" t="str">
        <f t="shared" si="1"/>
        <v/>
      </c>
      <c r="F28" s="407"/>
      <c r="G28" s="407"/>
      <c r="H28" s="407"/>
      <c r="I28" s="407"/>
      <c r="J28" s="408" t="str">
        <f t="shared" si="0"/>
        <v>Rest</v>
      </c>
      <c r="K28" s="407"/>
      <c r="L28" s="407"/>
      <c r="M28" s="407"/>
    </row>
    <row r="29" spans="1:13" ht="24" customHeight="1">
      <c r="A29" s="404">
        <v>46095</v>
      </c>
      <c r="B29" s="409" t="s">
        <v>405</v>
      </c>
      <c r="C29" s="407"/>
      <c r="D29" s="407"/>
      <c r="E29" s="406" t="str">
        <f t="shared" si="1"/>
        <v/>
      </c>
      <c r="F29" s="407"/>
      <c r="G29" s="407"/>
      <c r="H29" s="407"/>
      <c r="I29" s="407"/>
      <c r="J29" s="408" t="str">
        <f t="shared" si="0"/>
        <v>Rest</v>
      </c>
      <c r="K29" s="407"/>
      <c r="L29" s="407"/>
      <c r="M29" s="407"/>
    </row>
    <row r="30" spans="1:13" ht="24" customHeight="1">
      <c r="A30" s="404">
        <v>46096</v>
      </c>
      <c r="B30" s="409" t="s">
        <v>640</v>
      </c>
      <c r="C30" s="407"/>
      <c r="D30" s="407"/>
      <c r="E30" s="406" t="str">
        <f t="shared" si="1"/>
        <v/>
      </c>
      <c r="F30" s="407"/>
      <c r="G30" s="407"/>
      <c r="H30" s="407"/>
      <c r="I30" s="407"/>
      <c r="J30" s="408" t="str">
        <f t="shared" si="0"/>
        <v>Full Body</v>
      </c>
      <c r="K30" s="407"/>
      <c r="L30" s="407"/>
      <c r="M30" s="407"/>
    </row>
    <row r="31" spans="1:13" ht="24" customHeight="1">
      <c r="A31" s="404">
        <v>46097</v>
      </c>
      <c r="B31" s="405" t="s">
        <v>399</v>
      </c>
      <c r="C31" s="407"/>
      <c r="D31" s="407"/>
      <c r="E31" s="406" t="str">
        <f t="shared" si="1"/>
        <v/>
      </c>
      <c r="F31" s="407"/>
      <c r="G31" s="407"/>
      <c r="H31" s="407"/>
      <c r="I31" s="407"/>
      <c r="J31" s="408" t="str">
        <f t="shared" si="0"/>
        <v>Upper Push</v>
      </c>
      <c r="K31" s="407"/>
      <c r="L31" s="407"/>
      <c r="M31" s="407"/>
    </row>
    <row r="32" spans="1:13" ht="24" customHeight="1">
      <c r="A32" s="404">
        <v>46098</v>
      </c>
      <c r="B32" s="405" t="s">
        <v>637</v>
      </c>
      <c r="C32" s="407"/>
      <c r="D32" s="407"/>
      <c r="E32" s="406" t="str">
        <f t="shared" si="1"/>
        <v/>
      </c>
      <c r="F32" s="407"/>
      <c r="G32" s="407"/>
      <c r="H32" s="407"/>
      <c r="I32" s="407"/>
      <c r="J32" s="408" t="str">
        <f t="shared" si="0"/>
        <v>Cardio</v>
      </c>
      <c r="K32" s="407"/>
      <c r="L32" s="407"/>
      <c r="M32" s="407"/>
    </row>
    <row r="33" spans="1:13" ht="24" customHeight="1">
      <c r="A33" s="404">
        <v>46099</v>
      </c>
      <c r="B33" s="405" t="s">
        <v>402</v>
      </c>
      <c r="C33" s="407"/>
      <c r="D33" s="407"/>
      <c r="E33" s="406" t="str">
        <f t="shared" si="1"/>
        <v/>
      </c>
      <c r="F33" s="407"/>
      <c r="G33" s="407"/>
      <c r="H33" s="407"/>
      <c r="I33" s="407"/>
      <c r="J33" s="408" t="str">
        <f t="shared" si="0"/>
        <v>Lower + Core</v>
      </c>
      <c r="K33" s="407"/>
      <c r="L33" s="407"/>
      <c r="M33" s="407"/>
    </row>
    <row r="34" spans="1:13" ht="24" customHeight="1">
      <c r="A34" s="404">
        <v>46100</v>
      </c>
      <c r="B34" s="405" t="s">
        <v>638</v>
      </c>
      <c r="C34" s="407"/>
      <c r="D34" s="407"/>
      <c r="E34" s="406" t="str">
        <f t="shared" si="1"/>
        <v/>
      </c>
      <c r="F34" s="407"/>
      <c r="G34" s="407"/>
      <c r="H34" s="407"/>
      <c r="I34" s="407"/>
      <c r="J34" s="408" t="str">
        <f t="shared" si="0"/>
        <v>Upper Pull</v>
      </c>
      <c r="K34" s="407"/>
      <c r="L34" s="407"/>
      <c r="M34" s="407"/>
    </row>
    <row r="35" spans="1:13" ht="24" customHeight="1">
      <c r="A35" s="404">
        <v>46101</v>
      </c>
      <c r="B35" s="405" t="s">
        <v>639</v>
      </c>
      <c r="C35" s="407"/>
      <c r="D35" s="407"/>
      <c r="E35" s="406" t="str">
        <f t="shared" si="1"/>
        <v/>
      </c>
      <c r="F35" s="407"/>
      <c r="G35" s="407"/>
      <c r="H35" s="407"/>
      <c r="I35" s="407"/>
      <c r="J35" s="408" t="str">
        <f t="shared" si="0"/>
        <v>Rest</v>
      </c>
      <c r="K35" s="407"/>
      <c r="L35" s="407"/>
      <c r="M35" s="407"/>
    </row>
    <row r="36" spans="1:13" ht="24" customHeight="1">
      <c r="A36" s="404">
        <v>46102</v>
      </c>
      <c r="B36" s="409" t="s">
        <v>405</v>
      </c>
      <c r="C36" s="407"/>
      <c r="D36" s="407"/>
      <c r="E36" s="406" t="str">
        <f t="shared" si="1"/>
        <v/>
      </c>
      <c r="F36" s="407"/>
      <c r="G36" s="407"/>
      <c r="H36" s="407"/>
      <c r="I36" s="407"/>
      <c r="J36" s="408" t="str">
        <f t="shared" si="0"/>
        <v>Rest</v>
      </c>
      <c r="K36" s="407"/>
      <c r="L36" s="407"/>
      <c r="M36" s="407"/>
    </row>
    <row r="37" spans="1:13" ht="24" customHeight="1">
      <c r="A37" s="404">
        <v>46103</v>
      </c>
      <c r="B37" s="409" t="s">
        <v>640</v>
      </c>
      <c r="C37" s="407"/>
      <c r="D37" s="407"/>
      <c r="E37" s="406" t="str">
        <f t="shared" si="1"/>
        <v/>
      </c>
      <c r="F37" s="407"/>
      <c r="G37" s="407"/>
      <c r="H37" s="407"/>
      <c r="I37" s="407"/>
      <c r="J37" s="408" t="str">
        <f t="shared" si="0"/>
        <v>Full Body</v>
      </c>
      <c r="K37" s="407"/>
      <c r="L37" s="407"/>
      <c r="M37" s="407"/>
    </row>
    <row r="38" spans="1:13" ht="24" customHeight="1">
      <c r="A38" s="404">
        <v>46104</v>
      </c>
      <c r="B38" s="405" t="s">
        <v>399</v>
      </c>
      <c r="C38" s="407"/>
      <c r="D38" s="407"/>
      <c r="E38" s="406" t="str">
        <f t="shared" si="1"/>
        <v/>
      </c>
      <c r="F38" s="407"/>
      <c r="G38" s="407"/>
      <c r="H38" s="407"/>
      <c r="I38" s="407"/>
      <c r="J38" s="408" t="str">
        <f t="shared" si="0"/>
        <v>Upper Push</v>
      </c>
      <c r="K38" s="407"/>
      <c r="L38" s="407"/>
      <c r="M38" s="407"/>
    </row>
    <row r="39" spans="1:13" ht="24" customHeight="1">
      <c r="A39" s="404">
        <v>46105</v>
      </c>
      <c r="B39" s="405" t="s">
        <v>637</v>
      </c>
      <c r="C39" s="407"/>
      <c r="D39" s="407"/>
      <c r="E39" s="406" t="str">
        <f t="shared" si="1"/>
        <v/>
      </c>
      <c r="F39" s="407"/>
      <c r="G39" s="407"/>
      <c r="H39" s="407"/>
      <c r="I39" s="407"/>
      <c r="J39" s="408" t="str">
        <f t="shared" si="0"/>
        <v>Cardio</v>
      </c>
      <c r="K39" s="407"/>
      <c r="L39" s="407"/>
      <c r="M39" s="407"/>
    </row>
    <row r="40" spans="1:13" ht="24" customHeight="1">
      <c r="A40" s="404">
        <v>46106</v>
      </c>
      <c r="B40" s="405" t="s">
        <v>402</v>
      </c>
      <c r="C40" s="407"/>
      <c r="D40" s="407"/>
      <c r="E40" s="406" t="str">
        <f t="shared" si="1"/>
        <v/>
      </c>
      <c r="F40" s="407"/>
      <c r="G40" s="407"/>
      <c r="H40" s="407"/>
      <c r="I40" s="407"/>
      <c r="J40" s="408" t="str">
        <f t="shared" si="0"/>
        <v>Lower + Core</v>
      </c>
      <c r="K40" s="407"/>
      <c r="L40" s="407"/>
      <c r="M40" s="407"/>
    </row>
    <row r="41" spans="1:13" ht="24" customHeight="1">
      <c r="A41" s="404">
        <v>46107</v>
      </c>
      <c r="B41" s="405" t="s">
        <v>638</v>
      </c>
      <c r="C41" s="407"/>
      <c r="D41" s="407"/>
      <c r="E41" s="406" t="str">
        <f t="shared" si="1"/>
        <v/>
      </c>
      <c r="F41" s="407"/>
      <c r="G41" s="407"/>
      <c r="H41" s="407"/>
      <c r="I41" s="407"/>
      <c r="J41" s="408" t="str">
        <f t="shared" si="0"/>
        <v>Upper Pull</v>
      </c>
      <c r="K41" s="407"/>
      <c r="L41" s="407"/>
      <c r="M41" s="407"/>
    </row>
    <row r="42" spans="1:13" ht="24" customHeight="1">
      <c r="A42" s="404">
        <v>46108</v>
      </c>
      <c r="B42" s="405" t="s">
        <v>639</v>
      </c>
      <c r="C42" s="407"/>
      <c r="D42" s="407"/>
      <c r="E42" s="406" t="str">
        <f t="shared" si="1"/>
        <v/>
      </c>
      <c r="F42" s="407"/>
      <c r="G42" s="407"/>
      <c r="H42" s="407"/>
      <c r="I42" s="407"/>
      <c r="J42" s="408" t="str">
        <f t="shared" si="0"/>
        <v>Rest</v>
      </c>
      <c r="K42" s="407"/>
      <c r="L42" s="407"/>
      <c r="M42" s="407"/>
    </row>
    <row r="43" spans="1:13" ht="24" customHeight="1">
      <c r="A43" s="404">
        <v>46109</v>
      </c>
      <c r="B43" s="409" t="s">
        <v>405</v>
      </c>
      <c r="C43" s="407"/>
      <c r="D43" s="407"/>
      <c r="E43" s="406" t="str">
        <f t="shared" si="1"/>
        <v/>
      </c>
      <c r="F43" s="407"/>
      <c r="G43" s="407"/>
      <c r="H43" s="407"/>
      <c r="I43" s="407"/>
      <c r="J43" s="408" t="str">
        <f t="shared" si="0"/>
        <v>Rest</v>
      </c>
      <c r="K43" s="407"/>
      <c r="L43" s="407"/>
      <c r="M43" s="407"/>
    </row>
    <row r="44" spans="1:13" ht="24" customHeight="1">
      <c r="A44" s="404">
        <v>46110</v>
      </c>
      <c r="B44" s="409" t="s">
        <v>640</v>
      </c>
      <c r="C44" s="407"/>
      <c r="D44" s="407"/>
      <c r="E44" s="406" t="str">
        <f t="shared" si="1"/>
        <v/>
      </c>
      <c r="F44" s="407"/>
      <c r="G44" s="407"/>
      <c r="H44" s="407"/>
      <c r="I44" s="407"/>
      <c r="J44" s="408" t="str">
        <f t="shared" si="0"/>
        <v>Full Body</v>
      </c>
      <c r="K44" s="407"/>
      <c r="L44" s="407"/>
      <c r="M44" s="407"/>
    </row>
    <row r="45" spans="1:13" ht="24" customHeight="1">
      <c r="A45" s="404">
        <v>46111</v>
      </c>
      <c r="B45" s="405" t="s">
        <v>399</v>
      </c>
      <c r="C45" s="407"/>
      <c r="D45" s="407"/>
      <c r="E45" s="406" t="str">
        <f t="shared" si="1"/>
        <v/>
      </c>
      <c r="F45" s="407"/>
      <c r="G45" s="407"/>
      <c r="H45" s="407"/>
      <c r="I45" s="407"/>
      <c r="J45" s="408" t="str">
        <f t="shared" si="0"/>
        <v>Upper Push</v>
      </c>
      <c r="K45" s="407"/>
      <c r="L45" s="407"/>
      <c r="M45" s="407"/>
    </row>
    <row r="46" spans="1:13" ht="24" customHeight="1">
      <c r="A46" s="404">
        <v>46112</v>
      </c>
      <c r="B46" s="405" t="s">
        <v>637</v>
      </c>
      <c r="C46" s="407"/>
      <c r="D46" s="407"/>
      <c r="E46" s="406" t="str">
        <f t="shared" si="1"/>
        <v/>
      </c>
      <c r="F46" s="407"/>
      <c r="G46" s="407"/>
      <c r="H46" s="407"/>
      <c r="I46" s="407"/>
      <c r="J46" s="408" t="str">
        <f t="shared" si="0"/>
        <v>Cardio</v>
      </c>
      <c r="K46" s="407"/>
      <c r="L46" s="407"/>
      <c r="M46" s="407"/>
    </row>
    <row r="47" spans="1:13" ht="24" customHeight="1">
      <c r="A47" s="404">
        <v>46113</v>
      </c>
      <c r="B47" s="405" t="s">
        <v>402</v>
      </c>
      <c r="C47" s="407"/>
      <c r="D47" s="407"/>
      <c r="E47" s="406" t="str">
        <f t="shared" si="1"/>
        <v/>
      </c>
      <c r="F47" s="407"/>
      <c r="G47" s="407"/>
      <c r="H47" s="407"/>
      <c r="I47" s="407"/>
      <c r="J47" s="408" t="str">
        <f t="shared" si="0"/>
        <v>Lower + Core</v>
      </c>
      <c r="K47" s="407"/>
      <c r="L47" s="407"/>
      <c r="M47" s="407"/>
    </row>
    <row r="48" spans="1:13" ht="24" customHeight="1">
      <c r="A48" s="404">
        <v>46114</v>
      </c>
      <c r="B48" s="405" t="s">
        <v>638</v>
      </c>
      <c r="C48" s="407"/>
      <c r="D48" s="407"/>
      <c r="E48" s="406" t="str">
        <f t="shared" si="1"/>
        <v/>
      </c>
      <c r="F48" s="407"/>
      <c r="G48" s="407"/>
      <c r="H48" s="407"/>
      <c r="I48" s="407"/>
      <c r="J48" s="408" t="str">
        <f t="shared" si="0"/>
        <v>Upper Pull</v>
      </c>
      <c r="K48" s="407"/>
      <c r="L48" s="407"/>
      <c r="M48" s="407"/>
    </row>
    <row r="49" spans="1:13" ht="24" customHeight="1">
      <c r="A49" s="404">
        <v>46115</v>
      </c>
      <c r="B49" s="405" t="s">
        <v>639</v>
      </c>
      <c r="C49" s="407"/>
      <c r="D49" s="407"/>
      <c r="E49" s="406" t="str">
        <f t="shared" si="1"/>
        <v/>
      </c>
      <c r="F49" s="407"/>
      <c r="G49" s="407"/>
      <c r="H49" s="407"/>
      <c r="I49" s="407"/>
      <c r="J49" s="408" t="str">
        <f t="shared" si="0"/>
        <v>Rest</v>
      </c>
      <c r="K49" s="407"/>
      <c r="L49" s="407"/>
      <c r="M49" s="407"/>
    </row>
    <row r="50" spans="1:13" ht="24" customHeight="1">
      <c r="A50" s="404">
        <v>46116</v>
      </c>
      <c r="B50" s="409" t="s">
        <v>405</v>
      </c>
      <c r="C50" s="407"/>
      <c r="D50" s="407"/>
      <c r="E50" s="406" t="str">
        <f t="shared" si="1"/>
        <v/>
      </c>
      <c r="F50" s="407"/>
      <c r="G50" s="407"/>
      <c r="H50" s="407"/>
      <c r="I50" s="407"/>
      <c r="J50" s="408" t="str">
        <f t="shared" si="0"/>
        <v>Rest</v>
      </c>
      <c r="K50" s="407"/>
      <c r="L50" s="407"/>
      <c r="M50" s="407"/>
    </row>
    <row r="51" spans="1:13" ht="24" customHeight="1">
      <c r="A51" s="404">
        <v>46117</v>
      </c>
      <c r="B51" s="409" t="s">
        <v>640</v>
      </c>
      <c r="C51" s="407"/>
      <c r="D51" s="407"/>
      <c r="E51" s="406" t="str">
        <f t="shared" si="1"/>
        <v/>
      </c>
      <c r="F51" s="407"/>
      <c r="G51" s="407"/>
      <c r="H51" s="407"/>
      <c r="I51" s="407"/>
      <c r="J51" s="408" t="str">
        <f t="shared" si="0"/>
        <v>Full Body</v>
      </c>
      <c r="K51" s="407"/>
      <c r="L51" s="407"/>
      <c r="M51" s="407"/>
    </row>
    <row r="52" spans="1:13" ht="24" customHeight="1">
      <c r="A52" s="404">
        <v>46118</v>
      </c>
      <c r="B52" s="405" t="s">
        <v>399</v>
      </c>
      <c r="C52" s="407"/>
      <c r="D52" s="407"/>
      <c r="E52" s="406" t="str">
        <f t="shared" si="1"/>
        <v/>
      </c>
      <c r="F52" s="407"/>
      <c r="G52" s="407"/>
      <c r="H52" s="407"/>
      <c r="I52" s="407"/>
      <c r="J52" s="408" t="str">
        <f t="shared" si="0"/>
        <v>Upper Push</v>
      </c>
      <c r="K52" s="407"/>
      <c r="L52" s="407"/>
      <c r="M52" s="407"/>
    </row>
    <row r="53" spans="1:13" ht="24" customHeight="1">
      <c r="A53" s="404">
        <v>46119</v>
      </c>
      <c r="B53" s="405" t="s">
        <v>637</v>
      </c>
      <c r="C53" s="407"/>
      <c r="D53" s="407"/>
      <c r="E53" s="406" t="str">
        <f t="shared" si="1"/>
        <v/>
      </c>
      <c r="F53" s="407"/>
      <c r="G53" s="407"/>
      <c r="H53" s="407"/>
      <c r="I53" s="407"/>
      <c r="J53" s="408" t="str">
        <f t="shared" si="0"/>
        <v>Cardio</v>
      </c>
      <c r="K53" s="407"/>
      <c r="L53" s="407"/>
      <c r="M53" s="407"/>
    </row>
    <row r="54" spans="1:13" ht="24" customHeight="1">
      <c r="A54" s="404">
        <v>46120</v>
      </c>
      <c r="B54" s="405" t="s">
        <v>402</v>
      </c>
      <c r="C54" s="407"/>
      <c r="D54" s="407"/>
      <c r="E54" s="406" t="str">
        <f t="shared" si="1"/>
        <v/>
      </c>
      <c r="F54" s="407"/>
      <c r="G54" s="407"/>
      <c r="H54" s="407"/>
      <c r="I54" s="407"/>
      <c r="J54" s="408" t="str">
        <f t="shared" si="0"/>
        <v>Lower + Core</v>
      </c>
      <c r="K54" s="407"/>
      <c r="L54" s="407"/>
      <c r="M54" s="407"/>
    </row>
    <row r="55" spans="1:13" ht="24" customHeight="1">
      <c r="A55" s="404">
        <v>46121</v>
      </c>
      <c r="B55" s="405" t="s">
        <v>638</v>
      </c>
      <c r="C55" s="407"/>
      <c r="D55" s="407"/>
      <c r="E55" s="406" t="str">
        <f t="shared" si="1"/>
        <v/>
      </c>
      <c r="F55" s="407"/>
      <c r="G55" s="407"/>
      <c r="H55" s="407"/>
      <c r="I55" s="407"/>
      <c r="J55" s="408" t="str">
        <f t="shared" si="0"/>
        <v>Upper Pull</v>
      </c>
      <c r="K55" s="407"/>
      <c r="L55" s="407"/>
      <c r="M55" s="407"/>
    </row>
    <row r="56" spans="1:13" ht="24" customHeight="1">
      <c r="A56" s="404">
        <v>46122</v>
      </c>
      <c r="B56" s="405" t="s">
        <v>639</v>
      </c>
      <c r="C56" s="407"/>
      <c r="D56" s="407"/>
      <c r="E56" s="406" t="str">
        <f t="shared" si="1"/>
        <v/>
      </c>
      <c r="F56" s="407"/>
      <c r="G56" s="407"/>
      <c r="H56" s="407"/>
      <c r="I56" s="407"/>
      <c r="J56" s="408" t="str">
        <f t="shared" si="0"/>
        <v>Rest</v>
      </c>
      <c r="K56" s="407"/>
      <c r="L56" s="407"/>
      <c r="M56" s="407"/>
    </row>
    <row r="57" spans="1:13" ht="24" customHeight="1">
      <c r="A57" s="404">
        <v>46123</v>
      </c>
      <c r="B57" s="409" t="s">
        <v>405</v>
      </c>
      <c r="C57" s="407"/>
      <c r="D57" s="407"/>
      <c r="E57" s="406" t="str">
        <f t="shared" si="1"/>
        <v/>
      </c>
      <c r="F57" s="407"/>
      <c r="G57" s="407"/>
      <c r="H57" s="407"/>
      <c r="I57" s="407"/>
      <c r="J57" s="408" t="str">
        <f t="shared" si="0"/>
        <v>Rest</v>
      </c>
      <c r="K57" s="407"/>
      <c r="L57" s="407"/>
      <c r="M57" s="407"/>
    </row>
    <row r="58" spans="1:13" ht="24" customHeight="1">
      <c r="A58" s="404">
        <v>46124</v>
      </c>
      <c r="B58" s="409" t="s">
        <v>640</v>
      </c>
      <c r="C58" s="407"/>
      <c r="D58" s="407"/>
      <c r="E58" s="406" t="str">
        <f t="shared" si="1"/>
        <v/>
      </c>
      <c r="F58" s="407"/>
      <c r="G58" s="407"/>
      <c r="H58" s="407"/>
      <c r="I58" s="407"/>
      <c r="J58" s="408" t="str">
        <f t="shared" si="0"/>
        <v>Full Body</v>
      </c>
      <c r="K58" s="407"/>
      <c r="L58" s="407"/>
      <c r="M58" s="407"/>
    </row>
    <row r="59" spans="1:13" ht="24" customHeight="1">
      <c r="A59" s="404">
        <v>46125</v>
      </c>
      <c r="B59" s="405" t="s">
        <v>399</v>
      </c>
      <c r="C59" s="407"/>
      <c r="D59" s="407"/>
      <c r="E59" s="406" t="str">
        <f t="shared" si="1"/>
        <v/>
      </c>
      <c r="F59" s="407"/>
      <c r="G59" s="407"/>
      <c r="H59" s="407"/>
      <c r="I59" s="407"/>
      <c r="J59" s="408" t="str">
        <f t="shared" si="0"/>
        <v>Upper Push</v>
      </c>
      <c r="K59" s="407"/>
      <c r="L59" s="407"/>
      <c r="M59" s="407"/>
    </row>
    <row r="60" spans="1:13" ht="24" customHeight="1">
      <c r="A60" s="404">
        <v>46126</v>
      </c>
      <c r="B60" s="405" t="s">
        <v>637</v>
      </c>
      <c r="C60" s="407"/>
      <c r="D60" s="407"/>
      <c r="E60" s="406" t="str">
        <f t="shared" si="1"/>
        <v/>
      </c>
      <c r="F60" s="407"/>
      <c r="G60" s="407"/>
      <c r="H60" s="407"/>
      <c r="I60" s="407"/>
      <c r="J60" s="408" t="str">
        <f t="shared" si="0"/>
        <v>Cardio</v>
      </c>
      <c r="K60" s="407"/>
      <c r="L60" s="407"/>
      <c r="M60" s="407"/>
    </row>
    <row r="61" spans="1:13" ht="24" customHeight="1">
      <c r="A61" s="404">
        <v>46127</v>
      </c>
      <c r="B61" s="405" t="s">
        <v>402</v>
      </c>
      <c r="C61" s="407"/>
      <c r="D61" s="407"/>
      <c r="E61" s="406" t="str">
        <f t="shared" si="1"/>
        <v/>
      </c>
      <c r="F61" s="407"/>
      <c r="G61" s="407"/>
      <c r="H61" s="407"/>
      <c r="I61" s="407"/>
      <c r="J61" s="408" t="str">
        <f t="shared" si="0"/>
        <v>Lower + Core</v>
      </c>
      <c r="K61" s="407"/>
      <c r="L61" s="407"/>
      <c r="M61" s="407"/>
    </row>
    <row r="62" spans="1:13" ht="24" customHeight="1">
      <c r="A62" s="404">
        <v>46128</v>
      </c>
      <c r="B62" s="405" t="s">
        <v>638</v>
      </c>
      <c r="C62" s="407"/>
      <c r="D62" s="407"/>
      <c r="E62" s="406" t="str">
        <f t="shared" si="1"/>
        <v/>
      </c>
      <c r="F62" s="407"/>
      <c r="G62" s="407"/>
      <c r="H62" s="407"/>
      <c r="I62" s="407"/>
      <c r="J62" s="408" t="str">
        <f t="shared" si="0"/>
        <v>Upper Pull</v>
      </c>
      <c r="K62" s="407"/>
      <c r="L62" s="407"/>
      <c r="M62" s="407"/>
    </row>
    <row r="63" spans="1:13" ht="24" customHeight="1">
      <c r="A63" s="404">
        <v>46129</v>
      </c>
      <c r="B63" s="405" t="s">
        <v>639</v>
      </c>
      <c r="C63" s="407"/>
      <c r="D63" s="407"/>
      <c r="E63" s="406" t="str">
        <f t="shared" si="1"/>
        <v/>
      </c>
      <c r="F63" s="407"/>
      <c r="G63" s="407"/>
      <c r="H63" s="407"/>
      <c r="I63" s="407"/>
      <c r="J63" s="408" t="str">
        <f t="shared" si="0"/>
        <v>Rest</v>
      </c>
      <c r="K63" s="407"/>
      <c r="L63" s="407"/>
      <c r="M63" s="407"/>
    </row>
    <row r="66" spans="1:13" ht="24" customHeight="1">
      <c r="A66" s="955" t="s">
        <v>641</v>
      </c>
      <c r="B66" s="729"/>
      <c r="C66" s="729"/>
      <c r="D66" s="729"/>
      <c r="E66" s="729"/>
      <c r="F66" s="729"/>
      <c r="G66" s="729"/>
      <c r="H66" s="729"/>
      <c r="I66" s="729"/>
      <c r="J66" s="729"/>
      <c r="K66" s="729"/>
      <c r="L66" s="729"/>
      <c r="M66" s="729"/>
    </row>
    <row r="67" spans="1:13" ht="20.100000000000001" customHeight="1">
      <c r="A67" s="410" t="s">
        <v>642</v>
      </c>
      <c r="B67" s="410" t="s">
        <v>643</v>
      </c>
      <c r="C67" s="410" t="s">
        <v>644</v>
      </c>
      <c r="D67" s="410" t="s">
        <v>588</v>
      </c>
    </row>
    <row r="68" spans="1:13" ht="21.95" customHeight="1">
      <c r="A68" s="411" t="s">
        <v>645</v>
      </c>
      <c r="B68" s="412" t="e">
        <f>AVERAGE(F57:F63)</f>
        <v>#DIV/0!</v>
      </c>
      <c r="C68" s="413" t="s">
        <v>646</v>
      </c>
      <c r="D68" s="414" t="e">
        <f>IF(B68&gt;=7,"✅ Good","⚠️ Low")</f>
        <v>#DIV/0!</v>
      </c>
    </row>
    <row r="69" spans="1:13" ht="21.95" customHeight="1">
      <c r="A69" s="415" t="s">
        <v>647</v>
      </c>
      <c r="B69" s="416" t="e">
        <f>AVERAGE(G57:G63)</f>
        <v>#DIV/0!</v>
      </c>
      <c r="C69" s="405" t="s">
        <v>648</v>
      </c>
      <c r="D69" s="417" t="e">
        <f>IF(B69&gt;=4,"✅ Good","⚠️ Low")</f>
        <v>#DIV/0!</v>
      </c>
    </row>
    <row r="70" spans="1:13" ht="21.95" customHeight="1">
      <c r="A70" s="411" t="s">
        <v>649</v>
      </c>
      <c r="B70" s="412" t="e">
        <f>AVERAGE(H57:H63)</f>
        <v>#DIV/0!</v>
      </c>
      <c r="C70" s="413" t="s">
        <v>648</v>
      </c>
      <c r="D70" s="414" t="e">
        <f>IF(B70&gt;=4,"✅ Good","⚠️ Low")</f>
        <v>#DIV/0!</v>
      </c>
    </row>
    <row r="71" spans="1:13" ht="21.95" customHeight="1">
      <c r="A71" s="415" t="s">
        <v>650</v>
      </c>
      <c r="B71" s="418">
        <f>COUNTIF(I57:I63,"Yes")</f>
        <v>0</v>
      </c>
      <c r="C71" s="405" t="s">
        <v>651</v>
      </c>
      <c r="D71" s="417" t="str">
        <f>IF(B71&gt;=4,"✅ Good","⚠️ Low")</f>
        <v>⚠️ Low</v>
      </c>
    </row>
    <row r="72" spans="1:13" ht="21.95" customHeight="1">
      <c r="A72" s="411" t="s">
        <v>652</v>
      </c>
      <c r="B72" s="419" t="e">
        <f>AVERAGE(K57:K63)</f>
        <v>#DIV/0!</v>
      </c>
      <c r="C72" s="413" t="s">
        <v>653</v>
      </c>
      <c r="D72" s="414" t="e">
        <f>IF(ABS(B72-2835)&lt;300,"✅ Good","⚠️ Check")</f>
        <v>#DIV/0!</v>
      </c>
    </row>
    <row r="73" spans="1:13" ht="21.95" customHeight="1">
      <c r="A73" s="415" t="s">
        <v>654</v>
      </c>
      <c r="B73" s="418" t="e">
        <f>AVERAGE(L57:L63)</f>
        <v>#DIV/0!</v>
      </c>
      <c r="C73" s="405" t="s">
        <v>655</v>
      </c>
      <c r="D73" s="417" t="e">
        <f>IF(B73&gt;=140,"✅ Good","⚠️ Low")</f>
        <v>#DIV/0!</v>
      </c>
    </row>
  </sheetData>
  <mergeCells count="3">
    <mergeCell ref="A1:M1"/>
    <mergeCell ref="A2:M2"/>
    <mergeCell ref="A66:M66"/>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73A92-4673-4868-9576-E983E7230227}">
  <sheetPr>
    <tabColor rgb="FFFFFF00"/>
  </sheetPr>
  <dimension ref="A1:CQ231"/>
  <sheetViews>
    <sheetView topLeftCell="J1" zoomScaleNormal="100" workbookViewId="0">
      <selection activeCell="R1" sqref="R1:R2"/>
    </sheetView>
  </sheetViews>
  <sheetFormatPr defaultColWidth="9.140625" defaultRowHeight="18.75" customHeight="1"/>
  <cols>
    <col min="1" max="1" width="11.85546875" style="122" bestFit="1" customWidth="1"/>
    <col min="2" max="2" width="23.5703125" style="122" bestFit="1" customWidth="1"/>
    <col min="3" max="3" width="27.42578125" style="122" bestFit="1" customWidth="1"/>
    <col min="4" max="4" width="8.140625" style="122" bestFit="1" customWidth="1"/>
    <col min="5" max="5" width="10.140625" style="122" bestFit="1" customWidth="1"/>
    <col min="6" max="6" width="16.140625" style="122" bestFit="1" customWidth="1"/>
    <col min="7" max="7" width="26" style="122" bestFit="1" customWidth="1"/>
    <col min="8" max="8" width="6" style="122" bestFit="1" customWidth="1"/>
    <col min="9" max="9" width="8.5703125" style="122" bestFit="1" customWidth="1"/>
    <col min="10" max="10" width="20" style="122" bestFit="1" customWidth="1"/>
    <col min="11" max="12" width="11.85546875" style="122" bestFit="1" customWidth="1"/>
    <col min="13" max="13" width="6" style="122" bestFit="1" customWidth="1"/>
    <col min="14" max="14" width="5.140625" style="122" bestFit="1" customWidth="1"/>
    <col min="15" max="15" width="6.42578125" style="122" bestFit="1" customWidth="1"/>
    <col min="16" max="16" width="9" style="122" bestFit="1" customWidth="1"/>
    <col min="17" max="17" width="4.5703125" style="122" customWidth="1"/>
    <col min="18" max="18" width="9.140625" style="122" bestFit="1"/>
    <col min="19" max="20" width="4.5703125" style="122" customWidth="1"/>
    <col min="21" max="21" width="9.140625" style="122" bestFit="1"/>
    <col min="22" max="23" width="4.5703125" style="122" customWidth="1"/>
    <col min="24" max="24" width="9.140625" style="122" bestFit="1"/>
    <col min="25" max="26" width="4.5703125" style="122" customWidth="1"/>
    <col min="27" max="27" width="9.140625" style="122" bestFit="1"/>
    <col min="28" max="29" width="4.5703125" style="122" customWidth="1"/>
    <col min="30" max="30" width="9.140625" style="122" bestFit="1"/>
    <col min="31" max="32" width="4.5703125" style="122" customWidth="1"/>
    <col min="33" max="33" width="9.140625" style="122" bestFit="1"/>
    <col min="34" max="35" width="4.5703125" style="122" customWidth="1"/>
    <col min="36" max="36" width="9.140625" style="122" bestFit="1"/>
    <col min="37" max="37" width="9.42578125" style="122" bestFit="1" customWidth="1"/>
    <col min="38" max="39" width="9.140625" style="122" bestFit="1"/>
    <col min="40" max="40" width="4.5703125" style="122" customWidth="1"/>
    <col min="41" max="41" width="9.140625" style="122" bestFit="1"/>
    <col min="42" max="43" width="4.5703125" style="122" customWidth="1"/>
    <col min="44" max="44" width="9.140625" style="122" bestFit="1"/>
    <col min="45" max="46" width="4.5703125" style="122" customWidth="1"/>
    <col min="47" max="47" width="9.140625" style="122" bestFit="1"/>
    <col min="48" max="49" width="4.5703125" style="122" customWidth="1"/>
    <col min="50" max="50" width="9.140625" style="122" bestFit="1"/>
    <col min="51" max="52" width="4.5703125" style="122" customWidth="1"/>
    <col min="53" max="53" width="9.140625" style="122" bestFit="1"/>
    <col min="54" max="55" width="4.5703125" style="122" customWidth="1"/>
    <col min="56" max="56" width="9.140625" style="122" bestFit="1"/>
    <col min="57" max="58" width="4.5703125" style="122" customWidth="1"/>
    <col min="59" max="62" width="9.140625" style="122" bestFit="1"/>
    <col min="63" max="63" width="4.5703125" style="122" customWidth="1"/>
    <col min="64" max="64" width="9.140625" style="122"/>
    <col min="65" max="66" width="4.5703125" style="122" customWidth="1"/>
    <col min="67" max="67" width="9.140625" style="122"/>
    <col min="68" max="69" width="4.5703125" style="122" customWidth="1"/>
    <col min="70" max="70" width="9.140625" style="122"/>
    <col min="71" max="72" width="4.5703125" style="122" customWidth="1"/>
    <col min="73" max="73" width="9.140625" style="122"/>
    <col min="74" max="75" width="4.5703125" style="122" customWidth="1"/>
    <col min="76" max="76" width="9.140625" style="122"/>
    <col min="77" max="78" width="4.5703125" style="122" customWidth="1"/>
    <col min="79" max="79" width="9.140625" style="122"/>
    <col min="80" max="81" width="4.5703125" style="122" customWidth="1"/>
    <col min="82" max="85" width="9.140625" style="122"/>
    <col min="86" max="86" width="4.5703125" style="122" customWidth="1"/>
    <col min="87" max="92" width="9.140625" style="122"/>
    <col min="93" max="93" width="4.5703125" style="122" customWidth="1"/>
    <col min="94" max="16384" width="9.140625" style="122"/>
  </cols>
  <sheetData>
    <row r="1" spans="1:95" ht="19.5" thickBot="1">
      <c r="A1" s="301"/>
      <c r="B1" s="301"/>
      <c r="C1" s="301"/>
      <c r="D1" s="301"/>
      <c r="E1" s="301"/>
      <c r="F1" s="301"/>
      <c r="G1" s="301"/>
      <c r="H1" s="301"/>
      <c r="I1" s="301"/>
      <c r="J1" s="301"/>
      <c r="K1" s="999" t="s">
        <v>416</v>
      </c>
      <c r="L1" s="1000"/>
      <c r="M1" s="1000"/>
      <c r="N1" s="1000"/>
      <c r="O1" s="1000"/>
      <c r="P1" s="1001"/>
      <c r="R1" s="833" t="s">
        <v>1</v>
      </c>
      <c r="S1" s="850" t="s">
        <v>61</v>
      </c>
      <c r="T1" s="851"/>
      <c r="U1" s="851"/>
      <c r="V1" s="851"/>
      <c r="W1" s="851"/>
      <c r="X1" s="851"/>
      <c r="Y1" s="851"/>
      <c r="Z1" s="851"/>
      <c r="AA1" s="851"/>
      <c r="AB1" s="851"/>
      <c r="AC1" s="851"/>
      <c r="AD1" s="851"/>
      <c r="AE1" s="851"/>
      <c r="AF1" s="851"/>
      <c r="AG1" s="851"/>
      <c r="AH1" s="851"/>
      <c r="AI1" s="851"/>
      <c r="AJ1" s="852"/>
      <c r="AK1" s="900" t="s">
        <v>171</v>
      </c>
      <c r="AL1" s="833" t="s">
        <v>55</v>
      </c>
      <c r="AM1" s="853" t="s">
        <v>62</v>
      </c>
      <c r="AN1" s="116"/>
      <c r="AO1" s="833" t="s">
        <v>1</v>
      </c>
      <c r="AP1" s="850" t="s">
        <v>61</v>
      </c>
      <c r="AQ1" s="851"/>
      <c r="AR1" s="851"/>
      <c r="AS1" s="851"/>
      <c r="AT1" s="851"/>
      <c r="AU1" s="851"/>
      <c r="AV1" s="851"/>
      <c r="AW1" s="851"/>
      <c r="AX1" s="851"/>
      <c r="AY1" s="851"/>
      <c r="AZ1" s="851"/>
      <c r="BA1" s="851"/>
      <c r="BB1" s="851"/>
      <c r="BC1" s="851"/>
      <c r="BD1" s="851"/>
      <c r="BE1" s="851"/>
      <c r="BF1" s="851"/>
      <c r="BG1" s="852"/>
      <c r="BH1" s="900" t="s">
        <v>171</v>
      </c>
      <c r="BI1" s="833" t="s">
        <v>55</v>
      </c>
      <c r="BJ1" s="853" t="s">
        <v>62</v>
      </c>
      <c r="BK1" s="116"/>
      <c r="BL1" s="833" t="s">
        <v>1</v>
      </c>
      <c r="BM1" s="850" t="s">
        <v>61</v>
      </c>
      <c r="BN1" s="851"/>
      <c r="BO1" s="851"/>
      <c r="BP1" s="851"/>
      <c r="BQ1" s="851"/>
      <c r="BR1" s="851"/>
      <c r="BS1" s="851"/>
      <c r="BT1" s="851"/>
      <c r="BU1" s="851"/>
      <c r="BV1" s="851"/>
      <c r="BW1" s="851"/>
      <c r="BX1" s="851"/>
      <c r="BY1" s="851"/>
      <c r="BZ1" s="851"/>
      <c r="CA1" s="851"/>
      <c r="CB1" s="851"/>
      <c r="CC1" s="851"/>
      <c r="CD1" s="852"/>
      <c r="CE1" s="900" t="s">
        <v>171</v>
      </c>
      <c r="CF1" s="833" t="s">
        <v>55</v>
      </c>
      <c r="CG1" s="853" t="s">
        <v>62</v>
      </c>
      <c r="CI1" s="958" t="s">
        <v>46</v>
      </c>
      <c r="CJ1" s="959"/>
      <c r="CK1" s="958" t="s">
        <v>47</v>
      </c>
      <c r="CL1" s="959"/>
      <c r="CM1" s="958" t="s">
        <v>47</v>
      </c>
      <c r="CN1" s="959"/>
      <c r="CP1" s="882" t="s">
        <v>426</v>
      </c>
      <c r="CQ1" s="884"/>
    </row>
    <row r="2" spans="1:95" ht="19.5" thickBot="1">
      <c r="A2" s="329" t="s">
        <v>56</v>
      </c>
      <c r="B2" s="330" t="s">
        <v>393</v>
      </c>
      <c r="C2" s="330" t="s">
        <v>381</v>
      </c>
      <c r="D2" s="330" t="s">
        <v>5</v>
      </c>
      <c r="E2" s="330" t="s">
        <v>6</v>
      </c>
      <c r="F2" s="330" t="s">
        <v>382</v>
      </c>
      <c r="G2" s="330" t="s">
        <v>383</v>
      </c>
      <c r="H2" s="330" t="s">
        <v>5</v>
      </c>
      <c r="I2" s="331" t="s">
        <v>6</v>
      </c>
      <c r="J2" s="332" t="s">
        <v>408</v>
      </c>
      <c r="K2" s="329" t="s">
        <v>381</v>
      </c>
      <c r="L2" s="330" t="s">
        <v>383</v>
      </c>
      <c r="M2" s="330" t="s">
        <v>406</v>
      </c>
      <c r="N2" s="330" t="s">
        <v>59</v>
      </c>
      <c r="O2" s="330" t="s">
        <v>414</v>
      </c>
      <c r="P2" s="333" t="s">
        <v>415</v>
      </c>
      <c r="R2" s="833"/>
      <c r="S2" s="833">
        <v>1</v>
      </c>
      <c r="T2" s="833"/>
      <c r="U2" s="833"/>
      <c r="V2" s="833">
        <v>2</v>
      </c>
      <c r="W2" s="833"/>
      <c r="X2" s="833"/>
      <c r="Y2" s="833">
        <v>3</v>
      </c>
      <c r="Z2" s="833"/>
      <c r="AA2" s="833"/>
      <c r="AB2" s="833">
        <v>4</v>
      </c>
      <c r="AC2" s="833"/>
      <c r="AD2" s="833"/>
      <c r="AE2" s="833">
        <v>5</v>
      </c>
      <c r="AF2" s="833"/>
      <c r="AG2" s="833"/>
      <c r="AH2" s="833">
        <v>6</v>
      </c>
      <c r="AI2" s="833"/>
      <c r="AJ2" s="833"/>
      <c r="AK2" s="901"/>
      <c r="AL2" s="833"/>
      <c r="AM2" s="854"/>
      <c r="AN2" s="117"/>
      <c r="AO2" s="833"/>
      <c r="AP2" s="833">
        <v>1</v>
      </c>
      <c r="AQ2" s="833"/>
      <c r="AR2" s="833"/>
      <c r="AS2" s="833">
        <v>2</v>
      </c>
      <c r="AT2" s="833"/>
      <c r="AU2" s="833"/>
      <c r="AV2" s="833">
        <v>3</v>
      </c>
      <c r="AW2" s="833"/>
      <c r="AX2" s="833"/>
      <c r="AY2" s="833">
        <v>4</v>
      </c>
      <c r="AZ2" s="833"/>
      <c r="BA2" s="833"/>
      <c r="BB2" s="833">
        <v>5</v>
      </c>
      <c r="BC2" s="833"/>
      <c r="BD2" s="833"/>
      <c r="BE2" s="833">
        <v>6</v>
      </c>
      <c r="BF2" s="833"/>
      <c r="BG2" s="833"/>
      <c r="BH2" s="901"/>
      <c r="BI2" s="833"/>
      <c r="BJ2" s="854"/>
      <c r="BK2" s="117"/>
      <c r="BL2" s="833"/>
      <c r="BM2" s="833">
        <v>1</v>
      </c>
      <c r="BN2" s="833"/>
      <c r="BO2" s="833"/>
      <c r="BP2" s="833">
        <v>2</v>
      </c>
      <c r="BQ2" s="833"/>
      <c r="BR2" s="833"/>
      <c r="BS2" s="833">
        <v>3</v>
      </c>
      <c r="BT2" s="833"/>
      <c r="BU2" s="833"/>
      <c r="BV2" s="833">
        <v>4</v>
      </c>
      <c r="BW2" s="833"/>
      <c r="BX2" s="833"/>
      <c r="BY2" s="833">
        <v>5</v>
      </c>
      <c r="BZ2" s="833"/>
      <c r="CA2" s="833"/>
      <c r="CB2" s="833">
        <v>6</v>
      </c>
      <c r="CC2" s="833"/>
      <c r="CD2" s="833"/>
      <c r="CE2" s="901"/>
      <c r="CF2" s="833"/>
      <c r="CG2" s="854"/>
      <c r="CI2" s="295" t="s">
        <v>1</v>
      </c>
      <c r="CJ2" s="296" t="s">
        <v>52</v>
      </c>
      <c r="CK2" s="295" t="s">
        <v>1</v>
      </c>
      <c r="CL2" s="296" t="s">
        <v>52</v>
      </c>
      <c r="CM2" s="295" t="s">
        <v>1</v>
      </c>
      <c r="CN2" s="296" t="s">
        <v>52</v>
      </c>
      <c r="CP2" s="231" t="s">
        <v>65</v>
      </c>
      <c r="CQ2" s="231" t="s">
        <v>66</v>
      </c>
    </row>
    <row r="3" spans="1:95" ht="15.75">
      <c r="A3" s="987" t="s">
        <v>409</v>
      </c>
      <c r="B3" s="990" t="s">
        <v>394</v>
      </c>
      <c r="C3" s="334" t="s">
        <v>67</v>
      </c>
      <c r="D3" s="334">
        <v>3</v>
      </c>
      <c r="E3" s="334" t="s">
        <v>395</v>
      </c>
      <c r="F3" s="334" t="s">
        <v>385</v>
      </c>
      <c r="G3" s="334" t="s">
        <v>72</v>
      </c>
      <c r="H3" s="334">
        <v>3</v>
      </c>
      <c r="I3" s="335" t="s">
        <v>384</v>
      </c>
      <c r="J3" s="993">
        <v>6</v>
      </c>
      <c r="K3" s="336">
        <v>1</v>
      </c>
      <c r="L3" s="337">
        <v>1</v>
      </c>
      <c r="M3" s="337">
        <v>3</v>
      </c>
      <c r="N3" s="337">
        <v>3.5</v>
      </c>
      <c r="O3" s="337">
        <f t="shared" ref="O3:O17" si="0">(K3+L3+M3)*N3</f>
        <v>17.5</v>
      </c>
      <c r="P3" s="996">
        <f>SUM(O3:O5)</f>
        <v>49</v>
      </c>
      <c r="R3" s="873">
        <v>46023</v>
      </c>
      <c r="S3" s="834"/>
      <c r="T3" s="835"/>
      <c r="U3" s="836"/>
      <c r="V3" s="943"/>
      <c r="W3" s="944"/>
      <c r="X3" s="945"/>
      <c r="Y3" s="834"/>
      <c r="Z3" s="835"/>
      <c r="AA3" s="836"/>
      <c r="AB3" s="834"/>
      <c r="AC3" s="835"/>
      <c r="AD3" s="836"/>
      <c r="AE3" s="834"/>
      <c r="AF3" s="835"/>
      <c r="AG3" s="836"/>
      <c r="AH3" s="834"/>
      <c r="AI3" s="835"/>
      <c r="AJ3" s="836"/>
      <c r="AK3" s="232" t="s">
        <v>425</v>
      </c>
      <c r="AL3" s="946">
        <f>COUNTA(S3:AJ3)</f>
        <v>0</v>
      </c>
      <c r="AM3" s="824">
        <v>76.900000000000006</v>
      </c>
      <c r="AN3" s="118"/>
      <c r="AO3" s="864">
        <v>46054</v>
      </c>
      <c r="AP3" s="849" t="s">
        <v>434</v>
      </c>
      <c r="AQ3" s="849"/>
      <c r="AR3" s="849"/>
      <c r="AS3" s="849" t="s">
        <v>72</v>
      </c>
      <c r="AT3" s="849"/>
      <c r="AU3" s="849"/>
      <c r="AV3" s="890" t="s">
        <v>435</v>
      </c>
      <c r="AW3" s="890"/>
      <c r="AX3" s="890"/>
      <c r="AY3" s="848" t="s">
        <v>68</v>
      </c>
      <c r="AZ3" s="848"/>
      <c r="BA3" s="848"/>
      <c r="BB3" s="882" t="s">
        <v>123</v>
      </c>
      <c r="BC3" s="883"/>
      <c r="BD3" s="884"/>
      <c r="BE3" s="834"/>
      <c r="BF3" s="835"/>
      <c r="BG3" s="836"/>
      <c r="BH3" s="232" t="s">
        <v>425</v>
      </c>
      <c r="BI3" s="946">
        <f>COUNTA(AP3:BG3)</f>
        <v>5</v>
      </c>
      <c r="BJ3" s="824">
        <v>77.7</v>
      </c>
      <c r="BK3" s="118"/>
      <c r="BL3" s="864">
        <v>46082</v>
      </c>
      <c r="BM3" s="965" t="s">
        <v>131</v>
      </c>
      <c r="BN3" s="965"/>
      <c r="BO3" s="965"/>
      <c r="BP3" s="849" t="s">
        <v>72</v>
      </c>
      <c r="BQ3" s="849"/>
      <c r="BR3" s="849"/>
      <c r="BS3" s="965" t="s">
        <v>779</v>
      </c>
      <c r="BT3" s="965"/>
      <c r="BU3" s="965"/>
      <c r="BV3" s="848" t="s">
        <v>68</v>
      </c>
      <c r="BW3" s="848"/>
      <c r="BX3" s="848"/>
      <c r="BY3" s="882" t="s">
        <v>123</v>
      </c>
      <c r="BZ3" s="883"/>
      <c r="CA3" s="884"/>
      <c r="CB3" s="834"/>
      <c r="CC3" s="835"/>
      <c r="CD3" s="836"/>
      <c r="CE3" s="232" t="s">
        <v>425</v>
      </c>
      <c r="CF3" s="946">
        <f>COUNTA(BM3:CD3)</f>
        <v>5</v>
      </c>
      <c r="CG3" s="824">
        <v>77.8</v>
      </c>
      <c r="CI3" s="60">
        <v>1</v>
      </c>
      <c r="CJ3" s="62" t="str" cm="1">
        <f t="array" ref="CJ3">IF(INDEX(S:S, (ROW()-ROW($S$3))*3 + 3) &lt;&gt; "", "✔", "")</f>
        <v/>
      </c>
      <c r="CK3" s="60">
        <v>1</v>
      </c>
      <c r="CL3" s="62" t="str" cm="1">
        <f t="array" ref="CL3">IF(INDEX(AP:AP, (ROW()-ROW($AP$3))*3 + 3) &lt;&gt; "", "✔", "")</f>
        <v>✔</v>
      </c>
      <c r="CM3" s="60">
        <v>1</v>
      </c>
      <c r="CN3" s="62" t="str" cm="1">
        <f t="array" ref="CN3">IF(INDEX(BM:BM, (ROW()-ROW($BM$3))*3 + 3) &lt;&gt; "", "✔", "")</f>
        <v>✔</v>
      </c>
      <c r="CP3" s="231">
        <v>1</v>
      </c>
      <c r="CQ3" s="130">
        <v>0.453592</v>
      </c>
    </row>
    <row r="4" spans="1:95" ht="15.75">
      <c r="A4" s="988"/>
      <c r="B4" s="991"/>
      <c r="C4" s="277" t="s">
        <v>13</v>
      </c>
      <c r="D4" s="277">
        <v>3</v>
      </c>
      <c r="E4" s="277" t="s">
        <v>384</v>
      </c>
      <c r="F4" s="277" t="s">
        <v>387</v>
      </c>
      <c r="G4" s="277" t="s">
        <v>99</v>
      </c>
      <c r="H4" s="277">
        <v>3</v>
      </c>
      <c r="I4" s="338" t="s">
        <v>386</v>
      </c>
      <c r="J4" s="994"/>
      <c r="K4" s="339">
        <v>1</v>
      </c>
      <c r="L4" s="340">
        <v>1</v>
      </c>
      <c r="M4" s="340">
        <v>3</v>
      </c>
      <c r="N4" s="340">
        <v>3.5</v>
      </c>
      <c r="O4" s="340">
        <f t="shared" si="0"/>
        <v>17.5</v>
      </c>
      <c r="P4" s="997"/>
      <c r="R4" s="874"/>
      <c r="S4" s="107"/>
      <c r="T4" s="107"/>
      <c r="U4" s="108"/>
      <c r="V4" s="107"/>
      <c r="W4" s="107"/>
      <c r="X4" s="108"/>
      <c r="Y4" s="107"/>
      <c r="Z4" s="107"/>
      <c r="AA4" s="108"/>
      <c r="AB4" s="107"/>
      <c r="AC4" s="107"/>
      <c r="AD4" s="108"/>
      <c r="AE4" s="107"/>
      <c r="AF4" s="107"/>
      <c r="AG4" s="108"/>
      <c r="AH4" s="107"/>
      <c r="AI4" s="107"/>
      <c r="AJ4" s="108"/>
      <c r="AK4" s="957">
        <v>0</v>
      </c>
      <c r="AL4" s="947"/>
      <c r="AM4" s="825"/>
      <c r="AN4" s="118"/>
      <c r="AO4" s="865"/>
      <c r="AP4" s="231" t="s">
        <v>59</v>
      </c>
      <c r="AQ4" s="231" t="s">
        <v>73</v>
      </c>
      <c r="AR4" s="102" t="s">
        <v>4</v>
      </c>
      <c r="AS4" s="231" t="s">
        <v>59</v>
      </c>
      <c r="AT4" s="231" t="s">
        <v>73</v>
      </c>
      <c r="AU4" s="102" t="s">
        <v>4</v>
      </c>
      <c r="AV4" s="231" t="s">
        <v>59</v>
      </c>
      <c r="AW4" s="231" t="s">
        <v>73</v>
      </c>
      <c r="AX4" s="102" t="s">
        <v>4</v>
      </c>
      <c r="AY4" s="231" t="s">
        <v>59</v>
      </c>
      <c r="AZ4" s="231" t="s">
        <v>73</v>
      </c>
      <c r="BA4" s="102" t="s">
        <v>4</v>
      </c>
      <c r="BB4" s="231" t="s">
        <v>59</v>
      </c>
      <c r="BC4" s="231" t="s">
        <v>73</v>
      </c>
      <c r="BD4" s="102" t="s">
        <v>4</v>
      </c>
      <c r="BE4" s="107" t="s">
        <v>59</v>
      </c>
      <c r="BF4" s="107" t="s">
        <v>73</v>
      </c>
      <c r="BG4" s="108" t="s">
        <v>4</v>
      </c>
      <c r="BH4" s="957">
        <v>85</v>
      </c>
      <c r="BI4" s="947"/>
      <c r="BJ4" s="825"/>
      <c r="BK4" s="118"/>
      <c r="BL4" s="865"/>
      <c r="BM4" s="231" t="s">
        <v>59</v>
      </c>
      <c r="BN4" s="231" t="s">
        <v>73</v>
      </c>
      <c r="BO4" s="102" t="s">
        <v>4</v>
      </c>
      <c r="BP4" s="231" t="s">
        <v>59</v>
      </c>
      <c r="BQ4" s="231" t="s">
        <v>73</v>
      </c>
      <c r="BR4" s="102" t="s">
        <v>4</v>
      </c>
      <c r="BS4" s="231" t="s">
        <v>59</v>
      </c>
      <c r="BT4" s="231" t="s">
        <v>73</v>
      </c>
      <c r="BU4" s="102" t="s">
        <v>4</v>
      </c>
      <c r="BV4" s="231" t="s">
        <v>59</v>
      </c>
      <c r="BW4" s="231" t="s">
        <v>73</v>
      </c>
      <c r="BX4" s="102" t="s">
        <v>4</v>
      </c>
      <c r="BY4" s="231" t="s">
        <v>59</v>
      </c>
      <c r="BZ4" s="231" t="s">
        <v>73</v>
      </c>
      <c r="CA4" s="102" t="s">
        <v>4</v>
      </c>
      <c r="CB4" s="107" t="s">
        <v>59</v>
      </c>
      <c r="CC4" s="107" t="s">
        <v>73</v>
      </c>
      <c r="CD4" s="108" t="s">
        <v>4</v>
      </c>
      <c r="CE4" s="957">
        <f>60+38</f>
        <v>98</v>
      </c>
      <c r="CF4" s="947"/>
      <c r="CG4" s="825"/>
      <c r="CI4" s="61">
        <v>2</v>
      </c>
      <c r="CJ4" s="62" t="str" cm="1">
        <f t="array" ref="CJ4">IF(INDEX(S:S, (ROW()-ROW($S$3))*3 + 3) &lt;&gt; "", "✔", "")</f>
        <v/>
      </c>
      <c r="CK4" s="61">
        <v>2</v>
      </c>
      <c r="CL4" s="62" t="str" cm="1">
        <f t="array" ref="CL4">IF(INDEX(AP:AP, (ROW()-ROW($AP$3))*3 + 3) &lt;&gt; "", "✔", "")</f>
        <v>✔</v>
      </c>
      <c r="CM4" s="61">
        <v>2</v>
      </c>
      <c r="CN4" s="62" t="str" cm="1">
        <f t="array" ref="CN4">IF(INDEX(BM:BM, (ROW()-ROW($BM$3))*3 + 3) &lt;&gt; "", "✔", "")</f>
        <v>✔</v>
      </c>
      <c r="CP4" s="231">
        <v>5</v>
      </c>
      <c r="CQ4" s="230">
        <f t="shared" ref="CQ4:CQ33" si="1">CP4*$CQ$3</f>
        <v>2.26796</v>
      </c>
    </row>
    <row r="5" spans="1:95" ht="16.5" thickBot="1">
      <c r="A5" s="989"/>
      <c r="B5" s="992"/>
      <c r="C5" s="341" t="s">
        <v>123</v>
      </c>
      <c r="D5" s="341">
        <v>3</v>
      </c>
      <c r="E5" s="341" t="s">
        <v>384</v>
      </c>
      <c r="F5" s="359"/>
      <c r="G5" s="359"/>
      <c r="H5" s="359"/>
      <c r="I5" s="360"/>
      <c r="J5" s="995"/>
      <c r="K5" s="343">
        <v>1</v>
      </c>
      <c r="L5" s="344">
        <v>0</v>
      </c>
      <c r="M5" s="344">
        <v>3</v>
      </c>
      <c r="N5" s="344">
        <v>3.5</v>
      </c>
      <c r="O5" s="344">
        <f t="shared" si="0"/>
        <v>14</v>
      </c>
      <c r="P5" s="998"/>
      <c r="R5" s="875"/>
      <c r="S5" s="233"/>
      <c r="T5" s="233"/>
      <c r="U5" s="233"/>
      <c r="V5" s="233"/>
      <c r="W5" s="233"/>
      <c r="X5" s="233"/>
      <c r="Y5" s="233"/>
      <c r="Z5" s="233"/>
      <c r="AA5" s="233"/>
      <c r="AB5" s="233"/>
      <c r="AC5" s="233"/>
      <c r="AD5" s="233"/>
      <c r="AE5" s="233"/>
      <c r="AF5" s="233"/>
      <c r="AG5" s="233"/>
      <c r="AH5" s="233"/>
      <c r="AI5" s="233"/>
      <c r="AJ5" s="233"/>
      <c r="AK5" s="949"/>
      <c r="AL5" s="229">
        <f>(S5*T5*U5)+(V5*W5*X5)+(Y5*Z5*AA5)+(AB5*AC5*AD5)+(AE5*AF5*AG5)+(AH5*AI5*AJ5)</f>
        <v>0</v>
      </c>
      <c r="AM5" s="826"/>
      <c r="AN5" s="118"/>
      <c r="AO5" s="866"/>
      <c r="AP5" s="229">
        <v>4</v>
      </c>
      <c r="AQ5" s="229">
        <f>((14*1)+(10*3))/4</f>
        <v>11</v>
      </c>
      <c r="AR5" s="229">
        <f>((12.5*1)+(25*3))/4</f>
        <v>21.875</v>
      </c>
      <c r="AS5" s="229">
        <v>4</v>
      </c>
      <c r="AT5" s="229">
        <f>((14*1)+(10*3))/4</f>
        <v>11</v>
      </c>
      <c r="AU5" s="229">
        <f>((23*1)+(54*3))/4</f>
        <v>46.25</v>
      </c>
      <c r="AV5" s="229">
        <v>4</v>
      </c>
      <c r="AW5" s="126">
        <f>((14*1)+(12*3))/4</f>
        <v>12.5</v>
      </c>
      <c r="AX5" s="229">
        <f>((10*1)+(20*3))/4</f>
        <v>17.5</v>
      </c>
      <c r="AY5" s="229">
        <v>4</v>
      </c>
      <c r="AZ5" s="229">
        <f>((14*1)+(12*1)+(8*1))/4</f>
        <v>8.5</v>
      </c>
      <c r="BA5" s="229">
        <f>((27*1)+(59*2)+(63*1))/4</f>
        <v>52</v>
      </c>
      <c r="BB5" s="229">
        <v>4</v>
      </c>
      <c r="BC5" s="229">
        <f>((14*1)+(8*3))/4</f>
        <v>9.5</v>
      </c>
      <c r="BD5" s="229">
        <f>((13.6*1)+(24.9*3))/4</f>
        <v>22.074999999999996</v>
      </c>
      <c r="BE5" s="233"/>
      <c r="BF5" s="233"/>
      <c r="BG5" s="233"/>
      <c r="BH5" s="949"/>
      <c r="BI5" s="229">
        <f>(AP5*AQ5*AR5)+(AS5*AT5*AU5)+(AV5*AW5*AX5)+(AY5*AZ5*BA5)+(BB5*BC5*BD5)+(BE5*BF5*BG5)</f>
        <v>6479.3499999999995</v>
      </c>
      <c r="BJ5" s="826"/>
      <c r="BK5" s="118"/>
      <c r="BL5" s="866"/>
      <c r="BM5" s="229">
        <v>4</v>
      </c>
      <c r="BN5" s="126">
        <f>((12*3)+(8*1))/4</f>
        <v>11</v>
      </c>
      <c r="BO5" s="126">
        <f>((30*1)+(35*1)+(37.5*1)+(40*1))/4</f>
        <v>35.625</v>
      </c>
      <c r="BP5" s="229">
        <v>4</v>
      </c>
      <c r="BQ5" s="229">
        <f>((12*1)+(10*3))/4</f>
        <v>10.5</v>
      </c>
      <c r="BR5" s="229">
        <f>((27*1)+(59*3))/4</f>
        <v>51</v>
      </c>
      <c r="BS5" s="229">
        <v>4</v>
      </c>
      <c r="BT5" s="126">
        <f>((12*1)+(10*2)+(9*1))/4</f>
        <v>10.25</v>
      </c>
      <c r="BU5" s="126">
        <f>((30*1)+(35*3))/4</f>
        <v>33.75</v>
      </c>
      <c r="BV5" s="229">
        <v>4</v>
      </c>
      <c r="BW5" s="126">
        <v>12</v>
      </c>
      <c r="BX5" s="229">
        <f>((32*1)+(72*3))/4</f>
        <v>62</v>
      </c>
      <c r="BY5" s="229">
        <v>4</v>
      </c>
      <c r="BZ5" s="229">
        <f>((14*1)+(8*3))/4</f>
        <v>9.5</v>
      </c>
      <c r="CA5" s="229">
        <f>((13.6*1)+(24.9*3))/4</f>
        <v>22.074999999999996</v>
      </c>
      <c r="CB5" s="233"/>
      <c r="CC5" s="233"/>
      <c r="CD5" s="233"/>
      <c r="CE5" s="949"/>
      <c r="CF5" s="229">
        <f>(BM5*BN5*BO5)+(BP5*BQ5*BR5)+(BS5*BT5*BU5)+(BV5*BW5*BX5)+(BY5*BZ5*CA5)+(CB5*CC5*CD5)</f>
        <v>8908.1</v>
      </c>
      <c r="CG5" s="826"/>
      <c r="CI5" s="61">
        <v>3</v>
      </c>
      <c r="CJ5" s="62" t="str" cm="1">
        <f t="array" ref="CJ5">IF(INDEX(S:S, (ROW()-ROW($S$3))*3 + 3) &lt;&gt; "", "✔", "")</f>
        <v/>
      </c>
      <c r="CK5" s="61">
        <v>3</v>
      </c>
      <c r="CL5" s="62" t="str" cm="1">
        <f t="array" ref="CL5">IF(INDEX(AP:AP, (ROW()-ROW($AP$3))*3 + 3) &lt;&gt; "", "✔", "")</f>
        <v>✔</v>
      </c>
      <c r="CM5" s="61">
        <v>3</v>
      </c>
      <c r="CN5" s="62" t="str" cm="1">
        <f t="array" ref="CN5">IF(INDEX(BM:BM, (ROW()-ROW($BM$3))*3 + 3) &lt;&gt; "", "✔", "")</f>
        <v/>
      </c>
      <c r="CP5" s="231">
        <v>10</v>
      </c>
      <c r="CQ5" s="230">
        <f t="shared" si="1"/>
        <v>4.53592</v>
      </c>
    </row>
    <row r="6" spans="1:95" ht="15.75">
      <c r="A6" s="987" t="s">
        <v>399</v>
      </c>
      <c r="B6" s="990" t="s">
        <v>400</v>
      </c>
      <c r="C6" s="334" t="s">
        <v>89</v>
      </c>
      <c r="D6" s="334">
        <v>3</v>
      </c>
      <c r="E6" s="334" t="s">
        <v>384</v>
      </c>
      <c r="F6" s="334" t="s">
        <v>385</v>
      </c>
      <c r="G6" s="334" t="s">
        <v>380</v>
      </c>
      <c r="H6" s="334">
        <v>3</v>
      </c>
      <c r="I6" s="335" t="s">
        <v>386</v>
      </c>
      <c r="J6" s="993">
        <v>5</v>
      </c>
      <c r="K6" s="336">
        <v>1</v>
      </c>
      <c r="L6" s="337">
        <v>1</v>
      </c>
      <c r="M6" s="337">
        <v>3</v>
      </c>
      <c r="N6" s="337">
        <v>3.5</v>
      </c>
      <c r="O6" s="337">
        <f t="shared" si="0"/>
        <v>17.5</v>
      </c>
      <c r="P6" s="996">
        <f>SUM(O6:O8)</f>
        <v>43.75</v>
      </c>
      <c r="R6" s="876">
        <v>46024</v>
      </c>
      <c r="S6" s="859"/>
      <c r="T6" s="859"/>
      <c r="U6" s="859"/>
      <c r="V6" s="950"/>
      <c r="W6" s="951"/>
      <c r="X6" s="952"/>
      <c r="Y6" s="834"/>
      <c r="Z6" s="835"/>
      <c r="AA6" s="836"/>
      <c r="AB6" s="844"/>
      <c r="AC6" s="844"/>
      <c r="AD6" s="844"/>
      <c r="AE6" s="844"/>
      <c r="AF6" s="844"/>
      <c r="AG6" s="844"/>
      <c r="AH6" s="834"/>
      <c r="AI6" s="835"/>
      <c r="AJ6" s="836"/>
      <c r="AK6" s="232" t="s">
        <v>425</v>
      </c>
      <c r="AL6" s="823">
        <f>COUNTA(S6:AJ6)</f>
        <v>0</v>
      </c>
      <c r="AM6" s="855">
        <f>AM3</f>
        <v>76.900000000000006</v>
      </c>
      <c r="AN6" s="118"/>
      <c r="AO6" s="870">
        <v>46055</v>
      </c>
      <c r="AP6" s="848" t="s">
        <v>89</v>
      </c>
      <c r="AQ6" s="848"/>
      <c r="AR6" s="848"/>
      <c r="AS6" s="848" t="s">
        <v>380</v>
      </c>
      <c r="AT6" s="848"/>
      <c r="AU6" s="848"/>
      <c r="AV6" s="848" t="s">
        <v>115</v>
      </c>
      <c r="AW6" s="848"/>
      <c r="AX6" s="848"/>
      <c r="AY6" s="849" t="s">
        <v>114</v>
      </c>
      <c r="AZ6" s="849"/>
      <c r="BA6" s="849"/>
      <c r="BB6" s="848" t="s">
        <v>129</v>
      </c>
      <c r="BC6" s="848"/>
      <c r="BD6" s="848"/>
      <c r="BE6" s="834"/>
      <c r="BF6" s="835"/>
      <c r="BG6" s="836"/>
      <c r="BH6" s="232" t="s">
        <v>425</v>
      </c>
      <c r="BI6" s="823">
        <f>COUNTA(AP6:BG6)</f>
        <v>5</v>
      </c>
      <c r="BJ6" s="855">
        <v>77.7</v>
      </c>
      <c r="BK6" s="118"/>
      <c r="BL6" s="870">
        <v>46083</v>
      </c>
      <c r="BM6" s="848" t="s">
        <v>70</v>
      </c>
      <c r="BN6" s="848"/>
      <c r="BO6" s="848"/>
      <c r="BP6" s="859"/>
      <c r="BQ6" s="859"/>
      <c r="BR6" s="859"/>
      <c r="BS6" s="834"/>
      <c r="BT6" s="835"/>
      <c r="BU6" s="836"/>
      <c r="BV6" s="867"/>
      <c r="BW6" s="868"/>
      <c r="BX6" s="869"/>
      <c r="BY6" s="834"/>
      <c r="BZ6" s="835"/>
      <c r="CA6" s="836"/>
      <c r="CB6" s="834"/>
      <c r="CC6" s="835"/>
      <c r="CD6" s="836"/>
      <c r="CE6" s="232" t="s">
        <v>425</v>
      </c>
      <c r="CF6" s="823">
        <f>COUNTA(BM6:CD6)</f>
        <v>1</v>
      </c>
      <c r="CG6" s="855">
        <v>77.900000000000006</v>
      </c>
      <c r="CI6" s="61">
        <v>4</v>
      </c>
      <c r="CJ6" s="62" t="str" cm="1">
        <f t="array" ref="CJ6">IF(INDEX(S:S, (ROW()-ROW($S$3))*3 + 3) &lt;&gt; "", "✔", "")</f>
        <v/>
      </c>
      <c r="CK6" s="61">
        <v>4</v>
      </c>
      <c r="CL6" s="62" t="str" cm="1">
        <f t="array" ref="CL6">IF(INDEX(AP:AP, (ROW()-ROW($AP$3))*3 + 3) &lt;&gt; "", "✔", "")</f>
        <v>✔</v>
      </c>
      <c r="CM6" s="61">
        <v>4</v>
      </c>
      <c r="CN6" s="62" t="str" cm="1">
        <f t="array" ref="CN6">IF(INDEX(BM:BM, (ROW()-ROW($BM$3))*3 + 3) &lt;&gt; "", "✔", "")</f>
        <v/>
      </c>
      <c r="CP6" s="231">
        <v>15</v>
      </c>
      <c r="CQ6" s="230">
        <f t="shared" si="1"/>
        <v>6.8038799999999995</v>
      </c>
    </row>
    <row r="7" spans="1:95" ht="15.75">
      <c r="A7" s="988"/>
      <c r="B7" s="991"/>
      <c r="C7" s="277" t="s">
        <v>388</v>
      </c>
      <c r="D7" s="277">
        <v>3</v>
      </c>
      <c r="E7" s="277" t="s">
        <v>384</v>
      </c>
      <c r="F7" s="277" t="s">
        <v>387</v>
      </c>
      <c r="G7" s="277" t="s">
        <v>126</v>
      </c>
      <c r="H7" s="277">
        <v>3</v>
      </c>
      <c r="I7" s="338" t="s">
        <v>389</v>
      </c>
      <c r="J7" s="994"/>
      <c r="K7" s="339">
        <v>1</v>
      </c>
      <c r="L7" s="340">
        <v>1</v>
      </c>
      <c r="M7" s="340">
        <v>3</v>
      </c>
      <c r="N7" s="340">
        <v>3.5</v>
      </c>
      <c r="O7" s="340">
        <f t="shared" si="0"/>
        <v>17.5</v>
      </c>
      <c r="P7" s="997"/>
      <c r="R7" s="877"/>
      <c r="S7" s="107"/>
      <c r="T7" s="107"/>
      <c r="U7" s="108"/>
      <c r="V7" s="107"/>
      <c r="W7" s="107"/>
      <c r="X7" s="108"/>
      <c r="Y7" s="107"/>
      <c r="Z7" s="107"/>
      <c r="AA7" s="108"/>
      <c r="AB7" s="107"/>
      <c r="AC7" s="107"/>
      <c r="AD7" s="108"/>
      <c r="AE7" s="107"/>
      <c r="AF7" s="107"/>
      <c r="AG7" s="108"/>
      <c r="AH7" s="107"/>
      <c r="AI7" s="107"/>
      <c r="AJ7" s="108"/>
      <c r="AK7" s="957">
        <v>0</v>
      </c>
      <c r="AL7" s="823"/>
      <c r="AM7" s="855"/>
      <c r="AN7" s="118"/>
      <c r="AO7" s="871"/>
      <c r="AP7" s="231" t="s">
        <v>59</v>
      </c>
      <c r="AQ7" s="231" t="s">
        <v>73</v>
      </c>
      <c r="AR7" s="102" t="s">
        <v>4</v>
      </c>
      <c r="AS7" s="231" t="s">
        <v>59</v>
      </c>
      <c r="AT7" s="231" t="s">
        <v>73</v>
      </c>
      <c r="AU7" s="102" t="s">
        <v>4</v>
      </c>
      <c r="AV7" s="231" t="s">
        <v>59</v>
      </c>
      <c r="AW7" s="231" t="s">
        <v>73</v>
      </c>
      <c r="AX7" s="102" t="s">
        <v>4</v>
      </c>
      <c r="AY7" s="231" t="s">
        <v>59</v>
      </c>
      <c r="AZ7" s="231" t="s">
        <v>73</v>
      </c>
      <c r="BA7" s="102" t="s">
        <v>4</v>
      </c>
      <c r="BB7" s="231" t="s">
        <v>59</v>
      </c>
      <c r="BC7" s="231" t="s">
        <v>73</v>
      </c>
      <c r="BD7" s="102" t="s">
        <v>4</v>
      </c>
      <c r="BE7" s="107" t="s">
        <v>59</v>
      </c>
      <c r="BF7" s="107" t="s">
        <v>73</v>
      </c>
      <c r="BG7" s="108" t="s">
        <v>4</v>
      </c>
      <c r="BH7" s="957">
        <v>60</v>
      </c>
      <c r="BI7" s="823"/>
      <c r="BJ7" s="855"/>
      <c r="BK7" s="118"/>
      <c r="BL7" s="871"/>
      <c r="BM7" s="231" t="s">
        <v>59</v>
      </c>
      <c r="BN7" s="231" t="s">
        <v>73</v>
      </c>
      <c r="BO7" s="102" t="s">
        <v>4</v>
      </c>
      <c r="BP7" s="107" t="s">
        <v>59</v>
      </c>
      <c r="BQ7" s="107" t="s">
        <v>73</v>
      </c>
      <c r="BR7" s="108" t="s">
        <v>4</v>
      </c>
      <c r="BS7" s="107" t="s">
        <v>59</v>
      </c>
      <c r="BT7" s="107" t="s">
        <v>73</v>
      </c>
      <c r="BU7" s="108" t="s">
        <v>4</v>
      </c>
      <c r="BV7" s="107" t="s">
        <v>59</v>
      </c>
      <c r="BW7" s="107" t="s">
        <v>73</v>
      </c>
      <c r="BX7" s="108" t="s">
        <v>4</v>
      </c>
      <c r="BY7" s="107" t="s">
        <v>59</v>
      </c>
      <c r="BZ7" s="107" t="s">
        <v>73</v>
      </c>
      <c r="CA7" s="108" t="s">
        <v>4</v>
      </c>
      <c r="CB7" s="107" t="s">
        <v>59</v>
      </c>
      <c r="CC7" s="107" t="s">
        <v>73</v>
      </c>
      <c r="CD7" s="108" t="s">
        <v>4</v>
      </c>
      <c r="CE7" s="957">
        <v>47</v>
      </c>
      <c r="CF7" s="823"/>
      <c r="CG7" s="855"/>
      <c r="CI7" s="61">
        <v>5</v>
      </c>
      <c r="CJ7" s="62" t="str" cm="1">
        <f t="array" ref="CJ7">IF(INDEX(S:S, (ROW()-ROW($S$3))*3 + 3) &lt;&gt; "", "✔", "")</f>
        <v>✔</v>
      </c>
      <c r="CK7" s="61">
        <v>5</v>
      </c>
      <c r="CL7" s="62" t="str" cm="1">
        <f t="array" ref="CL7">IF(INDEX(AP:AP, (ROW()-ROW($AP$3))*3 + 3) &lt;&gt; "", "✔", "")</f>
        <v>✔</v>
      </c>
      <c r="CM7" s="61">
        <v>5</v>
      </c>
      <c r="CN7" s="62" t="str" cm="1">
        <f t="array" ref="CN7">IF(INDEX(BM:BM, (ROW()-ROW($BM$3))*3 + 3) &lt;&gt; "", "✔", "")</f>
        <v/>
      </c>
      <c r="CP7" s="231">
        <v>20</v>
      </c>
      <c r="CQ7" s="230">
        <f t="shared" si="1"/>
        <v>9.0718399999999999</v>
      </c>
    </row>
    <row r="8" spans="1:95" ht="16.5" thickBot="1">
      <c r="A8" s="989"/>
      <c r="B8" s="992"/>
      <c r="C8" s="341" t="s">
        <v>129</v>
      </c>
      <c r="D8" s="341">
        <v>3</v>
      </c>
      <c r="E8" s="341" t="s">
        <v>389</v>
      </c>
      <c r="F8" s="359"/>
      <c r="G8" s="359"/>
      <c r="H8" s="359"/>
      <c r="I8" s="360"/>
      <c r="J8" s="995"/>
      <c r="K8" s="343">
        <v>1</v>
      </c>
      <c r="L8" s="344">
        <v>0</v>
      </c>
      <c r="M8" s="344">
        <v>1.5</v>
      </c>
      <c r="N8" s="344">
        <v>3.5</v>
      </c>
      <c r="O8" s="344">
        <f t="shared" si="0"/>
        <v>8.75</v>
      </c>
      <c r="P8" s="998"/>
      <c r="R8" s="878"/>
      <c r="S8" s="233"/>
      <c r="T8" s="233"/>
      <c r="U8" s="233"/>
      <c r="V8" s="233"/>
      <c r="W8" s="233"/>
      <c r="X8" s="233"/>
      <c r="Y8" s="233"/>
      <c r="Z8" s="233"/>
      <c r="AA8" s="233"/>
      <c r="AB8" s="233"/>
      <c r="AC8" s="233"/>
      <c r="AD8" s="233"/>
      <c r="AE8" s="233"/>
      <c r="AF8" s="233"/>
      <c r="AG8" s="233"/>
      <c r="AH8" s="233"/>
      <c r="AI8" s="233"/>
      <c r="AJ8" s="233"/>
      <c r="AK8" s="949"/>
      <c r="AL8" s="229">
        <f>(S8*T8*U8)+(V8*W8*X8)+(Y8*Z8*AA8)+(AB8*AC8*AD8)+(AE8*AF8*AG8)+(AH8*AI8*AJ8)</f>
        <v>0</v>
      </c>
      <c r="AM8" s="855"/>
      <c r="AN8" s="118"/>
      <c r="AO8" s="872"/>
      <c r="AP8" s="229">
        <v>4</v>
      </c>
      <c r="AQ8" s="229">
        <f>((12*1)+(8*3))/4</f>
        <v>9</v>
      </c>
      <c r="AR8" s="229">
        <f>((36*1)+(68*3))/4</f>
        <v>60</v>
      </c>
      <c r="AS8" s="229">
        <v>4</v>
      </c>
      <c r="AT8" s="229">
        <f>((14*1)+(12*3))/4</f>
        <v>12.5</v>
      </c>
      <c r="AU8" s="229">
        <f>((18.1*1)+(34*3))/4</f>
        <v>30.024999999999999</v>
      </c>
      <c r="AV8" s="229">
        <v>4</v>
      </c>
      <c r="AW8" s="229">
        <f>((12*1)+(10*3))/4</f>
        <v>10.5</v>
      </c>
      <c r="AX8" s="229">
        <f>((11.3*1)+(24.9*3))/4</f>
        <v>21.499999999999996</v>
      </c>
      <c r="AY8" s="229">
        <v>4</v>
      </c>
      <c r="AZ8" s="229">
        <f>((12*1)+(8*3))/4</f>
        <v>9</v>
      </c>
      <c r="BA8" s="229">
        <f>((2.5*1)+(7.5*3))/4</f>
        <v>6.25</v>
      </c>
      <c r="BB8" s="229">
        <v>4</v>
      </c>
      <c r="BC8" s="126">
        <f>((12*1)+(10*3))/4</f>
        <v>10.5</v>
      </c>
      <c r="BD8" s="229">
        <f>((11.3*1)+(22.7*3))/4</f>
        <v>19.849999999999998</v>
      </c>
      <c r="BE8" s="233"/>
      <c r="BF8" s="233"/>
      <c r="BG8" s="233"/>
      <c r="BH8" s="949"/>
      <c r="BI8" s="229">
        <f>(AP8*AQ8*AR8)+(AS8*AT8*AU8)+(AV8*AW8*AX8)+(AY8*AZ8*BA8)+(BB8*BC8*BD8)+(BE8*BF8*BG8)</f>
        <v>5622.95</v>
      </c>
      <c r="BJ8" s="855"/>
      <c r="BK8" s="118"/>
      <c r="BL8" s="872"/>
      <c r="BM8" s="229">
        <v>1</v>
      </c>
      <c r="BN8" s="229">
        <v>45</v>
      </c>
      <c r="BO8" s="229">
        <f>CG6</f>
        <v>77.900000000000006</v>
      </c>
      <c r="BP8" s="233"/>
      <c r="BQ8" s="233"/>
      <c r="BR8" s="233"/>
      <c r="BS8" s="233"/>
      <c r="BT8" s="233"/>
      <c r="BU8" s="233"/>
      <c r="BV8" s="233"/>
      <c r="BW8" s="233"/>
      <c r="BX8" s="233"/>
      <c r="BY8" s="233"/>
      <c r="BZ8" s="233"/>
      <c r="CA8" s="233"/>
      <c r="CB8" s="233"/>
      <c r="CC8" s="233"/>
      <c r="CD8" s="233"/>
      <c r="CE8" s="949"/>
      <c r="CF8" s="229">
        <f>(BM8*BN8*BO8)+(BP8*BQ8*BR8)+(BS8*BT8*BU8)+(BV8*BW8*BX8)+(BY8*BZ8*CA8)+(CB8*CC8*CD8)</f>
        <v>3505.5000000000005</v>
      </c>
      <c r="CG8" s="855"/>
      <c r="CI8" s="61">
        <v>6</v>
      </c>
      <c r="CJ8" s="62" t="str" cm="1">
        <f t="array" ref="CJ8">IF(INDEX(S:S, (ROW()-ROW($S$3))*3 + 3) &lt;&gt; "", "✔", "")</f>
        <v>✔</v>
      </c>
      <c r="CK8" s="61">
        <v>6</v>
      </c>
      <c r="CL8" s="62" t="str" cm="1">
        <f t="array" ref="CL8">IF(INDEX(AP:AP, (ROW()-ROW($AP$3))*3 + 3) &lt;&gt; "", "✔", "")</f>
        <v>✔</v>
      </c>
      <c r="CM8" s="61">
        <v>6</v>
      </c>
      <c r="CN8" s="62" t="str" cm="1">
        <f t="array" ref="CN8">IF(INDEX(BM:BM, (ROW()-ROW($BM$3))*3 + 3) &lt;&gt; "", "✔", "")</f>
        <v/>
      </c>
      <c r="CP8" s="231">
        <v>25</v>
      </c>
      <c r="CQ8" s="230">
        <f t="shared" si="1"/>
        <v>11.3398</v>
      </c>
    </row>
    <row r="9" spans="1:95" ht="16.5" thickBot="1">
      <c r="A9" s="345" t="s">
        <v>410</v>
      </c>
      <c r="B9" s="346" t="s">
        <v>401</v>
      </c>
      <c r="C9" s="347" t="s">
        <v>396</v>
      </c>
      <c r="D9" s="347" t="s">
        <v>407</v>
      </c>
      <c r="E9" s="347" t="s">
        <v>397</v>
      </c>
      <c r="F9" s="352"/>
      <c r="G9" s="352"/>
      <c r="H9" s="352"/>
      <c r="I9" s="353"/>
      <c r="J9" s="348">
        <v>1</v>
      </c>
      <c r="K9" s="349">
        <v>40</v>
      </c>
      <c r="L9" s="350">
        <v>0</v>
      </c>
      <c r="M9" s="350">
        <v>0</v>
      </c>
      <c r="N9" s="350">
        <v>1</v>
      </c>
      <c r="O9" s="350">
        <f t="shared" si="0"/>
        <v>40</v>
      </c>
      <c r="P9" s="351">
        <f>SUM(O9)</f>
        <v>40</v>
      </c>
      <c r="R9" s="840">
        <v>46025</v>
      </c>
      <c r="S9" s="844"/>
      <c r="T9" s="844"/>
      <c r="U9" s="844"/>
      <c r="V9" s="859"/>
      <c r="W9" s="859"/>
      <c r="X9" s="859"/>
      <c r="Y9" s="834"/>
      <c r="Z9" s="835"/>
      <c r="AA9" s="836"/>
      <c r="AB9" s="867"/>
      <c r="AC9" s="868"/>
      <c r="AD9" s="869"/>
      <c r="AE9" s="834"/>
      <c r="AF9" s="835"/>
      <c r="AG9" s="836"/>
      <c r="AH9" s="834"/>
      <c r="AI9" s="835"/>
      <c r="AJ9" s="836"/>
      <c r="AK9" s="232" t="s">
        <v>425</v>
      </c>
      <c r="AL9" s="823">
        <f>COUNTA(S9:AJ9)</f>
        <v>0</v>
      </c>
      <c r="AM9" s="855">
        <f>AM6</f>
        <v>76.900000000000006</v>
      </c>
      <c r="AN9" s="118"/>
      <c r="AO9" s="856">
        <v>46056</v>
      </c>
      <c r="AP9" s="848" t="s">
        <v>70</v>
      </c>
      <c r="AQ9" s="848"/>
      <c r="AR9" s="848"/>
      <c r="AS9" s="859"/>
      <c r="AT9" s="859"/>
      <c r="AU9" s="859"/>
      <c r="AV9" s="834"/>
      <c r="AW9" s="835"/>
      <c r="AX9" s="836"/>
      <c r="AY9" s="867"/>
      <c r="AZ9" s="868"/>
      <c r="BA9" s="869"/>
      <c r="BB9" s="834"/>
      <c r="BC9" s="835"/>
      <c r="BD9" s="836"/>
      <c r="BE9" s="834"/>
      <c r="BF9" s="835"/>
      <c r="BG9" s="836"/>
      <c r="BH9" s="232" t="s">
        <v>425</v>
      </c>
      <c r="BI9" s="823">
        <f>COUNTA(AP9:BG9)</f>
        <v>1</v>
      </c>
      <c r="BJ9" s="855">
        <v>77.5</v>
      </c>
      <c r="BK9" s="118"/>
      <c r="BL9" s="856">
        <v>46084</v>
      </c>
      <c r="BM9" s="960"/>
      <c r="BN9" s="960"/>
      <c r="BO9" s="960"/>
      <c r="BP9" s="960"/>
      <c r="BQ9" s="960"/>
      <c r="BR9" s="960"/>
      <c r="BS9" s="960"/>
      <c r="BT9" s="960"/>
      <c r="BU9" s="960"/>
      <c r="BV9" s="960"/>
      <c r="BW9" s="960"/>
      <c r="BX9" s="960"/>
      <c r="BY9" s="961"/>
      <c r="BZ9" s="962"/>
      <c r="CA9" s="963"/>
      <c r="CB9" s="961"/>
      <c r="CC9" s="962"/>
      <c r="CD9" s="963"/>
      <c r="CE9" s="232" t="s">
        <v>425</v>
      </c>
      <c r="CF9" s="823">
        <f>COUNTA(BM9:CD9)</f>
        <v>0</v>
      </c>
      <c r="CG9" s="855"/>
      <c r="CI9" s="61">
        <v>7</v>
      </c>
      <c r="CJ9" s="62" t="str" cm="1">
        <f t="array" ref="CJ9">IF(INDEX(S:S, (ROW()-ROW($S$3))*3 + 3) &lt;&gt; "", "✔", "")</f>
        <v>✔</v>
      </c>
      <c r="CK9" s="61">
        <v>7</v>
      </c>
      <c r="CL9" s="62" t="str" cm="1">
        <f t="array" ref="CL9">IF(INDEX(AP:AP, (ROW()-ROW($AP$3))*3 + 3) &lt;&gt; "", "✔", "")</f>
        <v/>
      </c>
      <c r="CM9" s="61">
        <v>7</v>
      </c>
      <c r="CN9" s="62" t="str" cm="1">
        <f t="array" ref="CN9">IF(INDEX(BM:BM, (ROW()-ROW($BM$3))*3 + 3) &lt;&gt; "", "✔", "")</f>
        <v/>
      </c>
      <c r="CP9" s="231">
        <v>30</v>
      </c>
      <c r="CQ9" s="230">
        <f t="shared" si="1"/>
        <v>13.607759999999999</v>
      </c>
    </row>
    <row r="10" spans="1:95" ht="15.75">
      <c r="A10" s="987" t="s">
        <v>402</v>
      </c>
      <c r="B10" s="990" t="s">
        <v>403</v>
      </c>
      <c r="C10" s="334" t="s">
        <v>69</v>
      </c>
      <c r="D10" s="334">
        <v>3</v>
      </c>
      <c r="E10" s="334" t="s">
        <v>384</v>
      </c>
      <c r="F10" s="334" t="s">
        <v>385</v>
      </c>
      <c r="G10" s="334" t="s">
        <v>103</v>
      </c>
      <c r="H10" s="334">
        <v>3</v>
      </c>
      <c r="I10" s="335" t="s">
        <v>389</v>
      </c>
      <c r="J10" s="993">
        <v>4</v>
      </c>
      <c r="K10" s="336">
        <v>1</v>
      </c>
      <c r="L10" s="337">
        <v>1</v>
      </c>
      <c r="M10" s="337">
        <v>3</v>
      </c>
      <c r="N10" s="337">
        <v>3.5</v>
      </c>
      <c r="O10" s="337">
        <f t="shared" si="0"/>
        <v>17.5</v>
      </c>
      <c r="P10" s="996">
        <f>SUM(O10:O11)</f>
        <v>35</v>
      </c>
      <c r="R10" s="841"/>
      <c r="S10" s="107"/>
      <c r="T10" s="107"/>
      <c r="U10" s="108"/>
      <c r="V10" s="107"/>
      <c r="W10" s="107"/>
      <c r="X10" s="108"/>
      <c r="Y10" s="107"/>
      <c r="Z10" s="107"/>
      <c r="AA10" s="108"/>
      <c r="AB10" s="107"/>
      <c r="AC10" s="107"/>
      <c r="AD10" s="108"/>
      <c r="AE10" s="107"/>
      <c r="AF10" s="107"/>
      <c r="AG10" s="108"/>
      <c r="AH10" s="107"/>
      <c r="AI10" s="107"/>
      <c r="AJ10" s="108"/>
      <c r="AK10" s="957">
        <v>0</v>
      </c>
      <c r="AL10" s="823"/>
      <c r="AM10" s="855"/>
      <c r="AN10" s="118"/>
      <c r="AO10" s="857"/>
      <c r="AP10" s="231" t="s">
        <v>59</v>
      </c>
      <c r="AQ10" s="231" t="s">
        <v>73</v>
      </c>
      <c r="AR10" s="102" t="s">
        <v>4</v>
      </c>
      <c r="AS10" s="107" t="s">
        <v>59</v>
      </c>
      <c r="AT10" s="107" t="s">
        <v>73</v>
      </c>
      <c r="AU10" s="108" t="s">
        <v>4</v>
      </c>
      <c r="AV10" s="107" t="s">
        <v>59</v>
      </c>
      <c r="AW10" s="107" t="s">
        <v>73</v>
      </c>
      <c r="AX10" s="108" t="s">
        <v>4</v>
      </c>
      <c r="AY10" s="107" t="s">
        <v>59</v>
      </c>
      <c r="AZ10" s="107" t="s">
        <v>73</v>
      </c>
      <c r="BA10" s="108" t="s">
        <v>4</v>
      </c>
      <c r="BB10" s="107" t="s">
        <v>59</v>
      </c>
      <c r="BC10" s="107" t="s">
        <v>73</v>
      </c>
      <c r="BD10" s="108" t="s">
        <v>4</v>
      </c>
      <c r="BE10" s="107" t="s">
        <v>59</v>
      </c>
      <c r="BF10" s="107" t="s">
        <v>73</v>
      </c>
      <c r="BG10" s="108" t="s">
        <v>4</v>
      </c>
      <c r="BH10" s="957">
        <v>47</v>
      </c>
      <c r="BI10" s="823"/>
      <c r="BJ10" s="855"/>
      <c r="BK10" s="118"/>
      <c r="BL10" s="857"/>
      <c r="BM10" s="460" t="s">
        <v>59</v>
      </c>
      <c r="BN10" s="460" t="s">
        <v>73</v>
      </c>
      <c r="BO10" s="461" t="s">
        <v>4</v>
      </c>
      <c r="BP10" s="460" t="s">
        <v>59</v>
      </c>
      <c r="BQ10" s="460" t="s">
        <v>73</v>
      </c>
      <c r="BR10" s="461" t="s">
        <v>4</v>
      </c>
      <c r="BS10" s="460" t="s">
        <v>59</v>
      </c>
      <c r="BT10" s="460" t="s">
        <v>73</v>
      </c>
      <c r="BU10" s="461" t="s">
        <v>4</v>
      </c>
      <c r="BV10" s="460" t="s">
        <v>59</v>
      </c>
      <c r="BW10" s="460" t="s">
        <v>73</v>
      </c>
      <c r="BX10" s="461" t="s">
        <v>4</v>
      </c>
      <c r="BY10" s="460" t="s">
        <v>59</v>
      </c>
      <c r="BZ10" s="460" t="s">
        <v>73</v>
      </c>
      <c r="CA10" s="461" t="s">
        <v>4</v>
      </c>
      <c r="CB10" s="460" t="s">
        <v>59</v>
      </c>
      <c r="CC10" s="460" t="s">
        <v>73</v>
      </c>
      <c r="CD10" s="461" t="s">
        <v>4</v>
      </c>
      <c r="CE10" s="957"/>
      <c r="CF10" s="823"/>
      <c r="CG10" s="855"/>
      <c r="CI10" s="61">
        <v>8</v>
      </c>
      <c r="CJ10" s="62" t="str" cm="1">
        <f t="array" ref="CJ10">IF(INDEX(S:S, (ROW()-ROW($S$3))*3 + 3) &lt;&gt; "", "✔", "")</f>
        <v/>
      </c>
      <c r="CK10" s="61">
        <v>8</v>
      </c>
      <c r="CL10" s="62" t="str" cm="1">
        <f t="array" ref="CL10">IF(INDEX(AP:AP, (ROW()-ROW($AP$3))*3 + 3) &lt;&gt; "", "✔", "")</f>
        <v>✔</v>
      </c>
      <c r="CM10" s="61">
        <v>8</v>
      </c>
      <c r="CN10" s="62" t="str" cm="1">
        <f t="array" ref="CN10">IF(INDEX(BM:BM, (ROW()-ROW($BM$3))*3 + 3) &lt;&gt; "", "✔", "")</f>
        <v/>
      </c>
      <c r="CP10" s="231">
        <v>35</v>
      </c>
      <c r="CQ10" s="230">
        <f t="shared" si="1"/>
        <v>15.875719999999999</v>
      </c>
    </row>
    <row r="11" spans="1:95" ht="16.5" thickBot="1">
      <c r="A11" s="989"/>
      <c r="B11" s="992"/>
      <c r="C11" s="341" t="s">
        <v>99</v>
      </c>
      <c r="D11" s="341">
        <v>3</v>
      </c>
      <c r="E11" s="341" t="s">
        <v>389</v>
      </c>
      <c r="F11" s="341" t="s">
        <v>387</v>
      </c>
      <c r="G11" s="341" t="s">
        <v>411</v>
      </c>
      <c r="H11" s="341">
        <v>3</v>
      </c>
      <c r="I11" s="342" t="s">
        <v>390</v>
      </c>
      <c r="J11" s="995"/>
      <c r="K11" s="343">
        <v>1</v>
      </c>
      <c r="L11" s="344">
        <v>1</v>
      </c>
      <c r="M11" s="344">
        <v>3</v>
      </c>
      <c r="N11" s="344">
        <v>3.5</v>
      </c>
      <c r="O11" s="344">
        <f t="shared" si="0"/>
        <v>17.5</v>
      </c>
      <c r="P11" s="998"/>
      <c r="R11" s="842"/>
      <c r="S11" s="233"/>
      <c r="T11" s="233"/>
      <c r="U11" s="233"/>
      <c r="V11" s="233"/>
      <c r="W11" s="233"/>
      <c r="X11" s="233"/>
      <c r="Y11" s="233"/>
      <c r="Z11" s="233"/>
      <c r="AA11" s="233"/>
      <c r="AB11" s="233"/>
      <c r="AC11" s="233"/>
      <c r="AD11" s="233"/>
      <c r="AE11" s="233"/>
      <c r="AF11" s="233"/>
      <c r="AG11" s="233"/>
      <c r="AH11" s="233"/>
      <c r="AI11" s="233"/>
      <c r="AJ11" s="233"/>
      <c r="AK11" s="949"/>
      <c r="AL11" s="229">
        <f>(S11*T11*U11)+(V11*W11*X11)+(Y11*Z11*AA11)+(AB11*AC11*AD11)+(AE11*AF11*AG11)+(AH11*AI11*AJ11)</f>
        <v>0</v>
      </c>
      <c r="AM11" s="855"/>
      <c r="AN11" s="118"/>
      <c r="AO11" s="858"/>
      <c r="AP11" s="229">
        <v>1</v>
      </c>
      <c r="AQ11" s="229">
        <v>45</v>
      </c>
      <c r="AR11" s="229">
        <f>BJ9</f>
        <v>77.5</v>
      </c>
      <c r="AS11" s="233"/>
      <c r="AT11" s="233"/>
      <c r="AU11" s="233"/>
      <c r="AV11" s="233"/>
      <c r="AW11" s="233"/>
      <c r="AX11" s="233"/>
      <c r="AY11" s="233"/>
      <c r="AZ11" s="233"/>
      <c r="BA11" s="233"/>
      <c r="BB11" s="233"/>
      <c r="BC11" s="233"/>
      <c r="BD11" s="233"/>
      <c r="BE11" s="233"/>
      <c r="BF11" s="233"/>
      <c r="BG11" s="233"/>
      <c r="BH11" s="949"/>
      <c r="BI11" s="229">
        <f>(AP11*AQ11*AR11)+(AS11*AT11*AU11)+(AV11*AW11*AX11)+(AY11*AZ11*BA11)+(BB11*BC11*BD11)+(BE11*BF11*BG11)</f>
        <v>3487.5</v>
      </c>
      <c r="BJ11" s="855"/>
      <c r="BK11" s="118"/>
      <c r="BL11" s="858"/>
      <c r="BM11" s="462"/>
      <c r="BN11" s="462"/>
      <c r="BO11" s="462"/>
      <c r="BP11" s="462"/>
      <c r="BQ11" s="462"/>
      <c r="BR11" s="462"/>
      <c r="BS11" s="462"/>
      <c r="BT11" s="462"/>
      <c r="BU11" s="462"/>
      <c r="BV11" s="462"/>
      <c r="BW11" s="462"/>
      <c r="BX11" s="462"/>
      <c r="BY11" s="462"/>
      <c r="BZ11" s="462"/>
      <c r="CA11" s="462"/>
      <c r="CB11" s="462"/>
      <c r="CC11" s="462"/>
      <c r="CD11" s="463"/>
      <c r="CE11" s="949"/>
      <c r="CF11" s="229">
        <f>(BM11*BN11*BO11)+(BP11*BQ11*BR11)+(BS11*BT11*BU11)+(BV11*BW11*BX11)+(BY11*BZ11*CA11)+(CB11*CC11*CD11)</f>
        <v>0</v>
      </c>
      <c r="CG11" s="855"/>
      <c r="CI11" s="61">
        <v>9</v>
      </c>
      <c r="CJ11" s="62" t="str" cm="1">
        <f t="array" ref="CJ11">IF(INDEX(S:S, (ROW()-ROW($S$3))*3 + 3) &lt;&gt; "", "✔", "")</f>
        <v>✔</v>
      </c>
      <c r="CK11" s="61">
        <v>9</v>
      </c>
      <c r="CL11" s="62" t="str" cm="1">
        <f t="array" ref="CL11">IF(INDEX(AP:AP, (ROW()-ROW($AP$3))*3 + 3) &lt;&gt; "", "✔", "")</f>
        <v>✔</v>
      </c>
      <c r="CM11" s="61">
        <v>9</v>
      </c>
      <c r="CN11" s="62" t="str" cm="1">
        <f t="array" ref="CN11">IF(INDEX(BM:BM, (ROW()-ROW($BM$3))*3 + 3) &lt;&gt; "", "✔", "")</f>
        <v/>
      </c>
      <c r="CP11" s="231">
        <v>40</v>
      </c>
      <c r="CQ11" s="230">
        <f t="shared" si="1"/>
        <v>18.14368</v>
      </c>
    </row>
    <row r="12" spans="1:95" ht="15.75">
      <c r="A12" s="987" t="s">
        <v>412</v>
      </c>
      <c r="B12" s="990" t="s">
        <v>404</v>
      </c>
      <c r="C12" s="334" t="s">
        <v>72</v>
      </c>
      <c r="D12" s="334">
        <v>3</v>
      </c>
      <c r="E12" s="334" t="s">
        <v>384</v>
      </c>
      <c r="F12" s="334" t="s">
        <v>385</v>
      </c>
      <c r="G12" s="334" t="s">
        <v>146</v>
      </c>
      <c r="H12" s="334">
        <v>3</v>
      </c>
      <c r="I12" s="335" t="s">
        <v>386</v>
      </c>
      <c r="J12" s="993">
        <v>5</v>
      </c>
      <c r="K12" s="336">
        <v>1</v>
      </c>
      <c r="L12" s="337">
        <v>1</v>
      </c>
      <c r="M12" s="337">
        <v>3</v>
      </c>
      <c r="N12" s="337">
        <v>3.5</v>
      </c>
      <c r="O12" s="337">
        <f t="shared" si="0"/>
        <v>17.5</v>
      </c>
      <c r="P12" s="996">
        <f>SUM(O12:O14)</f>
        <v>49</v>
      </c>
      <c r="R12" s="864">
        <v>46026</v>
      </c>
      <c r="S12" s="844"/>
      <c r="T12" s="844"/>
      <c r="U12" s="844"/>
      <c r="V12" s="859"/>
      <c r="W12" s="859"/>
      <c r="X12" s="859"/>
      <c r="Y12" s="834"/>
      <c r="Z12" s="835"/>
      <c r="AA12" s="836"/>
      <c r="AB12" s="867"/>
      <c r="AC12" s="868"/>
      <c r="AD12" s="869"/>
      <c r="AE12" s="834"/>
      <c r="AF12" s="835"/>
      <c r="AG12" s="836"/>
      <c r="AH12" s="834"/>
      <c r="AI12" s="835"/>
      <c r="AJ12" s="836"/>
      <c r="AK12" s="232" t="s">
        <v>425</v>
      </c>
      <c r="AL12" s="823">
        <f>COUNTA(S12:AJ12)</f>
        <v>0</v>
      </c>
      <c r="AM12" s="855">
        <f>AM9</f>
        <v>76.900000000000006</v>
      </c>
      <c r="AN12" s="118"/>
      <c r="AO12" s="845">
        <v>46057</v>
      </c>
      <c r="AP12" s="849" t="s">
        <v>156</v>
      </c>
      <c r="AQ12" s="849"/>
      <c r="AR12" s="849"/>
      <c r="AS12" s="848" t="s">
        <v>103</v>
      </c>
      <c r="AT12" s="848"/>
      <c r="AU12" s="848"/>
      <c r="AV12" s="848" t="s">
        <v>68</v>
      </c>
      <c r="AW12" s="848"/>
      <c r="AX12" s="848"/>
      <c r="AY12" s="848" t="s">
        <v>417</v>
      </c>
      <c r="AZ12" s="848"/>
      <c r="BA12" s="848"/>
      <c r="BB12" s="834"/>
      <c r="BC12" s="835"/>
      <c r="BD12" s="836"/>
      <c r="BE12" s="834"/>
      <c r="BF12" s="835"/>
      <c r="BG12" s="836"/>
      <c r="BH12" s="232" t="s">
        <v>425</v>
      </c>
      <c r="BI12" s="823">
        <f>COUNTA(AP12:BG12)</f>
        <v>4</v>
      </c>
      <c r="BJ12" s="855">
        <v>78.7</v>
      </c>
      <c r="BK12" s="118"/>
      <c r="BL12" s="845">
        <v>46085</v>
      </c>
      <c r="BM12" s="960"/>
      <c r="BN12" s="960"/>
      <c r="BO12" s="960"/>
      <c r="BP12" s="960"/>
      <c r="BQ12" s="960"/>
      <c r="BR12" s="960"/>
      <c r="BS12" s="960"/>
      <c r="BT12" s="960"/>
      <c r="BU12" s="960"/>
      <c r="BV12" s="960"/>
      <c r="BW12" s="960"/>
      <c r="BX12" s="960"/>
      <c r="BY12" s="961"/>
      <c r="BZ12" s="962"/>
      <c r="CA12" s="963"/>
      <c r="CB12" s="961"/>
      <c r="CC12" s="962"/>
      <c r="CD12" s="963"/>
      <c r="CE12" s="232" t="s">
        <v>425</v>
      </c>
      <c r="CF12" s="823">
        <f>COUNTA(BM12:CD12)</f>
        <v>0</v>
      </c>
      <c r="CG12" s="855"/>
      <c r="CI12" s="61">
        <v>10</v>
      </c>
      <c r="CJ12" s="62" t="str" cm="1">
        <f t="array" ref="CJ12">IF(INDEX(S:S, (ROW()-ROW($S$3))*3 + 3) &lt;&gt; "", "✔", "")</f>
        <v/>
      </c>
      <c r="CK12" s="61">
        <v>10</v>
      </c>
      <c r="CL12" s="62" t="str" cm="1">
        <f t="array" ref="CL12">IF(INDEX(AP:AP, (ROW()-ROW($AP$3))*3 + 3) &lt;&gt; "", "✔", "")</f>
        <v>✔</v>
      </c>
      <c r="CM12" s="61">
        <v>10</v>
      </c>
      <c r="CN12" s="62" t="str" cm="1">
        <f t="array" ref="CN12">IF(INDEX(BM:BM, (ROW()-ROW($BM$3))*3 + 3) &lt;&gt; "", "✔", "")</f>
        <v/>
      </c>
      <c r="CP12" s="231">
        <v>45</v>
      </c>
      <c r="CQ12" s="230">
        <f t="shared" si="1"/>
        <v>20.411639999999998</v>
      </c>
    </row>
    <row r="13" spans="1:95" ht="15.75">
      <c r="A13" s="988"/>
      <c r="B13" s="991"/>
      <c r="C13" s="277" t="s">
        <v>91</v>
      </c>
      <c r="D13" s="277">
        <v>3</v>
      </c>
      <c r="E13" s="277" t="s">
        <v>386</v>
      </c>
      <c r="F13" s="277" t="s">
        <v>387</v>
      </c>
      <c r="G13" s="277" t="s">
        <v>118</v>
      </c>
      <c r="H13" s="277">
        <v>3</v>
      </c>
      <c r="I13" s="338" t="s">
        <v>389</v>
      </c>
      <c r="J13" s="994"/>
      <c r="K13" s="339">
        <v>1</v>
      </c>
      <c r="L13" s="340">
        <v>1</v>
      </c>
      <c r="M13" s="340">
        <v>3</v>
      </c>
      <c r="N13" s="340">
        <v>3.5</v>
      </c>
      <c r="O13" s="340">
        <f t="shared" si="0"/>
        <v>17.5</v>
      </c>
      <c r="P13" s="997"/>
      <c r="R13" s="865"/>
      <c r="S13" s="107"/>
      <c r="T13" s="107"/>
      <c r="U13" s="108"/>
      <c r="V13" s="107"/>
      <c r="W13" s="107"/>
      <c r="X13" s="108"/>
      <c r="Y13" s="107"/>
      <c r="Z13" s="107"/>
      <c r="AA13" s="108"/>
      <c r="AB13" s="107"/>
      <c r="AC13" s="107"/>
      <c r="AD13" s="108"/>
      <c r="AE13" s="107"/>
      <c r="AF13" s="107"/>
      <c r="AG13" s="108"/>
      <c r="AH13" s="107"/>
      <c r="AI13" s="107"/>
      <c r="AJ13" s="108"/>
      <c r="AK13" s="957">
        <v>0</v>
      </c>
      <c r="AL13" s="823"/>
      <c r="AM13" s="855"/>
      <c r="AN13" s="118"/>
      <c r="AO13" s="846"/>
      <c r="AP13" s="231" t="s">
        <v>59</v>
      </c>
      <c r="AQ13" s="231" t="s">
        <v>73</v>
      </c>
      <c r="AR13" s="102" t="s">
        <v>4</v>
      </c>
      <c r="AS13" s="231" t="s">
        <v>59</v>
      </c>
      <c r="AT13" s="231" t="s">
        <v>73</v>
      </c>
      <c r="AU13" s="102" t="s">
        <v>4</v>
      </c>
      <c r="AV13" s="231" t="s">
        <v>59</v>
      </c>
      <c r="AW13" s="231" t="s">
        <v>73</v>
      </c>
      <c r="AX13" s="102" t="s">
        <v>4</v>
      </c>
      <c r="AY13" s="231" t="s">
        <v>59</v>
      </c>
      <c r="AZ13" s="231" t="s">
        <v>73</v>
      </c>
      <c r="BA13" s="102" t="s">
        <v>4</v>
      </c>
      <c r="BB13" s="107" t="s">
        <v>59</v>
      </c>
      <c r="BC13" s="107" t="s">
        <v>73</v>
      </c>
      <c r="BD13" s="108" t="s">
        <v>4</v>
      </c>
      <c r="BE13" s="107" t="s">
        <v>59</v>
      </c>
      <c r="BF13" s="107" t="s">
        <v>73</v>
      </c>
      <c r="BG13" s="108" t="s">
        <v>4</v>
      </c>
      <c r="BH13" s="957">
        <v>62</v>
      </c>
      <c r="BI13" s="823"/>
      <c r="BJ13" s="855"/>
      <c r="BK13" s="118"/>
      <c r="BL13" s="846"/>
      <c r="BM13" s="460" t="s">
        <v>59</v>
      </c>
      <c r="BN13" s="460" t="s">
        <v>73</v>
      </c>
      <c r="BO13" s="461" t="s">
        <v>4</v>
      </c>
      <c r="BP13" s="460" t="s">
        <v>59</v>
      </c>
      <c r="BQ13" s="460" t="s">
        <v>73</v>
      </c>
      <c r="BR13" s="461" t="s">
        <v>4</v>
      </c>
      <c r="BS13" s="460" t="s">
        <v>59</v>
      </c>
      <c r="BT13" s="460" t="s">
        <v>73</v>
      </c>
      <c r="BU13" s="461" t="s">
        <v>4</v>
      </c>
      <c r="BV13" s="460" t="s">
        <v>59</v>
      </c>
      <c r="BW13" s="460" t="s">
        <v>73</v>
      </c>
      <c r="BX13" s="461" t="s">
        <v>4</v>
      </c>
      <c r="BY13" s="460" t="s">
        <v>59</v>
      </c>
      <c r="BZ13" s="460" t="s">
        <v>73</v>
      </c>
      <c r="CA13" s="461" t="s">
        <v>4</v>
      </c>
      <c r="CB13" s="460" t="s">
        <v>59</v>
      </c>
      <c r="CC13" s="460" t="s">
        <v>73</v>
      </c>
      <c r="CD13" s="461" t="s">
        <v>4</v>
      </c>
      <c r="CE13" s="957"/>
      <c r="CF13" s="823"/>
      <c r="CG13" s="855"/>
      <c r="CI13" s="61">
        <v>11</v>
      </c>
      <c r="CJ13" s="62" t="str" cm="1">
        <f t="array" ref="CJ13">IF(INDEX(S:S, (ROW()-ROW($S$3))*3 + 3) &lt;&gt; "", "✔", "")</f>
        <v>✔</v>
      </c>
      <c r="CK13" s="61">
        <v>11</v>
      </c>
      <c r="CL13" s="62" t="str" cm="1">
        <f t="array" ref="CL13">IF(INDEX(AP:AP, (ROW()-ROW($AP$3))*3 + 3) &lt;&gt; "", "✔", "")</f>
        <v>✔</v>
      </c>
      <c r="CM13" s="61">
        <v>11</v>
      </c>
      <c r="CN13" s="62" t="str" cm="1">
        <f t="array" ref="CN13">IF(INDEX(BM:BM, (ROW()-ROW($BM$3))*3 + 3) &lt;&gt; "", "✔", "")</f>
        <v/>
      </c>
      <c r="CP13" s="231">
        <v>50</v>
      </c>
      <c r="CQ13" s="230">
        <f t="shared" si="1"/>
        <v>22.679600000000001</v>
      </c>
    </row>
    <row r="14" spans="1:95" ht="16.5" thickBot="1">
      <c r="A14" s="989"/>
      <c r="B14" s="992"/>
      <c r="C14" s="341" t="s">
        <v>78</v>
      </c>
      <c r="D14" s="341">
        <v>3</v>
      </c>
      <c r="E14" s="341" t="s">
        <v>384</v>
      </c>
      <c r="F14" s="359"/>
      <c r="G14" s="359"/>
      <c r="H14" s="359"/>
      <c r="I14" s="360"/>
      <c r="J14" s="995"/>
      <c r="K14" s="343">
        <v>1</v>
      </c>
      <c r="L14" s="344">
        <v>0</v>
      </c>
      <c r="M14" s="344">
        <v>3</v>
      </c>
      <c r="N14" s="344">
        <v>3.5</v>
      </c>
      <c r="O14" s="344">
        <f t="shared" si="0"/>
        <v>14</v>
      </c>
      <c r="P14" s="998"/>
      <c r="R14" s="866"/>
      <c r="S14" s="233"/>
      <c r="T14" s="233"/>
      <c r="U14" s="233"/>
      <c r="V14" s="233"/>
      <c r="W14" s="233"/>
      <c r="X14" s="233"/>
      <c r="Y14" s="233"/>
      <c r="Z14" s="233"/>
      <c r="AA14" s="233"/>
      <c r="AB14" s="233"/>
      <c r="AC14" s="233"/>
      <c r="AD14" s="233"/>
      <c r="AE14" s="233"/>
      <c r="AF14" s="233"/>
      <c r="AG14" s="233"/>
      <c r="AH14" s="233"/>
      <c r="AI14" s="233"/>
      <c r="AJ14" s="233"/>
      <c r="AK14" s="949"/>
      <c r="AL14" s="229">
        <f>(S14*T14*U14)+(V14*W14*X14)+(Y14*Z14*AA14)+(AB14*AC14*AD14)+(AE14*AF14*AG14)+(AH14*AI14*AJ14)</f>
        <v>0</v>
      </c>
      <c r="AM14" s="855"/>
      <c r="AN14" s="118"/>
      <c r="AO14" s="847"/>
      <c r="AP14" s="229">
        <v>4</v>
      </c>
      <c r="AQ14" s="229">
        <f>((12*1)+(8*3))/4</f>
        <v>9</v>
      </c>
      <c r="AR14" s="229">
        <f>((8.5*1)+(16*3))/4</f>
        <v>14.125</v>
      </c>
      <c r="AS14" s="229">
        <v>4</v>
      </c>
      <c r="AT14" s="229">
        <f>((12*2)+(10*2))/4</f>
        <v>11</v>
      </c>
      <c r="AU14" s="126">
        <f>((15*1)+(35*2)+(40*1))/4</f>
        <v>31.25</v>
      </c>
      <c r="AV14" s="229">
        <v>4</v>
      </c>
      <c r="AW14" s="229">
        <f>((12*1)+(8*3))/4</f>
        <v>9</v>
      </c>
      <c r="AX14" s="229">
        <f>((32*1)+(63*3))/4</f>
        <v>55.25</v>
      </c>
      <c r="AY14" s="229">
        <v>4</v>
      </c>
      <c r="AZ14" s="229">
        <f>((10*1)+(20*3))/4</f>
        <v>17.5</v>
      </c>
      <c r="BA14" s="229">
        <f>(1/3)*BJ12</f>
        <v>26.233333333333334</v>
      </c>
      <c r="BB14" s="233"/>
      <c r="BC14" s="233"/>
      <c r="BD14" s="233"/>
      <c r="BE14" s="233"/>
      <c r="BF14" s="233"/>
      <c r="BG14" s="233"/>
      <c r="BH14" s="949"/>
      <c r="BI14" s="229">
        <f>(AP14*AQ14*AR14)+(AS14*AT14*AU14)+(AV14*AW14*AX14)+(AY14*AZ14*BA14)+(BB14*BC14*BD14)+(BE14*BF14*BG14)</f>
        <v>5708.8333333333339</v>
      </c>
      <c r="BJ14" s="855"/>
      <c r="BK14" s="118"/>
      <c r="BL14" s="847"/>
      <c r="BM14" s="462"/>
      <c r="BN14" s="462"/>
      <c r="BO14" s="462"/>
      <c r="BP14" s="462"/>
      <c r="BQ14" s="462"/>
      <c r="BR14" s="462"/>
      <c r="BS14" s="462"/>
      <c r="BT14" s="462"/>
      <c r="BU14" s="462"/>
      <c r="BV14" s="462"/>
      <c r="BW14" s="462"/>
      <c r="BX14" s="462"/>
      <c r="BY14" s="462"/>
      <c r="BZ14" s="462"/>
      <c r="CA14" s="462"/>
      <c r="CB14" s="462"/>
      <c r="CC14" s="462"/>
      <c r="CD14" s="463"/>
      <c r="CE14" s="949"/>
      <c r="CF14" s="229">
        <f>(BM14*BN14*BO14)+(BP14*BQ14*BR14)+(BS14*BT14*BU14)+(BV14*BW14*BX14)+(BY14*BZ14*CA14)+(CB14*CC14*CD14)</f>
        <v>0</v>
      </c>
      <c r="CG14" s="855"/>
      <c r="CI14" s="61">
        <v>12</v>
      </c>
      <c r="CJ14" s="62" t="str" cm="1">
        <f t="array" ref="CJ14">IF(INDEX(S:S, (ROW()-ROW($S$3))*3 + 3) &lt;&gt; "", "✔", "")</f>
        <v>✔</v>
      </c>
      <c r="CK14" s="61">
        <v>12</v>
      </c>
      <c r="CL14" s="62" t="str" cm="1">
        <f t="array" ref="CL14">IF(INDEX(AP:AP, (ROW()-ROW($AP$3))*3 + 3) &lt;&gt; "", "✔", "")</f>
        <v>✔</v>
      </c>
      <c r="CM14" s="61">
        <v>12</v>
      </c>
      <c r="CN14" s="62" t="str" cm="1">
        <f t="array" ref="CN14">IF(INDEX(BM:BM, (ROW()-ROW($BM$3))*3 + 3) &lt;&gt; "", "✔", "")</f>
        <v/>
      </c>
      <c r="CP14" s="231">
        <v>55</v>
      </c>
      <c r="CQ14" s="230">
        <f t="shared" si="1"/>
        <v>24.947559999999999</v>
      </c>
    </row>
    <row r="15" spans="1:95" ht="15.75">
      <c r="A15" s="987" t="s">
        <v>413</v>
      </c>
      <c r="B15" s="990" t="s">
        <v>398</v>
      </c>
      <c r="C15" s="334" t="s">
        <v>67</v>
      </c>
      <c r="D15" s="334">
        <v>3</v>
      </c>
      <c r="E15" s="334" t="s">
        <v>386</v>
      </c>
      <c r="F15" s="334" t="s">
        <v>385</v>
      </c>
      <c r="G15" s="334" t="s">
        <v>380</v>
      </c>
      <c r="H15" s="334">
        <v>3</v>
      </c>
      <c r="I15" s="335" t="s">
        <v>389</v>
      </c>
      <c r="J15" s="993">
        <v>4</v>
      </c>
      <c r="K15" s="336">
        <v>1</v>
      </c>
      <c r="L15" s="337">
        <v>1</v>
      </c>
      <c r="M15" s="337">
        <v>3</v>
      </c>
      <c r="N15" s="337">
        <v>3.5</v>
      </c>
      <c r="O15" s="337">
        <f t="shared" si="0"/>
        <v>17.5</v>
      </c>
      <c r="P15" s="996">
        <f>SUM(O15:O16)</f>
        <v>35</v>
      </c>
      <c r="R15" s="870">
        <v>46027</v>
      </c>
      <c r="S15" s="879" t="s">
        <v>78</v>
      </c>
      <c r="T15" s="880"/>
      <c r="U15" s="881"/>
      <c r="V15" s="882" t="s">
        <v>85</v>
      </c>
      <c r="W15" s="883"/>
      <c r="X15" s="884"/>
      <c r="Y15" s="882" t="s">
        <v>123</v>
      </c>
      <c r="Z15" s="883"/>
      <c r="AA15" s="884"/>
      <c r="AB15" s="890" t="s">
        <v>150</v>
      </c>
      <c r="AC15" s="890"/>
      <c r="AD15" s="890"/>
      <c r="AE15" s="844"/>
      <c r="AF15" s="844"/>
      <c r="AG15" s="844"/>
      <c r="AH15" s="834"/>
      <c r="AI15" s="835"/>
      <c r="AJ15" s="836"/>
      <c r="AK15" s="232" t="s">
        <v>425</v>
      </c>
      <c r="AL15" s="823">
        <f>COUNTA(S15:AJ15)</f>
        <v>4</v>
      </c>
      <c r="AM15" s="824">
        <v>77.400000000000006</v>
      </c>
      <c r="AN15" s="118"/>
      <c r="AO15" s="873">
        <v>46058</v>
      </c>
      <c r="AP15" s="973" t="s">
        <v>72</v>
      </c>
      <c r="AQ15" s="973"/>
      <c r="AR15" s="973"/>
      <c r="AS15" s="977" t="s">
        <v>102</v>
      </c>
      <c r="AT15" s="977"/>
      <c r="AU15" s="977"/>
      <c r="AV15" s="977" t="s">
        <v>424</v>
      </c>
      <c r="AW15" s="977"/>
      <c r="AX15" s="977"/>
      <c r="AY15" s="977" t="s">
        <v>380</v>
      </c>
      <c r="AZ15" s="977"/>
      <c r="BA15" s="977"/>
      <c r="BB15" s="978" t="s">
        <v>78</v>
      </c>
      <c r="BC15" s="979"/>
      <c r="BD15" s="980"/>
      <c r="BE15" s="834"/>
      <c r="BF15" s="835"/>
      <c r="BG15" s="836"/>
      <c r="BH15" s="232" t="s">
        <v>425</v>
      </c>
      <c r="BI15" s="823">
        <f>COUNTA(AP15:BG15)</f>
        <v>5</v>
      </c>
      <c r="BJ15" s="824">
        <v>78.8</v>
      </c>
      <c r="BK15" s="118"/>
      <c r="BL15" s="873">
        <v>46086</v>
      </c>
      <c r="BM15" s="960"/>
      <c r="BN15" s="960"/>
      <c r="BO15" s="960"/>
      <c r="BP15" s="960"/>
      <c r="BQ15" s="960"/>
      <c r="BR15" s="960"/>
      <c r="BS15" s="960"/>
      <c r="BT15" s="960"/>
      <c r="BU15" s="960"/>
      <c r="BV15" s="960"/>
      <c r="BW15" s="960"/>
      <c r="BX15" s="960"/>
      <c r="BY15" s="961"/>
      <c r="BZ15" s="962"/>
      <c r="CA15" s="963"/>
      <c r="CB15" s="961"/>
      <c r="CC15" s="962"/>
      <c r="CD15" s="963"/>
      <c r="CE15" s="232" t="s">
        <v>425</v>
      </c>
      <c r="CF15" s="823">
        <f>COUNTA(BM15:CD15)</f>
        <v>0</v>
      </c>
      <c r="CG15" s="824"/>
      <c r="CI15" s="61">
        <v>13</v>
      </c>
      <c r="CJ15" s="62" t="str" cm="1">
        <f t="array" ref="CJ15">IF(INDEX(S:S, (ROW()-ROW($S$3))*3 + 3) &lt;&gt; "", "✔", "")</f>
        <v/>
      </c>
      <c r="CK15" s="61">
        <v>13</v>
      </c>
      <c r="CL15" s="62" t="str" cm="1">
        <f t="array" ref="CL15">IF(INDEX(AP:AP, (ROW()-ROW($AP$3))*3 + 3) &lt;&gt; "", "✔", "")</f>
        <v>✔</v>
      </c>
      <c r="CM15" s="61">
        <v>13</v>
      </c>
      <c r="CN15" s="62" t="str" cm="1">
        <f t="array" ref="CN15">IF(INDEX(BM:BM, (ROW()-ROW($BM$3))*3 + 3) &lt;&gt; "", "✔", "")</f>
        <v/>
      </c>
      <c r="CP15" s="231">
        <v>60</v>
      </c>
      <c r="CQ15" s="230">
        <f t="shared" si="1"/>
        <v>27.215519999999998</v>
      </c>
    </row>
    <row r="16" spans="1:95" ht="16.5" thickBot="1">
      <c r="A16" s="989"/>
      <c r="B16" s="992"/>
      <c r="C16" s="341" t="s">
        <v>99</v>
      </c>
      <c r="D16" s="341">
        <v>3</v>
      </c>
      <c r="E16" s="341" t="s">
        <v>390</v>
      </c>
      <c r="F16" s="341" t="s">
        <v>387</v>
      </c>
      <c r="G16" s="341" t="s">
        <v>391</v>
      </c>
      <c r="H16" s="341">
        <v>3</v>
      </c>
      <c r="I16" s="342" t="s">
        <v>392</v>
      </c>
      <c r="J16" s="995"/>
      <c r="K16" s="343">
        <v>1</v>
      </c>
      <c r="L16" s="344">
        <v>1</v>
      </c>
      <c r="M16" s="344">
        <v>3</v>
      </c>
      <c r="N16" s="344">
        <v>3.5</v>
      </c>
      <c r="O16" s="344">
        <f t="shared" si="0"/>
        <v>17.5</v>
      </c>
      <c r="P16" s="998"/>
      <c r="R16" s="871"/>
      <c r="S16" s="231" t="s">
        <v>59</v>
      </c>
      <c r="T16" s="231" t="s">
        <v>73</v>
      </c>
      <c r="U16" s="102" t="s">
        <v>4</v>
      </c>
      <c r="V16" s="231" t="s">
        <v>59</v>
      </c>
      <c r="W16" s="231" t="s">
        <v>73</v>
      </c>
      <c r="X16" s="102" t="s">
        <v>4</v>
      </c>
      <c r="Y16" s="231" t="s">
        <v>59</v>
      </c>
      <c r="Z16" s="231" t="s">
        <v>73</v>
      </c>
      <c r="AA16" s="102" t="s">
        <v>4</v>
      </c>
      <c r="AB16" s="231" t="s">
        <v>59</v>
      </c>
      <c r="AC16" s="231" t="s">
        <v>73</v>
      </c>
      <c r="AD16" s="102" t="s">
        <v>4</v>
      </c>
      <c r="AE16" s="107"/>
      <c r="AF16" s="107"/>
      <c r="AG16" s="108"/>
      <c r="AH16" s="107"/>
      <c r="AI16" s="107"/>
      <c r="AJ16" s="108"/>
      <c r="AK16" s="957">
        <v>40</v>
      </c>
      <c r="AL16" s="823"/>
      <c r="AM16" s="825"/>
      <c r="AN16" s="118"/>
      <c r="AO16" s="874"/>
      <c r="AP16" s="303" t="s">
        <v>59</v>
      </c>
      <c r="AQ16" s="303" t="s">
        <v>73</v>
      </c>
      <c r="AR16" s="304" t="s">
        <v>4</v>
      </c>
      <c r="AS16" s="303" t="s">
        <v>59</v>
      </c>
      <c r="AT16" s="303" t="s">
        <v>73</v>
      </c>
      <c r="AU16" s="304" t="s">
        <v>4</v>
      </c>
      <c r="AV16" s="303" t="s">
        <v>59</v>
      </c>
      <c r="AW16" s="303" t="s">
        <v>73</v>
      </c>
      <c r="AX16" s="304" t="s">
        <v>4</v>
      </c>
      <c r="AY16" s="303" t="s">
        <v>59</v>
      </c>
      <c r="AZ16" s="303" t="s">
        <v>73</v>
      </c>
      <c r="BA16" s="304" t="s">
        <v>4</v>
      </c>
      <c r="BB16" s="303" t="s">
        <v>59</v>
      </c>
      <c r="BC16" s="303" t="s">
        <v>73</v>
      </c>
      <c r="BD16" s="304" t="s">
        <v>4</v>
      </c>
      <c r="BE16" s="107" t="s">
        <v>59</v>
      </c>
      <c r="BF16" s="107" t="s">
        <v>73</v>
      </c>
      <c r="BG16" s="108" t="s">
        <v>4</v>
      </c>
      <c r="BH16" s="957">
        <v>56</v>
      </c>
      <c r="BI16" s="823"/>
      <c r="BJ16" s="825"/>
      <c r="BK16" s="118"/>
      <c r="BL16" s="874"/>
      <c r="BM16" s="460" t="s">
        <v>59</v>
      </c>
      <c r="BN16" s="460" t="s">
        <v>73</v>
      </c>
      <c r="BO16" s="461" t="s">
        <v>4</v>
      </c>
      <c r="BP16" s="460" t="s">
        <v>59</v>
      </c>
      <c r="BQ16" s="460" t="s">
        <v>73</v>
      </c>
      <c r="BR16" s="461" t="s">
        <v>4</v>
      </c>
      <c r="BS16" s="460" t="s">
        <v>59</v>
      </c>
      <c r="BT16" s="460" t="s">
        <v>73</v>
      </c>
      <c r="BU16" s="461" t="s">
        <v>4</v>
      </c>
      <c r="BV16" s="460" t="s">
        <v>59</v>
      </c>
      <c r="BW16" s="460" t="s">
        <v>73</v>
      </c>
      <c r="BX16" s="461" t="s">
        <v>4</v>
      </c>
      <c r="BY16" s="460" t="s">
        <v>59</v>
      </c>
      <c r="BZ16" s="460" t="s">
        <v>73</v>
      </c>
      <c r="CA16" s="461" t="s">
        <v>4</v>
      </c>
      <c r="CB16" s="460" t="s">
        <v>59</v>
      </c>
      <c r="CC16" s="460" t="s">
        <v>73</v>
      </c>
      <c r="CD16" s="461" t="s">
        <v>4</v>
      </c>
      <c r="CE16" s="957"/>
      <c r="CF16" s="823"/>
      <c r="CG16" s="825"/>
      <c r="CI16" s="61">
        <v>14</v>
      </c>
      <c r="CJ16" s="62" t="str" cm="1">
        <f t="array" ref="CJ16">IF(INDEX(S:S, (ROW()-ROW($S$3))*3 + 3) &lt;&gt; "", "✔", "")</f>
        <v>✔</v>
      </c>
      <c r="CK16" s="61">
        <v>14</v>
      </c>
      <c r="CL16" s="62" t="str" cm="1">
        <f t="array" ref="CL16">IF(INDEX(AP:AP, (ROW()-ROW($AP$3))*3 + 3) &lt;&gt; "", "✔", "")</f>
        <v/>
      </c>
      <c r="CM16" s="61">
        <v>14</v>
      </c>
      <c r="CN16" s="62" t="str" cm="1">
        <f t="array" ref="CN16">IF(INDEX(BM:BM, (ROW()-ROW($BM$3))*3 + 3) &lt;&gt; "", "✔", "")</f>
        <v/>
      </c>
      <c r="CP16" s="231">
        <v>65</v>
      </c>
      <c r="CQ16" s="230">
        <f t="shared" si="1"/>
        <v>29.48348</v>
      </c>
    </row>
    <row r="17" spans="1:95" ht="16.5" thickBot="1">
      <c r="A17" s="345" t="s">
        <v>405</v>
      </c>
      <c r="B17" s="346" t="s">
        <v>406</v>
      </c>
      <c r="C17" s="352"/>
      <c r="D17" s="352"/>
      <c r="E17" s="352"/>
      <c r="F17" s="352"/>
      <c r="G17" s="352"/>
      <c r="H17" s="352"/>
      <c r="I17" s="353"/>
      <c r="J17" s="348">
        <v>0</v>
      </c>
      <c r="K17" s="349">
        <v>0</v>
      </c>
      <c r="L17" s="350">
        <v>0</v>
      </c>
      <c r="M17" s="350">
        <v>0</v>
      </c>
      <c r="N17" s="350">
        <v>0</v>
      </c>
      <c r="O17" s="350">
        <f t="shared" si="0"/>
        <v>0</v>
      </c>
      <c r="P17" s="351">
        <v>0</v>
      </c>
      <c r="R17" s="872"/>
      <c r="S17" s="229">
        <v>3</v>
      </c>
      <c r="T17" s="229">
        <f>((12*2)+(6*1))/3</f>
        <v>10</v>
      </c>
      <c r="U17" s="229">
        <f>((17.5*2)+(20*1))/3</f>
        <v>18.333333333333332</v>
      </c>
      <c r="V17" s="229">
        <v>3</v>
      </c>
      <c r="W17" s="229">
        <f>((30*1)+(34*1)+(40*1))/3</f>
        <v>34.666666666666664</v>
      </c>
      <c r="X17" s="229">
        <f>AM15*(1.2/3)</f>
        <v>30.96</v>
      </c>
      <c r="Y17" s="229">
        <v>2</v>
      </c>
      <c r="Z17" s="229">
        <v>8</v>
      </c>
      <c r="AA17" s="229">
        <v>24.9</v>
      </c>
      <c r="AB17" s="229">
        <v>4</v>
      </c>
      <c r="AC17" s="126">
        <f>((10*1)+(8*1)+(12*1))/4</f>
        <v>7.5</v>
      </c>
      <c r="AD17" s="229">
        <f>((3.5*1)+(8.5*1)+(13.5*1))/4</f>
        <v>6.375</v>
      </c>
      <c r="AE17" s="233"/>
      <c r="AF17" s="233"/>
      <c r="AG17" s="233"/>
      <c r="AH17" s="233"/>
      <c r="AI17" s="233"/>
      <c r="AJ17" s="233"/>
      <c r="AK17" s="949"/>
      <c r="AL17" s="229">
        <f>(S17*T17*U17)+(V17*W17*X17)+(Y17*Z17*AA17)+(AB17*AC17*AD17)+(AE17*AF17*AG17)+(AH17*AI17*AJ17)</f>
        <v>4359.49</v>
      </c>
      <c r="AM17" s="826"/>
      <c r="AN17" s="118"/>
      <c r="AO17" s="875"/>
      <c r="AP17" s="305">
        <v>4</v>
      </c>
      <c r="AQ17" s="305">
        <f>((12*3)+(6*1))/4</f>
        <v>10.5</v>
      </c>
      <c r="AR17" s="305">
        <f>((27*1)+(54*2)+(59*1))/4</f>
        <v>48.5</v>
      </c>
      <c r="AS17" s="305">
        <v>4</v>
      </c>
      <c r="AT17" s="305">
        <f>((12*3)+(6*1))/4</f>
        <v>10.5</v>
      </c>
      <c r="AU17" s="306">
        <f>((9.1*1)+(18.1*2)+(20.1*1))/4</f>
        <v>16.350000000000001</v>
      </c>
      <c r="AV17" s="305">
        <v>4</v>
      </c>
      <c r="AW17" s="306">
        <v>16</v>
      </c>
      <c r="AX17" s="305">
        <f>((12.5*1)+(25*3))/4</f>
        <v>21.875</v>
      </c>
      <c r="AY17" s="305">
        <v>4</v>
      </c>
      <c r="AZ17" s="305">
        <v>12</v>
      </c>
      <c r="BA17" s="305">
        <f>((15.9*1)+(34*3))/4</f>
        <v>29.475000000000001</v>
      </c>
      <c r="BB17" s="305">
        <v>4</v>
      </c>
      <c r="BC17" s="305">
        <f>((12*1)+(8*3))/4</f>
        <v>9</v>
      </c>
      <c r="BD17" s="305">
        <f>((10*1)+(17.5*3))/4</f>
        <v>15.625</v>
      </c>
      <c r="BE17" s="233"/>
      <c r="BF17" s="233"/>
      <c r="BG17" s="233"/>
      <c r="BH17" s="949"/>
      <c r="BI17" s="229">
        <f>(AP17*AQ17*AR17)+(AS17*AT17*AU17)+(AV17*AW17*AX17)+(AY17*AZ17*BA17)+(BB17*BC17*BD17)+(BE17*BF17*BG17)</f>
        <v>6101</v>
      </c>
      <c r="BJ17" s="826"/>
      <c r="BK17" s="118"/>
      <c r="BL17" s="875"/>
      <c r="BM17" s="462"/>
      <c r="BN17" s="462"/>
      <c r="BO17" s="462"/>
      <c r="BP17" s="462"/>
      <c r="BQ17" s="462"/>
      <c r="BR17" s="462"/>
      <c r="BS17" s="462"/>
      <c r="BT17" s="462"/>
      <c r="BU17" s="462"/>
      <c r="BV17" s="462"/>
      <c r="BW17" s="462"/>
      <c r="BX17" s="462"/>
      <c r="BY17" s="462"/>
      <c r="BZ17" s="462"/>
      <c r="CA17" s="462"/>
      <c r="CB17" s="462"/>
      <c r="CC17" s="462"/>
      <c r="CD17" s="462"/>
      <c r="CE17" s="949"/>
      <c r="CF17" s="229">
        <f>(BM17*BN17*BO17)+(BP17*BQ17*BR17)+(BS17*BT17*BU17)+(BV17*BW17*BX17)+(BY17*BZ17*CA17)+(CB17*CC17*CD17)</f>
        <v>0</v>
      </c>
      <c r="CG17" s="826"/>
      <c r="CI17" s="61">
        <v>15</v>
      </c>
      <c r="CJ17" s="62" t="str" cm="1">
        <f t="array" ref="CJ17">IF(INDEX(S:S, (ROW()-ROW($S$3))*3 + 3) &lt;&gt; "", "✔", "")</f>
        <v>✔</v>
      </c>
      <c r="CK17" s="61">
        <v>15</v>
      </c>
      <c r="CL17" s="62" t="str" cm="1">
        <f t="array" ref="CL17">IF(INDEX(AP:AP, (ROW()-ROW($AP$3))*3 + 3) &lt;&gt; "", "✔", "")</f>
        <v>✔</v>
      </c>
      <c r="CM17" s="61">
        <v>15</v>
      </c>
      <c r="CN17" s="62" t="str" cm="1">
        <f t="array" ref="CN17">IF(INDEX(BM:BM, (ROW()-ROW($BM$3))*3 + 3) &lt;&gt; "", "✔", "")</f>
        <v/>
      </c>
      <c r="CP17" s="231">
        <v>70</v>
      </c>
      <c r="CQ17" s="230">
        <f t="shared" si="1"/>
        <v>31.751439999999999</v>
      </c>
    </row>
    <row r="18" spans="1:95" ht="15">
      <c r="R18" s="856">
        <v>46028</v>
      </c>
      <c r="S18" s="848" t="s">
        <v>70</v>
      </c>
      <c r="T18" s="848"/>
      <c r="U18" s="848"/>
      <c r="V18" s="859"/>
      <c r="W18" s="859"/>
      <c r="X18" s="859"/>
      <c r="Y18" s="834"/>
      <c r="Z18" s="835"/>
      <c r="AA18" s="836"/>
      <c r="AB18" s="867"/>
      <c r="AC18" s="868"/>
      <c r="AD18" s="869"/>
      <c r="AE18" s="834"/>
      <c r="AF18" s="835"/>
      <c r="AG18" s="836"/>
      <c r="AH18" s="834"/>
      <c r="AI18" s="835"/>
      <c r="AJ18" s="836"/>
      <c r="AK18" s="232" t="s">
        <v>425</v>
      </c>
      <c r="AL18" s="823">
        <f>COUNTA(S18:AJ18)</f>
        <v>1</v>
      </c>
      <c r="AM18" s="824">
        <v>77.400000000000006</v>
      </c>
      <c r="AN18" s="118"/>
      <c r="AO18" s="876">
        <v>46059</v>
      </c>
      <c r="AP18" s="849" t="s">
        <v>434</v>
      </c>
      <c r="AQ18" s="849"/>
      <c r="AR18" s="849"/>
      <c r="AS18" s="848" t="s">
        <v>68</v>
      </c>
      <c r="AT18" s="848"/>
      <c r="AU18" s="848"/>
      <c r="AV18" s="848" t="s">
        <v>380</v>
      </c>
      <c r="AW18" s="848"/>
      <c r="AX18" s="848"/>
      <c r="AY18" s="848" t="s">
        <v>391</v>
      </c>
      <c r="AZ18" s="848"/>
      <c r="BA18" s="848"/>
      <c r="BB18" s="834"/>
      <c r="BC18" s="835"/>
      <c r="BD18" s="836"/>
      <c r="BE18" s="834"/>
      <c r="BF18" s="835"/>
      <c r="BG18" s="836"/>
      <c r="BH18" s="232" t="s">
        <v>425</v>
      </c>
      <c r="BI18" s="823">
        <f>COUNTA(AP18:BG18)</f>
        <v>4</v>
      </c>
      <c r="BJ18" s="824">
        <v>79</v>
      </c>
      <c r="BK18" s="118"/>
      <c r="BL18" s="876">
        <v>46087</v>
      </c>
      <c r="BM18" s="960"/>
      <c r="BN18" s="960"/>
      <c r="BO18" s="960"/>
      <c r="BP18" s="960"/>
      <c r="BQ18" s="960"/>
      <c r="BR18" s="960"/>
      <c r="BS18" s="960"/>
      <c r="BT18" s="960"/>
      <c r="BU18" s="960"/>
      <c r="BV18" s="960"/>
      <c r="BW18" s="960"/>
      <c r="BX18" s="960"/>
      <c r="BY18" s="961"/>
      <c r="BZ18" s="962"/>
      <c r="CA18" s="963"/>
      <c r="CB18" s="961"/>
      <c r="CC18" s="962"/>
      <c r="CD18" s="963"/>
      <c r="CE18" s="232" t="s">
        <v>425</v>
      </c>
      <c r="CF18" s="823">
        <f>COUNTA(BM18:CD18)</f>
        <v>0</v>
      </c>
      <c r="CG18" s="824"/>
      <c r="CI18" s="61">
        <v>16</v>
      </c>
      <c r="CJ18" s="62" t="str" cm="1">
        <f t="array" ref="CJ18">IF(INDEX(S:S, (ROW()-ROW($S$3))*3 + 3) &lt;&gt; "", "✔", "")</f>
        <v>✔</v>
      </c>
      <c r="CK18" s="61">
        <v>16</v>
      </c>
      <c r="CL18" s="62" t="str" cm="1">
        <f t="array" ref="CL18">IF(INDEX(AP:AP, (ROW()-ROW($AP$3))*3 + 3) &lt;&gt; "", "✔", "")</f>
        <v>✔</v>
      </c>
      <c r="CM18" s="61">
        <v>16</v>
      </c>
      <c r="CN18" s="62" t="str" cm="1">
        <f t="array" ref="CN18">IF(INDEX(BM:BM, (ROW()-ROW($BM$3))*3 + 3) &lt;&gt; "", "✔", "")</f>
        <v/>
      </c>
      <c r="CP18" s="231">
        <v>75</v>
      </c>
      <c r="CQ18" s="230">
        <f t="shared" si="1"/>
        <v>34.019399999999997</v>
      </c>
    </row>
    <row r="19" spans="1:95" ht="18">
      <c r="A19" s="967" t="s">
        <v>546</v>
      </c>
      <c r="B19" s="729"/>
      <c r="C19" s="729"/>
      <c r="D19" s="729"/>
      <c r="E19" s="729"/>
      <c r="F19" s="729"/>
      <c r="G19" s="729"/>
      <c r="H19" s="729"/>
      <c r="I19" s="729"/>
      <c r="R19" s="857"/>
      <c r="S19" s="231" t="s">
        <v>59</v>
      </c>
      <c r="T19" s="231" t="s">
        <v>73</v>
      </c>
      <c r="U19" s="102" t="s">
        <v>4</v>
      </c>
      <c r="V19" s="107" t="s">
        <v>59</v>
      </c>
      <c r="W19" s="107" t="s">
        <v>73</v>
      </c>
      <c r="X19" s="108" t="s">
        <v>4</v>
      </c>
      <c r="Y19" s="107" t="s">
        <v>59</v>
      </c>
      <c r="Z19" s="107" t="s">
        <v>73</v>
      </c>
      <c r="AA19" s="108" t="s">
        <v>4</v>
      </c>
      <c r="AB19" s="107" t="s">
        <v>59</v>
      </c>
      <c r="AC19" s="107" t="s">
        <v>73</v>
      </c>
      <c r="AD19" s="108" t="s">
        <v>4</v>
      </c>
      <c r="AE19" s="107" t="s">
        <v>59</v>
      </c>
      <c r="AF19" s="107" t="s">
        <v>73</v>
      </c>
      <c r="AG19" s="108" t="s">
        <v>4</v>
      </c>
      <c r="AH19" s="107" t="s">
        <v>59</v>
      </c>
      <c r="AI19" s="107" t="s">
        <v>73</v>
      </c>
      <c r="AJ19" s="108" t="s">
        <v>4</v>
      </c>
      <c r="AK19" s="957">
        <v>40</v>
      </c>
      <c r="AL19" s="823"/>
      <c r="AM19" s="825"/>
      <c r="AN19" s="118"/>
      <c r="AO19" s="877"/>
      <c r="AP19" s="231" t="s">
        <v>59</v>
      </c>
      <c r="AQ19" s="231" t="s">
        <v>73</v>
      </c>
      <c r="AR19" s="102" t="s">
        <v>4</v>
      </c>
      <c r="AS19" s="231" t="s">
        <v>59</v>
      </c>
      <c r="AT19" s="231" t="s">
        <v>73</v>
      </c>
      <c r="AU19" s="102" t="s">
        <v>4</v>
      </c>
      <c r="AV19" s="231" t="s">
        <v>59</v>
      </c>
      <c r="AW19" s="231" t="s">
        <v>73</v>
      </c>
      <c r="AX19" s="102" t="s">
        <v>4</v>
      </c>
      <c r="AY19" s="231" t="s">
        <v>59</v>
      </c>
      <c r="AZ19" s="231" t="s">
        <v>73</v>
      </c>
      <c r="BA19" s="102" t="s">
        <v>4</v>
      </c>
      <c r="BB19" s="107" t="s">
        <v>59</v>
      </c>
      <c r="BC19" s="107" t="s">
        <v>73</v>
      </c>
      <c r="BD19" s="108" t="s">
        <v>4</v>
      </c>
      <c r="BE19" s="107" t="s">
        <v>59</v>
      </c>
      <c r="BF19" s="107" t="s">
        <v>73</v>
      </c>
      <c r="BG19" s="108" t="s">
        <v>4</v>
      </c>
      <c r="BH19" s="957">
        <v>50</v>
      </c>
      <c r="BI19" s="823"/>
      <c r="BJ19" s="825"/>
      <c r="BK19" s="118"/>
      <c r="BL19" s="877"/>
      <c r="BM19" s="460" t="s">
        <v>59</v>
      </c>
      <c r="BN19" s="460" t="s">
        <v>73</v>
      </c>
      <c r="BO19" s="461" t="s">
        <v>4</v>
      </c>
      <c r="BP19" s="460" t="s">
        <v>59</v>
      </c>
      <c r="BQ19" s="460" t="s">
        <v>73</v>
      </c>
      <c r="BR19" s="461" t="s">
        <v>4</v>
      </c>
      <c r="BS19" s="460" t="s">
        <v>59</v>
      </c>
      <c r="BT19" s="460" t="s">
        <v>73</v>
      </c>
      <c r="BU19" s="461" t="s">
        <v>4</v>
      </c>
      <c r="BV19" s="460" t="s">
        <v>59</v>
      </c>
      <c r="BW19" s="460" t="s">
        <v>73</v>
      </c>
      <c r="BX19" s="461" t="s">
        <v>4</v>
      </c>
      <c r="BY19" s="460" t="s">
        <v>59</v>
      </c>
      <c r="BZ19" s="460" t="s">
        <v>73</v>
      </c>
      <c r="CA19" s="461" t="s">
        <v>4</v>
      </c>
      <c r="CB19" s="460" t="s">
        <v>59</v>
      </c>
      <c r="CC19" s="460" t="s">
        <v>73</v>
      </c>
      <c r="CD19" s="461" t="s">
        <v>4</v>
      </c>
      <c r="CE19" s="957"/>
      <c r="CF19" s="823"/>
      <c r="CG19" s="825"/>
      <c r="CI19" s="61">
        <v>17</v>
      </c>
      <c r="CJ19" s="62" t="str" cm="1">
        <f t="array" ref="CJ19">IF(INDEX(S:S, (ROW()-ROW($S$3))*3 + 3) &lt;&gt; "", "✔", "")</f>
        <v/>
      </c>
      <c r="CK19" s="61">
        <v>17</v>
      </c>
      <c r="CL19" s="62" t="str" cm="1">
        <f t="array" ref="CL19">IF(INDEX(AP:AP, (ROW()-ROW($AP$3))*3 + 3) &lt;&gt; "", "✔", "")</f>
        <v>✔</v>
      </c>
      <c r="CM19" s="61">
        <v>17</v>
      </c>
      <c r="CN19" s="62" t="str" cm="1">
        <f t="array" ref="CN19">IF(INDEX(BM:BM, (ROW()-ROW($BM$3))*3 + 3) &lt;&gt; "", "✔", "")</f>
        <v/>
      </c>
      <c r="CP19" s="231">
        <v>80</v>
      </c>
      <c r="CQ19" s="230">
        <f t="shared" si="1"/>
        <v>36.28736</v>
      </c>
    </row>
    <row r="20" spans="1:95" ht="15">
      <c r="A20" s="968" t="s">
        <v>547</v>
      </c>
      <c r="B20" s="729"/>
      <c r="C20" s="729"/>
      <c r="D20" s="729"/>
      <c r="E20" s="729"/>
      <c r="F20" s="729"/>
      <c r="G20" s="729"/>
      <c r="H20" s="729"/>
      <c r="I20" s="729"/>
      <c r="R20" s="858"/>
      <c r="S20" s="229">
        <v>1</v>
      </c>
      <c r="T20" s="126">
        <v>40</v>
      </c>
      <c r="U20" s="229">
        <f>AM18</f>
        <v>77.400000000000006</v>
      </c>
      <c r="V20" s="233"/>
      <c r="W20" s="233"/>
      <c r="X20" s="233"/>
      <c r="Y20" s="233"/>
      <c r="Z20" s="233"/>
      <c r="AA20" s="233"/>
      <c r="AB20" s="233"/>
      <c r="AC20" s="233"/>
      <c r="AD20" s="233"/>
      <c r="AE20" s="233"/>
      <c r="AF20" s="233"/>
      <c r="AG20" s="233"/>
      <c r="AH20" s="233"/>
      <c r="AI20" s="233"/>
      <c r="AJ20" s="233"/>
      <c r="AK20" s="949"/>
      <c r="AL20" s="229">
        <f>(S20*T20*U20)+(V20*W20*X20)+(Y20*Z20*AA20)+(AB20*AC20*AD20)+(AE20*AF20*AG20)+(AH20*AI20*AJ20)</f>
        <v>3096</v>
      </c>
      <c r="AM20" s="826"/>
      <c r="AN20" s="118"/>
      <c r="AO20" s="878"/>
      <c r="AP20" s="229">
        <v>4</v>
      </c>
      <c r="AQ20" s="229">
        <f>((12*1)+(10*3))/4</f>
        <v>10.5</v>
      </c>
      <c r="AR20" s="229">
        <f>((12.5*1)+(25*3))/4</f>
        <v>21.875</v>
      </c>
      <c r="AS20" s="229">
        <v>4</v>
      </c>
      <c r="AT20" s="126">
        <v>12</v>
      </c>
      <c r="AU20" s="229">
        <f>((32*1)+(63*3))/4</f>
        <v>55.25</v>
      </c>
      <c r="AV20" s="229">
        <v>4</v>
      </c>
      <c r="AW20" s="126">
        <f>((12*1)+(14*3))/4</f>
        <v>13.5</v>
      </c>
      <c r="AX20" s="229">
        <f>((15.9*1)+(34*3))/4</f>
        <v>29.475000000000001</v>
      </c>
      <c r="AY20" s="229">
        <v>4</v>
      </c>
      <c r="AZ20" s="126">
        <f>((((0.35/0.3)*0.5)*1)+(((1.1/1)*1)*3))/4</f>
        <v>0.97083333333333344</v>
      </c>
      <c r="BA20" s="229">
        <f>BJ18*(2/3)</f>
        <v>52.666666666666664</v>
      </c>
      <c r="BB20" s="233"/>
      <c r="BC20" s="233"/>
      <c r="BD20" s="233"/>
      <c r="BE20" s="233"/>
      <c r="BF20" s="233"/>
      <c r="BG20" s="233"/>
      <c r="BH20" s="949"/>
      <c r="BI20" s="229">
        <f>(AP20*AQ20*AR20)+(AS20*AT20*AU20)+(AV20*AW20*AX20)+(AY20*AZ20*BA20)+(BB20*BC20*BD20)+(BE20*BF20*BG20)</f>
        <v>5366.9222222222215</v>
      </c>
      <c r="BJ20" s="826"/>
      <c r="BK20" s="118"/>
      <c r="BL20" s="878"/>
      <c r="BM20" s="462"/>
      <c r="BN20" s="462"/>
      <c r="BO20" s="462"/>
      <c r="BP20" s="462"/>
      <c r="BQ20" s="462"/>
      <c r="BR20" s="462"/>
      <c r="BS20" s="462"/>
      <c r="BT20" s="462"/>
      <c r="BU20" s="462"/>
      <c r="BV20" s="462"/>
      <c r="BW20" s="462"/>
      <c r="BX20" s="462"/>
      <c r="BY20" s="462"/>
      <c r="BZ20" s="462"/>
      <c r="CA20" s="462"/>
      <c r="CB20" s="462"/>
      <c r="CC20" s="462"/>
      <c r="CD20" s="463"/>
      <c r="CE20" s="949"/>
      <c r="CF20" s="229">
        <f>(BM20*BN20*BO20)+(BP20*BQ20*BR20)+(BS20*BT20*BU20)+(BV20*BW20*BX20)+(BY20*BZ20*CA20)+(CB20*CC20*CD20)</f>
        <v>0</v>
      </c>
      <c r="CG20" s="826"/>
      <c r="CI20" s="61">
        <v>18</v>
      </c>
      <c r="CJ20" s="62" t="str" cm="1">
        <f t="array" ref="CJ20">IF(INDEX(S:S, (ROW()-ROW($S$3))*3 + 3) &lt;&gt; "", "✔", "")</f>
        <v>✔</v>
      </c>
      <c r="CK20" s="61">
        <v>18</v>
      </c>
      <c r="CL20" s="62" t="str" cm="1">
        <f t="array" ref="CL20">IF(INDEX(AP:AP, (ROW()-ROW($AP$3))*3 + 3) &lt;&gt; "", "✔", "")</f>
        <v>✔</v>
      </c>
      <c r="CM20" s="61">
        <v>18</v>
      </c>
      <c r="CN20" s="62" t="str" cm="1">
        <f t="array" ref="CN20">IF(INDEX(BM:BM, (ROW()-ROW($BM$3))*3 + 3) &lt;&gt; "", "✔", "")</f>
        <v/>
      </c>
      <c r="CP20" s="231">
        <v>85</v>
      </c>
      <c r="CQ20" s="230">
        <f t="shared" si="1"/>
        <v>38.555320000000002</v>
      </c>
    </row>
    <row r="21" spans="1:95" ht="15">
      <c r="A21"/>
      <c r="B21"/>
      <c r="C21"/>
      <c r="D21"/>
      <c r="E21"/>
      <c r="F21"/>
      <c r="G21"/>
      <c r="H21"/>
      <c r="I21"/>
      <c r="R21" s="845">
        <v>46029</v>
      </c>
      <c r="S21" s="848" t="s">
        <v>89</v>
      </c>
      <c r="T21" s="848"/>
      <c r="U21" s="848"/>
      <c r="V21" s="848" t="s">
        <v>115</v>
      </c>
      <c r="W21" s="848"/>
      <c r="X21" s="848"/>
      <c r="Y21" s="886" t="s">
        <v>112</v>
      </c>
      <c r="Z21" s="886"/>
      <c r="AA21" s="886"/>
      <c r="AB21" s="849" t="s">
        <v>114</v>
      </c>
      <c r="AC21" s="849"/>
      <c r="AD21" s="849"/>
      <c r="AE21" s="861"/>
      <c r="AF21" s="862"/>
      <c r="AG21" s="863"/>
      <c r="AH21" s="834"/>
      <c r="AI21" s="835"/>
      <c r="AJ21" s="836"/>
      <c r="AK21" s="232" t="s">
        <v>425</v>
      </c>
      <c r="AL21" s="823">
        <f>COUNTA(S21:AJ21)</f>
        <v>4</v>
      </c>
      <c r="AM21" s="824">
        <v>77.099999999999994</v>
      </c>
      <c r="AN21" s="118"/>
      <c r="AO21" s="840">
        <v>46060</v>
      </c>
      <c r="AP21" s="844"/>
      <c r="AQ21" s="844"/>
      <c r="AR21" s="844"/>
      <c r="AS21" s="844"/>
      <c r="AT21" s="844"/>
      <c r="AU21" s="844"/>
      <c r="AV21" s="844"/>
      <c r="AW21" s="844"/>
      <c r="AX21" s="844"/>
      <c r="AY21" s="844"/>
      <c r="AZ21" s="844"/>
      <c r="BA21" s="844"/>
      <c r="BB21" s="834"/>
      <c r="BC21" s="835"/>
      <c r="BD21" s="836"/>
      <c r="BE21" s="834"/>
      <c r="BF21" s="835"/>
      <c r="BG21" s="836"/>
      <c r="BH21" s="232" t="s">
        <v>425</v>
      </c>
      <c r="BI21" s="823">
        <f>COUNTA(AP21:BG21)</f>
        <v>0</v>
      </c>
      <c r="BJ21" s="824">
        <f>BJ18</f>
        <v>79</v>
      </c>
      <c r="BK21" s="118"/>
      <c r="BL21" s="840">
        <v>46088</v>
      </c>
      <c r="BM21" s="960"/>
      <c r="BN21" s="960"/>
      <c r="BO21" s="960"/>
      <c r="BP21" s="960"/>
      <c r="BQ21" s="960"/>
      <c r="BR21" s="960"/>
      <c r="BS21" s="960"/>
      <c r="BT21" s="960"/>
      <c r="BU21" s="960"/>
      <c r="BV21" s="960"/>
      <c r="BW21" s="960"/>
      <c r="BX21" s="960"/>
      <c r="BY21" s="961"/>
      <c r="BZ21" s="962"/>
      <c r="CA21" s="963"/>
      <c r="CB21" s="961"/>
      <c r="CC21" s="962"/>
      <c r="CD21" s="963"/>
      <c r="CE21" s="232" t="s">
        <v>425</v>
      </c>
      <c r="CF21" s="823">
        <f>COUNTA(BM21:CD21)</f>
        <v>0</v>
      </c>
      <c r="CG21" s="824"/>
      <c r="CI21" s="61">
        <v>19</v>
      </c>
      <c r="CJ21" s="62" t="str" cm="1">
        <f t="array" ref="CJ21">IF(INDEX(S:S, (ROW()-ROW($S$3))*3 + 3) &lt;&gt; "", "✔", "")</f>
        <v>✔</v>
      </c>
      <c r="CK21" s="61">
        <v>19</v>
      </c>
      <c r="CL21" s="62" t="str" cm="1">
        <f t="array" ref="CL21">IF(INDEX(AP:AP, (ROW()-ROW($AP$3))*3 + 3) &lt;&gt; "", "✔", "")</f>
        <v>✔</v>
      </c>
      <c r="CM21" s="61">
        <v>19</v>
      </c>
      <c r="CN21" s="62" t="str" cm="1">
        <f t="array" ref="CN21">IF(INDEX(BM:BM, (ROW()-ROW($BM$3))*3 + 3) &lt;&gt; "", "✔", "")</f>
        <v/>
      </c>
      <c r="CP21" s="231">
        <v>90</v>
      </c>
      <c r="CQ21" s="230">
        <f t="shared" si="1"/>
        <v>40.823279999999997</v>
      </c>
    </row>
    <row r="22" spans="1:95" ht="15">
      <c r="A22" s="456" t="s">
        <v>56</v>
      </c>
      <c r="B22" s="456" t="s">
        <v>393</v>
      </c>
      <c r="C22" s="456" t="s">
        <v>58</v>
      </c>
      <c r="D22" s="456" t="s">
        <v>548</v>
      </c>
      <c r="E22" s="456" t="s">
        <v>6</v>
      </c>
      <c r="F22" s="456" t="s">
        <v>549</v>
      </c>
      <c r="G22" s="456" t="s">
        <v>550</v>
      </c>
      <c r="H22" s="456" t="s">
        <v>551</v>
      </c>
      <c r="I22" s="456" t="s">
        <v>173</v>
      </c>
      <c r="R22" s="846"/>
      <c r="S22" s="231" t="s">
        <v>59</v>
      </c>
      <c r="T22" s="231" t="s">
        <v>73</v>
      </c>
      <c r="U22" s="102" t="s">
        <v>4</v>
      </c>
      <c r="V22" s="231" t="s">
        <v>59</v>
      </c>
      <c r="W22" s="231" t="s">
        <v>73</v>
      </c>
      <c r="X22" s="102" t="s">
        <v>4</v>
      </c>
      <c r="Y22" s="231" t="s">
        <v>59</v>
      </c>
      <c r="Z22" s="231" t="s">
        <v>73</v>
      </c>
      <c r="AA22" s="102" t="s">
        <v>4</v>
      </c>
      <c r="AB22" s="231" t="s">
        <v>59</v>
      </c>
      <c r="AC22" s="231" t="s">
        <v>73</v>
      </c>
      <c r="AD22" s="102" t="s">
        <v>4</v>
      </c>
      <c r="AE22" s="107" t="s">
        <v>59</v>
      </c>
      <c r="AF22" s="107" t="s">
        <v>73</v>
      </c>
      <c r="AG22" s="108" t="s">
        <v>4</v>
      </c>
      <c r="AH22" s="107" t="s">
        <v>59</v>
      </c>
      <c r="AI22" s="107" t="s">
        <v>73</v>
      </c>
      <c r="AJ22" s="108" t="s">
        <v>4</v>
      </c>
      <c r="AK22" s="957">
        <v>46</v>
      </c>
      <c r="AL22" s="823"/>
      <c r="AM22" s="825"/>
      <c r="AN22" s="118"/>
      <c r="AO22" s="841"/>
      <c r="AP22" s="107" t="s">
        <v>59</v>
      </c>
      <c r="AQ22" s="107" t="s">
        <v>73</v>
      </c>
      <c r="AR22" s="108" t="s">
        <v>4</v>
      </c>
      <c r="AS22" s="107" t="s">
        <v>59</v>
      </c>
      <c r="AT22" s="107" t="s">
        <v>73</v>
      </c>
      <c r="AU22" s="108" t="s">
        <v>4</v>
      </c>
      <c r="AV22" s="107" t="s">
        <v>59</v>
      </c>
      <c r="AW22" s="107" t="s">
        <v>73</v>
      </c>
      <c r="AX22" s="108" t="s">
        <v>4</v>
      </c>
      <c r="AY22" s="107" t="s">
        <v>59</v>
      </c>
      <c r="AZ22" s="107" t="s">
        <v>73</v>
      </c>
      <c r="BA22" s="108" t="s">
        <v>4</v>
      </c>
      <c r="BB22" s="107" t="s">
        <v>59</v>
      </c>
      <c r="BC22" s="107" t="s">
        <v>73</v>
      </c>
      <c r="BD22" s="108" t="s">
        <v>4</v>
      </c>
      <c r="BE22" s="107" t="s">
        <v>59</v>
      </c>
      <c r="BF22" s="107" t="s">
        <v>73</v>
      </c>
      <c r="BG22" s="108" t="s">
        <v>4</v>
      </c>
      <c r="BH22" s="957">
        <v>0</v>
      </c>
      <c r="BI22" s="823"/>
      <c r="BJ22" s="825"/>
      <c r="BK22" s="118"/>
      <c r="BL22" s="841"/>
      <c r="BM22" s="460" t="s">
        <v>59</v>
      </c>
      <c r="BN22" s="460" t="s">
        <v>73</v>
      </c>
      <c r="BO22" s="461" t="s">
        <v>4</v>
      </c>
      <c r="BP22" s="460" t="s">
        <v>59</v>
      </c>
      <c r="BQ22" s="460" t="s">
        <v>73</v>
      </c>
      <c r="BR22" s="461" t="s">
        <v>4</v>
      </c>
      <c r="BS22" s="460" t="s">
        <v>59</v>
      </c>
      <c r="BT22" s="460" t="s">
        <v>73</v>
      </c>
      <c r="BU22" s="461" t="s">
        <v>4</v>
      </c>
      <c r="BV22" s="460" t="s">
        <v>59</v>
      </c>
      <c r="BW22" s="460" t="s">
        <v>73</v>
      </c>
      <c r="BX22" s="461" t="s">
        <v>4</v>
      </c>
      <c r="BY22" s="460" t="s">
        <v>59</v>
      </c>
      <c r="BZ22" s="460" t="s">
        <v>73</v>
      </c>
      <c r="CA22" s="461" t="s">
        <v>4</v>
      </c>
      <c r="CB22" s="460" t="s">
        <v>59</v>
      </c>
      <c r="CC22" s="460" t="s">
        <v>73</v>
      </c>
      <c r="CD22" s="461" t="s">
        <v>4</v>
      </c>
      <c r="CE22" s="957"/>
      <c r="CF22" s="823"/>
      <c r="CG22" s="825"/>
      <c r="CI22" s="61">
        <v>20</v>
      </c>
      <c r="CJ22" s="62" t="str" cm="1">
        <f t="array" ref="CJ22">IF(INDEX(S:S, (ROW()-ROW($S$3))*3 + 3) &lt;&gt; "", "✔", "")</f>
        <v>✔</v>
      </c>
      <c r="CK22" s="61">
        <v>20</v>
      </c>
      <c r="CL22" s="62" t="str" cm="1">
        <f t="array" ref="CL22">IF(INDEX(AP:AP, (ROW()-ROW($AP$3))*3 + 3) &lt;&gt; "", "✔", "")</f>
        <v>✔</v>
      </c>
      <c r="CM22" s="61">
        <v>20</v>
      </c>
      <c r="CN22" s="62" t="str" cm="1">
        <f t="array" ref="CN22">IF(INDEX(BM:BM, (ROW()-ROW($BM$3))*3 + 3) &lt;&gt; "", "✔", "")</f>
        <v/>
      </c>
      <c r="CP22" s="231">
        <v>95</v>
      </c>
      <c r="CQ22" s="230">
        <f t="shared" si="1"/>
        <v>43.091239999999999</v>
      </c>
    </row>
    <row r="23" spans="1:95" ht="15">
      <c r="A23" s="396" t="s">
        <v>552</v>
      </c>
      <c r="B23" s="396" t="s">
        <v>553</v>
      </c>
      <c r="C23" s="395" t="s">
        <v>67</v>
      </c>
      <c r="D23" s="231" t="s">
        <v>554</v>
      </c>
      <c r="E23" s="231" t="s">
        <v>555</v>
      </c>
      <c r="F23" s="231" t="s">
        <v>556</v>
      </c>
      <c r="G23" s="231" t="s">
        <v>557</v>
      </c>
      <c r="H23" s="231" t="s">
        <v>558</v>
      </c>
      <c r="I23" s="395" t="s">
        <v>385</v>
      </c>
      <c r="R23" s="847"/>
      <c r="S23" s="229">
        <v>4</v>
      </c>
      <c r="T23" s="229">
        <f>((10*1)+(6*3))/4</f>
        <v>7</v>
      </c>
      <c r="U23" s="229">
        <f>((36*1)+(68*3))/4</f>
        <v>60</v>
      </c>
      <c r="V23" s="229">
        <v>4</v>
      </c>
      <c r="W23" s="229">
        <f>((12*1)+(8*3))/4</f>
        <v>9</v>
      </c>
      <c r="X23" s="229">
        <f>((11.3*1)+(24.9*3))/4</f>
        <v>21.499999999999996</v>
      </c>
      <c r="Y23" s="229">
        <v>4</v>
      </c>
      <c r="Z23" s="229">
        <f>((12*1)+(8*3))/4</f>
        <v>9</v>
      </c>
      <c r="AA23" s="229">
        <f>((7.5*1)+(20*3))/4</f>
        <v>16.875</v>
      </c>
      <c r="AB23" s="229">
        <v>3</v>
      </c>
      <c r="AC23" s="229">
        <f>((12*1)+(8*2))/3</f>
        <v>9.3333333333333339</v>
      </c>
      <c r="AD23" s="229">
        <f>((2.5*1)+(5*1)+(7.5*1))/3</f>
        <v>5</v>
      </c>
      <c r="AE23" s="233"/>
      <c r="AF23" s="233"/>
      <c r="AG23" s="233"/>
      <c r="AH23" s="233"/>
      <c r="AI23" s="233"/>
      <c r="AJ23" s="233"/>
      <c r="AK23" s="949"/>
      <c r="AL23" s="229">
        <f>(S23*T23*U23)+(V23*W23*X23)+(Y23*Z23*AA23)+(AB23*AC23*AD23)+(AE23*AF23*AG23)+(AH23*AI23*AJ23)</f>
        <v>3201.5</v>
      </c>
      <c r="AM23" s="826"/>
      <c r="AN23" s="118"/>
      <c r="AO23" s="842"/>
      <c r="AP23" s="233"/>
      <c r="AQ23" s="233"/>
      <c r="AR23" s="233"/>
      <c r="AS23" s="233"/>
      <c r="AT23" s="233"/>
      <c r="AU23" s="233"/>
      <c r="AV23" s="233"/>
      <c r="AW23" s="233"/>
      <c r="AX23" s="233"/>
      <c r="AY23" s="233"/>
      <c r="AZ23" s="233"/>
      <c r="BA23" s="233"/>
      <c r="BB23" s="233"/>
      <c r="BC23" s="233"/>
      <c r="BD23" s="233"/>
      <c r="BE23" s="233"/>
      <c r="BF23" s="233"/>
      <c r="BG23" s="233"/>
      <c r="BH23" s="949"/>
      <c r="BI23" s="229">
        <f>(AP23*AQ23*AR23)+(AS23*AT23*AU23)+(AV23*AW23*AX23)+(AY23*AZ23*BA23)+(BB23*BC23*BD23)+(BE23*BF23*BG23)</f>
        <v>0</v>
      </c>
      <c r="BJ23" s="826"/>
      <c r="BK23" s="118"/>
      <c r="BL23" s="842"/>
      <c r="BM23" s="462"/>
      <c r="BN23" s="462"/>
      <c r="BO23" s="462"/>
      <c r="BP23" s="462"/>
      <c r="BQ23" s="462"/>
      <c r="BR23" s="462"/>
      <c r="BS23" s="462"/>
      <c r="BT23" s="462"/>
      <c r="BU23" s="462"/>
      <c r="BV23" s="462"/>
      <c r="BW23" s="462"/>
      <c r="BX23" s="462"/>
      <c r="BY23" s="462"/>
      <c r="BZ23" s="462"/>
      <c r="CA23" s="462"/>
      <c r="CB23" s="462"/>
      <c r="CC23" s="462"/>
      <c r="CD23" s="463"/>
      <c r="CE23" s="949"/>
      <c r="CF23" s="229">
        <f>(BM23*BN23*BO23)+(BP23*BQ23*BR23)+(BS23*BT23*BU23)+(BV23*BW23*BX23)+(BY23*BZ23*CA23)+(CB23*CC23*CD23)</f>
        <v>0</v>
      </c>
      <c r="CG23" s="826"/>
      <c r="CI23" s="61">
        <v>21</v>
      </c>
      <c r="CJ23" s="62" t="str" cm="1">
        <f t="array" ref="CJ23">IF(INDEX(S:S, (ROW()-ROW($S$3))*3 + 3) &lt;&gt; "", "✔", "")</f>
        <v>✔</v>
      </c>
      <c r="CK23" s="61">
        <v>21</v>
      </c>
      <c r="CL23" s="62" t="str" cm="1">
        <f t="array" ref="CL23">IF(INDEX(AP:AP, (ROW()-ROW($AP$3))*3 + 3) &lt;&gt; "", "✔", "")</f>
        <v/>
      </c>
      <c r="CM23" s="61">
        <v>21</v>
      </c>
      <c r="CN23" s="62" t="str" cm="1">
        <f t="array" ref="CN23">IF(INDEX(BM:BM, (ROW()-ROW($BM$3))*3 + 3) &lt;&gt; "", "✔", "")</f>
        <v/>
      </c>
      <c r="CP23" s="231">
        <v>100</v>
      </c>
      <c r="CQ23" s="230">
        <f t="shared" si="1"/>
        <v>45.359200000000001</v>
      </c>
    </row>
    <row r="24" spans="1:95" ht="15">
      <c r="A24" s="231"/>
      <c r="B24" s="231"/>
      <c r="C24" s="395" t="s">
        <v>72</v>
      </c>
      <c r="D24" s="231" t="s">
        <v>554</v>
      </c>
      <c r="E24" s="231" t="s">
        <v>559</v>
      </c>
      <c r="F24" s="231" t="s">
        <v>556</v>
      </c>
      <c r="G24" s="231" t="s">
        <v>557</v>
      </c>
      <c r="H24" s="231" t="s">
        <v>560</v>
      </c>
      <c r="I24" s="395" t="s">
        <v>561</v>
      </c>
      <c r="R24" s="873">
        <v>46030</v>
      </c>
      <c r="S24" s="844"/>
      <c r="T24" s="844"/>
      <c r="U24" s="844"/>
      <c r="V24" s="844"/>
      <c r="W24" s="844"/>
      <c r="X24" s="844"/>
      <c r="Y24" s="844"/>
      <c r="Z24" s="844"/>
      <c r="AA24" s="844"/>
      <c r="AB24" s="844"/>
      <c r="AC24" s="844"/>
      <c r="AD24" s="844"/>
      <c r="AE24" s="834"/>
      <c r="AF24" s="835"/>
      <c r="AG24" s="836"/>
      <c r="AH24" s="834"/>
      <c r="AI24" s="835"/>
      <c r="AJ24" s="836"/>
      <c r="AK24" s="232" t="s">
        <v>425</v>
      </c>
      <c r="AL24" s="823">
        <f>COUNTA(S24:AJ24)</f>
        <v>0</v>
      </c>
      <c r="AM24" s="824">
        <f>AM21</f>
        <v>77.099999999999994</v>
      </c>
      <c r="AN24" s="118"/>
      <c r="AO24" s="864">
        <v>46061</v>
      </c>
      <c r="AP24" s="849" t="s">
        <v>434</v>
      </c>
      <c r="AQ24" s="849"/>
      <c r="AR24" s="849"/>
      <c r="AS24" s="849" t="s">
        <v>72</v>
      </c>
      <c r="AT24" s="849"/>
      <c r="AU24" s="849"/>
      <c r="AV24" s="890" t="s">
        <v>435</v>
      </c>
      <c r="AW24" s="890"/>
      <c r="AX24" s="890"/>
      <c r="AY24" s="848" t="s">
        <v>68</v>
      </c>
      <c r="AZ24" s="848"/>
      <c r="BA24" s="848"/>
      <c r="BB24" s="882" t="s">
        <v>123</v>
      </c>
      <c r="BC24" s="883"/>
      <c r="BD24" s="884"/>
      <c r="BE24" s="834"/>
      <c r="BF24" s="835"/>
      <c r="BG24" s="836"/>
      <c r="BH24" s="232" t="s">
        <v>425</v>
      </c>
      <c r="BI24" s="823">
        <f>COUNTA(AP24:BG24)</f>
        <v>5</v>
      </c>
      <c r="BJ24" s="824">
        <v>77.849999999999994</v>
      </c>
      <c r="BK24" s="118"/>
      <c r="BL24" s="864">
        <v>46089</v>
      </c>
      <c r="BM24" s="960"/>
      <c r="BN24" s="960"/>
      <c r="BO24" s="960"/>
      <c r="BP24" s="960"/>
      <c r="BQ24" s="960"/>
      <c r="BR24" s="960"/>
      <c r="BS24" s="960"/>
      <c r="BT24" s="960"/>
      <c r="BU24" s="960"/>
      <c r="BV24" s="960"/>
      <c r="BW24" s="960"/>
      <c r="BX24" s="960"/>
      <c r="BY24" s="961"/>
      <c r="BZ24" s="962"/>
      <c r="CA24" s="963"/>
      <c r="CB24" s="961"/>
      <c r="CC24" s="962"/>
      <c r="CD24" s="963"/>
      <c r="CE24" s="232" t="s">
        <v>425</v>
      </c>
      <c r="CF24" s="823">
        <f>COUNTA(BM24:CD24)</f>
        <v>0</v>
      </c>
      <c r="CG24" s="824"/>
      <c r="CI24" s="61">
        <v>22</v>
      </c>
      <c r="CJ24" s="62" t="str" cm="1">
        <f t="array" ref="CJ24">IF(INDEX(S:S, (ROW()-ROW($S$3))*3 + 3) &lt;&gt; "", "✔", "")</f>
        <v>✔</v>
      </c>
      <c r="CK24" s="61">
        <v>22</v>
      </c>
      <c r="CL24" s="62" t="str" cm="1">
        <f t="array" ref="CL24">IF(INDEX(AP:AP, (ROW()-ROW($AP$3))*3 + 3) &lt;&gt; "", "✔", "")</f>
        <v>✔</v>
      </c>
      <c r="CM24" s="61">
        <v>22</v>
      </c>
      <c r="CN24" s="62" t="str" cm="1">
        <f t="array" ref="CN24">IF(INDEX(BM:BM, (ROW()-ROW($BM$3))*3 + 3) &lt;&gt; "", "✔", "")</f>
        <v/>
      </c>
      <c r="CP24" s="231">
        <v>105</v>
      </c>
      <c r="CQ24" s="230">
        <f t="shared" si="1"/>
        <v>47.627159999999996</v>
      </c>
    </row>
    <row r="25" spans="1:95" ht="15">
      <c r="A25" s="231"/>
      <c r="B25" s="231"/>
      <c r="C25" s="395" t="s">
        <v>13</v>
      </c>
      <c r="D25" s="231" t="s">
        <v>554</v>
      </c>
      <c r="E25" s="231" t="s">
        <v>559</v>
      </c>
      <c r="F25" s="231" t="s">
        <v>556</v>
      </c>
      <c r="G25" s="231" t="s">
        <v>557</v>
      </c>
      <c r="H25" s="231" t="s">
        <v>562</v>
      </c>
      <c r="I25" s="395" t="s">
        <v>387</v>
      </c>
      <c r="R25" s="874"/>
      <c r="S25" s="107" t="s">
        <v>59</v>
      </c>
      <c r="T25" s="107" t="s">
        <v>73</v>
      </c>
      <c r="U25" s="108" t="s">
        <v>4</v>
      </c>
      <c r="V25" s="107" t="s">
        <v>59</v>
      </c>
      <c r="W25" s="107" t="s">
        <v>73</v>
      </c>
      <c r="X25" s="108" t="s">
        <v>4</v>
      </c>
      <c r="Y25" s="107" t="s">
        <v>59</v>
      </c>
      <c r="Z25" s="107" t="s">
        <v>73</v>
      </c>
      <c r="AA25" s="108" t="s">
        <v>4</v>
      </c>
      <c r="AB25" s="107" t="s">
        <v>59</v>
      </c>
      <c r="AC25" s="107" t="s">
        <v>73</v>
      </c>
      <c r="AD25" s="108" t="s">
        <v>4</v>
      </c>
      <c r="AE25" s="107" t="s">
        <v>59</v>
      </c>
      <c r="AF25" s="107" t="s">
        <v>73</v>
      </c>
      <c r="AG25" s="108" t="s">
        <v>4</v>
      </c>
      <c r="AH25" s="107" t="s">
        <v>59</v>
      </c>
      <c r="AI25" s="107" t="s">
        <v>73</v>
      </c>
      <c r="AJ25" s="108" t="s">
        <v>4</v>
      </c>
      <c r="AK25" s="957">
        <v>0</v>
      </c>
      <c r="AL25" s="823"/>
      <c r="AM25" s="825"/>
      <c r="AN25" s="118"/>
      <c r="AO25" s="865"/>
      <c r="AP25" s="231" t="s">
        <v>59</v>
      </c>
      <c r="AQ25" s="231" t="s">
        <v>73</v>
      </c>
      <c r="AR25" s="102" t="s">
        <v>4</v>
      </c>
      <c r="AS25" s="231" t="s">
        <v>59</v>
      </c>
      <c r="AT25" s="231" t="s">
        <v>73</v>
      </c>
      <c r="AU25" s="102" t="s">
        <v>4</v>
      </c>
      <c r="AV25" s="231" t="s">
        <v>59</v>
      </c>
      <c r="AW25" s="231" t="s">
        <v>73</v>
      </c>
      <c r="AX25" s="102" t="s">
        <v>4</v>
      </c>
      <c r="AY25" s="231" t="s">
        <v>59</v>
      </c>
      <c r="AZ25" s="231" t="s">
        <v>73</v>
      </c>
      <c r="BA25" s="102" t="s">
        <v>4</v>
      </c>
      <c r="BB25" s="231" t="s">
        <v>59</v>
      </c>
      <c r="BC25" s="231" t="s">
        <v>73</v>
      </c>
      <c r="BD25" s="102" t="s">
        <v>4</v>
      </c>
      <c r="BE25" s="107" t="s">
        <v>59</v>
      </c>
      <c r="BF25" s="107" t="s">
        <v>73</v>
      </c>
      <c r="BG25" s="108" t="s">
        <v>4</v>
      </c>
      <c r="BH25" s="957">
        <v>100</v>
      </c>
      <c r="BI25" s="823"/>
      <c r="BJ25" s="825"/>
      <c r="BK25" s="118"/>
      <c r="BL25" s="865"/>
      <c r="BM25" s="460" t="s">
        <v>59</v>
      </c>
      <c r="BN25" s="460" t="s">
        <v>73</v>
      </c>
      <c r="BO25" s="461" t="s">
        <v>4</v>
      </c>
      <c r="BP25" s="460" t="s">
        <v>59</v>
      </c>
      <c r="BQ25" s="460" t="s">
        <v>73</v>
      </c>
      <c r="BR25" s="461" t="s">
        <v>4</v>
      </c>
      <c r="BS25" s="460" t="s">
        <v>59</v>
      </c>
      <c r="BT25" s="460" t="s">
        <v>73</v>
      </c>
      <c r="BU25" s="461" t="s">
        <v>4</v>
      </c>
      <c r="BV25" s="460" t="s">
        <v>59</v>
      </c>
      <c r="BW25" s="460" t="s">
        <v>73</v>
      </c>
      <c r="BX25" s="461" t="s">
        <v>4</v>
      </c>
      <c r="BY25" s="460" t="s">
        <v>59</v>
      </c>
      <c r="BZ25" s="460" t="s">
        <v>73</v>
      </c>
      <c r="CA25" s="461" t="s">
        <v>4</v>
      </c>
      <c r="CB25" s="460" t="s">
        <v>59</v>
      </c>
      <c r="CC25" s="460" t="s">
        <v>73</v>
      </c>
      <c r="CD25" s="461" t="s">
        <v>4</v>
      </c>
      <c r="CE25" s="957"/>
      <c r="CF25" s="823"/>
      <c r="CG25" s="825"/>
      <c r="CI25" s="61">
        <v>23</v>
      </c>
      <c r="CJ25" s="62" t="str" cm="1">
        <f t="array" ref="CJ25">IF(INDEX(S:S, (ROW()-ROW($S$3))*3 + 3) &lt;&gt; "", "✔", "")</f>
        <v>✔</v>
      </c>
      <c r="CK25" s="61">
        <v>23</v>
      </c>
      <c r="CL25" s="62" t="str" cm="1">
        <f t="array" ref="CL25">IF(INDEX(AP:AP, (ROW()-ROW($AP$3))*3 + 3) &lt;&gt; "", "✔", "")</f>
        <v>✔</v>
      </c>
      <c r="CM25" s="61">
        <v>23</v>
      </c>
      <c r="CN25" s="62" t="str" cm="1">
        <f t="array" ref="CN25">IF(INDEX(BM:BM, (ROW()-ROW($BM$3))*3 + 3) &lt;&gt; "", "✔", "")</f>
        <v/>
      </c>
      <c r="CP25" s="231">
        <v>110</v>
      </c>
      <c r="CQ25" s="230">
        <f t="shared" si="1"/>
        <v>49.895119999999999</v>
      </c>
    </row>
    <row r="26" spans="1:95" ht="15">
      <c r="A26" s="231"/>
      <c r="B26" s="231"/>
      <c r="C26" s="395" t="s">
        <v>99</v>
      </c>
      <c r="D26" s="231" t="s">
        <v>554</v>
      </c>
      <c r="E26" s="231" t="s">
        <v>563</v>
      </c>
      <c r="F26" s="231" t="s">
        <v>556</v>
      </c>
      <c r="G26" s="231" t="s">
        <v>557</v>
      </c>
      <c r="H26" s="231" t="s">
        <v>564</v>
      </c>
      <c r="I26" s="395" t="s">
        <v>561</v>
      </c>
      <c r="R26" s="875"/>
      <c r="S26" s="233"/>
      <c r="T26" s="233"/>
      <c r="U26" s="233"/>
      <c r="V26" s="233"/>
      <c r="W26" s="233"/>
      <c r="X26" s="233"/>
      <c r="Y26" s="233"/>
      <c r="Z26" s="233"/>
      <c r="AA26" s="233"/>
      <c r="AB26" s="233"/>
      <c r="AC26" s="233"/>
      <c r="AD26" s="233"/>
      <c r="AE26" s="233"/>
      <c r="AF26" s="233"/>
      <c r="AG26" s="233"/>
      <c r="AH26" s="233"/>
      <c r="AI26" s="233"/>
      <c r="AJ26" s="233"/>
      <c r="AK26" s="949"/>
      <c r="AL26" s="229">
        <f>(S26*T26*U26)+(V26*W26*X26)+(Y26*Z26*AA26)+(AB26*AC26*AD26)+(AE26*AF26*AG26)</f>
        <v>0</v>
      </c>
      <c r="AM26" s="826"/>
      <c r="AN26" s="118"/>
      <c r="AO26" s="866"/>
      <c r="AP26" s="229">
        <v>4</v>
      </c>
      <c r="AQ26" s="126">
        <f>((14*2)+(11*2))/4</f>
        <v>12.5</v>
      </c>
      <c r="AR26" s="229">
        <f>((12.5*1)+(25*3))/4</f>
        <v>21.875</v>
      </c>
      <c r="AS26" s="229">
        <v>4</v>
      </c>
      <c r="AT26" s="229">
        <f>((14*1)+(8*3))/4</f>
        <v>9.5</v>
      </c>
      <c r="AU26" s="229">
        <f>((23*1)+(59*3))/4</f>
        <v>50</v>
      </c>
      <c r="AV26" s="229">
        <v>4</v>
      </c>
      <c r="AW26" s="229">
        <f>((12*1)+(7*1)+(6*2))/4</f>
        <v>7.75</v>
      </c>
      <c r="AX26" s="126">
        <f>((12.5*1)+(22.5*3))/4</f>
        <v>20</v>
      </c>
      <c r="AY26" s="229">
        <v>4</v>
      </c>
      <c r="AZ26" s="126">
        <f>((12*2)+(8*1)+(10*1))/4</f>
        <v>10.5</v>
      </c>
      <c r="BA26" s="126">
        <f>((32*1)+(68*3))/4</f>
        <v>59</v>
      </c>
      <c r="BB26" s="229">
        <v>4</v>
      </c>
      <c r="BC26" s="126">
        <f>((14*1)+(12*3))/4</f>
        <v>12.5</v>
      </c>
      <c r="BD26" s="229">
        <f>((13.6*1)+(24.9*3))/4</f>
        <v>22.074999999999996</v>
      </c>
      <c r="BE26" s="233"/>
      <c r="BF26" s="233"/>
      <c r="BG26" s="233"/>
      <c r="BH26" s="949"/>
      <c r="BI26" s="229">
        <f>(AP26*AQ26*AR26)+(AS26*AT26*AU26)+(AV26*AW26*AX26)+(AY26*AZ26*BA26)+(BB26*BC26*BD26)</f>
        <v>7195.5</v>
      </c>
      <c r="BJ26" s="826"/>
      <c r="BK26" s="118"/>
      <c r="BL26" s="866"/>
      <c r="BM26" s="462"/>
      <c r="BN26" s="462"/>
      <c r="BO26" s="462"/>
      <c r="BP26" s="462"/>
      <c r="BQ26" s="462"/>
      <c r="BR26" s="462"/>
      <c r="BS26" s="462"/>
      <c r="BT26" s="462"/>
      <c r="BU26" s="462"/>
      <c r="BV26" s="462"/>
      <c r="BW26" s="462"/>
      <c r="BX26" s="462"/>
      <c r="BY26" s="462"/>
      <c r="BZ26" s="462"/>
      <c r="CA26" s="462"/>
      <c r="CB26" s="462"/>
      <c r="CC26" s="462"/>
      <c r="CD26" s="463"/>
      <c r="CE26" s="949"/>
      <c r="CF26" s="229">
        <f>(BM26*BN26*BO26)+(BP26*BQ26*BR26)+(BS26*BT26*BU26)+(BV26*BW26*BX26)+(BY26*BZ26*CA26)</f>
        <v>0</v>
      </c>
      <c r="CG26" s="826"/>
      <c r="CI26" s="61">
        <v>24</v>
      </c>
      <c r="CJ26" s="62" t="str" cm="1">
        <f t="array" ref="CJ26">IF(INDEX(S:S, (ROW()-ROW($S$3))*3 + 3) &lt;&gt; "", "✔", "")</f>
        <v/>
      </c>
      <c r="CK26" s="61">
        <v>24</v>
      </c>
      <c r="CL26" s="62" t="str" cm="1">
        <f t="array" ref="CL26">IF(INDEX(AP:AP, (ROW()-ROW($AP$3))*3 + 3) &lt;&gt; "", "✔", "")</f>
        <v>✔</v>
      </c>
      <c r="CM26" s="61">
        <v>24</v>
      </c>
      <c r="CN26" s="62" t="str" cm="1">
        <f t="array" ref="CN26">IF(INDEX(BM:BM, (ROW()-ROW($BM$3))*3 + 3) &lt;&gt; "", "✔", "")</f>
        <v/>
      </c>
      <c r="CP26" s="231">
        <v>115</v>
      </c>
      <c r="CQ26" s="230">
        <f t="shared" si="1"/>
        <v>52.163080000000001</v>
      </c>
    </row>
    <row r="27" spans="1:95" ht="15">
      <c r="A27" s="231"/>
      <c r="B27" s="231"/>
      <c r="C27" s="395" t="s">
        <v>123</v>
      </c>
      <c r="D27" s="231" t="s">
        <v>554</v>
      </c>
      <c r="E27" s="231" t="s">
        <v>559</v>
      </c>
      <c r="F27" s="231" t="s">
        <v>556</v>
      </c>
      <c r="G27" s="231" t="s">
        <v>557</v>
      </c>
      <c r="H27" s="231" t="s">
        <v>565</v>
      </c>
      <c r="I27" s="395" t="s">
        <v>566</v>
      </c>
      <c r="R27" s="876">
        <v>46031</v>
      </c>
      <c r="S27" s="849" t="s">
        <v>377</v>
      </c>
      <c r="T27" s="849"/>
      <c r="U27" s="849"/>
      <c r="V27" s="848" t="s">
        <v>115</v>
      </c>
      <c r="W27" s="848"/>
      <c r="X27" s="848"/>
      <c r="Y27" s="848" t="s">
        <v>378</v>
      </c>
      <c r="Z27" s="848"/>
      <c r="AA27" s="848"/>
      <c r="AB27" s="890" t="s">
        <v>106</v>
      </c>
      <c r="AC27" s="890"/>
      <c r="AD27" s="890"/>
      <c r="AE27" s="834"/>
      <c r="AF27" s="835"/>
      <c r="AG27" s="836"/>
      <c r="AH27" s="834"/>
      <c r="AI27" s="835"/>
      <c r="AJ27" s="836"/>
      <c r="AK27" s="232" t="s">
        <v>425</v>
      </c>
      <c r="AL27" s="823">
        <f>COUNTA(S27:AJ27)</f>
        <v>4</v>
      </c>
      <c r="AM27" s="824">
        <v>76.7</v>
      </c>
      <c r="AN27" s="118"/>
      <c r="AO27" s="870">
        <v>46062</v>
      </c>
      <c r="AP27" s="848" t="s">
        <v>89</v>
      </c>
      <c r="AQ27" s="848"/>
      <c r="AR27" s="848"/>
      <c r="AS27" s="848" t="s">
        <v>380</v>
      </c>
      <c r="AT27" s="848"/>
      <c r="AU27" s="848"/>
      <c r="AV27" s="848" t="s">
        <v>115</v>
      </c>
      <c r="AW27" s="848"/>
      <c r="AX27" s="848"/>
      <c r="AY27" s="849" t="s">
        <v>114</v>
      </c>
      <c r="AZ27" s="849"/>
      <c r="BA27" s="849"/>
      <c r="BB27" s="848" t="s">
        <v>129</v>
      </c>
      <c r="BC27" s="848"/>
      <c r="BD27" s="848"/>
      <c r="BE27" s="834"/>
      <c r="BF27" s="835"/>
      <c r="BG27" s="836"/>
      <c r="BH27" s="232" t="s">
        <v>425</v>
      </c>
      <c r="BI27" s="823">
        <f>COUNTA(AP27:BG27)</f>
        <v>5</v>
      </c>
      <c r="BJ27" s="824">
        <v>77.650000000000006</v>
      </c>
      <c r="BK27" s="118"/>
      <c r="BL27" s="870">
        <v>46090</v>
      </c>
      <c r="BM27" s="960"/>
      <c r="BN27" s="960"/>
      <c r="BO27" s="960"/>
      <c r="BP27" s="960"/>
      <c r="BQ27" s="960"/>
      <c r="BR27" s="960"/>
      <c r="BS27" s="960"/>
      <c r="BT27" s="960"/>
      <c r="BU27" s="960"/>
      <c r="BV27" s="960"/>
      <c r="BW27" s="960"/>
      <c r="BX27" s="960"/>
      <c r="BY27" s="961"/>
      <c r="BZ27" s="962"/>
      <c r="CA27" s="963"/>
      <c r="CB27" s="961"/>
      <c r="CC27" s="962"/>
      <c r="CD27" s="963"/>
      <c r="CE27" s="232" t="s">
        <v>425</v>
      </c>
      <c r="CF27" s="823">
        <f>COUNTA(BM27:CD27)</f>
        <v>0</v>
      </c>
      <c r="CG27" s="824"/>
      <c r="CI27" s="61">
        <v>25</v>
      </c>
      <c r="CJ27" s="62" t="str" cm="1">
        <f t="array" ref="CJ27">IF(INDEX(S:S, (ROW()-ROW($S$3))*3 + 3) &lt;&gt; "", "✔", "")</f>
        <v>✔</v>
      </c>
      <c r="CK27" s="61">
        <v>25</v>
      </c>
      <c r="CL27" s="62" t="str" cm="1">
        <f t="array" ref="CL27">IF(INDEX(AP:AP, (ROW()-ROW($AP$3))*3 + 3) &lt;&gt; "", "✔", "")</f>
        <v>✔</v>
      </c>
      <c r="CM27" s="61">
        <v>25</v>
      </c>
      <c r="CN27" s="62" t="str" cm="1">
        <f t="array" ref="CN27">IF(INDEX(BM:BM, (ROW()-ROW($BM$3))*3 + 3) &lt;&gt; "", "✔", "")</f>
        <v/>
      </c>
      <c r="CP27" s="231">
        <v>120</v>
      </c>
      <c r="CQ27" s="230">
        <f t="shared" si="1"/>
        <v>54.431039999999996</v>
      </c>
    </row>
    <row r="28" spans="1:95" ht="15">
      <c r="A28" s="396" t="s">
        <v>399</v>
      </c>
      <c r="B28" s="396" t="s">
        <v>567</v>
      </c>
      <c r="C28" s="395" t="s">
        <v>89</v>
      </c>
      <c r="D28" s="231" t="s">
        <v>554</v>
      </c>
      <c r="E28" s="231" t="s">
        <v>559</v>
      </c>
      <c r="F28" s="231" t="s">
        <v>556</v>
      </c>
      <c r="G28" s="231" t="s">
        <v>557</v>
      </c>
      <c r="H28" s="231" t="s">
        <v>558</v>
      </c>
      <c r="I28" s="395" t="s">
        <v>385</v>
      </c>
      <c r="R28" s="877"/>
      <c r="S28" s="231" t="s">
        <v>59</v>
      </c>
      <c r="T28" s="231" t="s">
        <v>73</v>
      </c>
      <c r="U28" s="102" t="s">
        <v>4</v>
      </c>
      <c r="V28" s="231" t="s">
        <v>59</v>
      </c>
      <c r="W28" s="231" t="s">
        <v>73</v>
      </c>
      <c r="X28" s="102" t="s">
        <v>4</v>
      </c>
      <c r="Y28" s="231" t="s">
        <v>59</v>
      </c>
      <c r="Z28" s="231" t="s">
        <v>73</v>
      </c>
      <c r="AA28" s="102" t="s">
        <v>4</v>
      </c>
      <c r="AB28" s="231" t="s">
        <v>59</v>
      </c>
      <c r="AC28" s="231" t="s">
        <v>73</v>
      </c>
      <c r="AD28" s="102" t="s">
        <v>4</v>
      </c>
      <c r="AE28" s="107" t="s">
        <v>59</v>
      </c>
      <c r="AF28" s="107" t="s">
        <v>73</v>
      </c>
      <c r="AG28" s="108" t="s">
        <v>4</v>
      </c>
      <c r="AH28" s="107" t="s">
        <v>59</v>
      </c>
      <c r="AI28" s="107" t="s">
        <v>73</v>
      </c>
      <c r="AJ28" s="108" t="s">
        <v>4</v>
      </c>
      <c r="AK28" s="957">
        <v>35</v>
      </c>
      <c r="AL28" s="823"/>
      <c r="AM28" s="825"/>
      <c r="AN28" s="118"/>
      <c r="AO28" s="871"/>
      <c r="AP28" s="231" t="s">
        <v>59</v>
      </c>
      <c r="AQ28" s="231" t="s">
        <v>73</v>
      </c>
      <c r="AR28" s="102" t="s">
        <v>4</v>
      </c>
      <c r="AS28" s="231" t="s">
        <v>59</v>
      </c>
      <c r="AT28" s="231" t="s">
        <v>73</v>
      </c>
      <c r="AU28" s="102" t="s">
        <v>4</v>
      </c>
      <c r="AV28" s="231" t="s">
        <v>59</v>
      </c>
      <c r="AW28" s="231" t="s">
        <v>73</v>
      </c>
      <c r="AX28" s="102" t="s">
        <v>4</v>
      </c>
      <c r="AY28" s="231" t="s">
        <v>59</v>
      </c>
      <c r="AZ28" s="231" t="s">
        <v>73</v>
      </c>
      <c r="BA28" s="102" t="s">
        <v>4</v>
      </c>
      <c r="BB28" s="231" t="s">
        <v>59</v>
      </c>
      <c r="BC28" s="231" t="s">
        <v>73</v>
      </c>
      <c r="BD28" s="102" t="s">
        <v>4</v>
      </c>
      <c r="BE28" s="107" t="s">
        <v>59</v>
      </c>
      <c r="BF28" s="107" t="s">
        <v>73</v>
      </c>
      <c r="BG28" s="108" t="s">
        <v>4</v>
      </c>
      <c r="BH28" s="957">
        <v>65</v>
      </c>
      <c r="BI28" s="823"/>
      <c r="BJ28" s="825"/>
      <c r="BK28" s="118"/>
      <c r="BL28" s="871"/>
      <c r="BM28" s="460" t="s">
        <v>59</v>
      </c>
      <c r="BN28" s="460" t="s">
        <v>73</v>
      </c>
      <c r="BO28" s="461" t="s">
        <v>4</v>
      </c>
      <c r="BP28" s="460" t="s">
        <v>59</v>
      </c>
      <c r="BQ28" s="460" t="s">
        <v>73</v>
      </c>
      <c r="BR28" s="461" t="s">
        <v>4</v>
      </c>
      <c r="BS28" s="460" t="s">
        <v>59</v>
      </c>
      <c r="BT28" s="460" t="s">
        <v>73</v>
      </c>
      <c r="BU28" s="461" t="s">
        <v>4</v>
      </c>
      <c r="BV28" s="460" t="s">
        <v>59</v>
      </c>
      <c r="BW28" s="460" t="s">
        <v>73</v>
      </c>
      <c r="BX28" s="461" t="s">
        <v>4</v>
      </c>
      <c r="BY28" s="460" t="s">
        <v>59</v>
      </c>
      <c r="BZ28" s="460" t="s">
        <v>73</v>
      </c>
      <c r="CA28" s="461" t="s">
        <v>4</v>
      </c>
      <c r="CB28" s="460" t="s">
        <v>59</v>
      </c>
      <c r="CC28" s="460" t="s">
        <v>73</v>
      </c>
      <c r="CD28" s="461" t="s">
        <v>4</v>
      </c>
      <c r="CE28" s="957"/>
      <c r="CF28" s="823"/>
      <c r="CG28" s="825"/>
      <c r="CI28" s="61">
        <v>26</v>
      </c>
      <c r="CJ28" s="62" t="str" cm="1">
        <f t="array" ref="CJ28">IF(INDEX(S:S, (ROW()-ROW($S$3))*3 + 3) &lt;&gt; "", "✔", "")</f>
        <v>✔</v>
      </c>
      <c r="CK28" s="61">
        <v>26</v>
      </c>
      <c r="CL28" s="62" t="str" cm="1">
        <f t="array" ref="CL28">IF(INDEX(AP:AP, (ROW()-ROW($AP$3))*3 + 3) &lt;&gt; "", "✔", "")</f>
        <v>✔</v>
      </c>
      <c r="CM28" s="61">
        <v>26</v>
      </c>
      <c r="CN28" s="62" t="str" cm="1">
        <f t="array" ref="CN28">IF(INDEX(BM:BM, (ROW()-ROW($BM$3))*3 + 3) &lt;&gt; "", "✔", "")</f>
        <v/>
      </c>
      <c r="CP28" s="231">
        <v>125</v>
      </c>
      <c r="CQ28" s="230">
        <f t="shared" si="1"/>
        <v>56.698999999999998</v>
      </c>
    </row>
    <row r="29" spans="1:95" ht="15">
      <c r="A29" s="231"/>
      <c r="B29" s="231"/>
      <c r="C29" s="395" t="s">
        <v>380</v>
      </c>
      <c r="D29" s="231" t="s">
        <v>554</v>
      </c>
      <c r="E29" s="231" t="s">
        <v>563</v>
      </c>
      <c r="F29" s="231" t="s">
        <v>556</v>
      </c>
      <c r="G29" s="231" t="s">
        <v>557</v>
      </c>
      <c r="H29" s="231" t="s">
        <v>560</v>
      </c>
      <c r="I29" s="395" t="s">
        <v>561</v>
      </c>
      <c r="R29" s="878"/>
      <c r="S29" s="229">
        <v>4</v>
      </c>
      <c r="T29" s="229">
        <f>((12*2)+(8*2))/4</f>
        <v>10</v>
      </c>
      <c r="U29" s="229">
        <f>((7*1)+(8.5*2)+(11*1)+(12.25))/4</f>
        <v>11.8125</v>
      </c>
      <c r="V29" s="229">
        <v>4</v>
      </c>
      <c r="W29" s="229">
        <f>((12*1)+(8*3))/4</f>
        <v>9</v>
      </c>
      <c r="X29" s="229">
        <f>((9.1*1)+(24.9*3))/4</f>
        <v>20.949999999999996</v>
      </c>
      <c r="Y29" s="229">
        <v>3</v>
      </c>
      <c r="Z29" s="229">
        <v>8</v>
      </c>
      <c r="AA29" s="229">
        <v>23</v>
      </c>
      <c r="AB29" s="229">
        <v>3</v>
      </c>
      <c r="AC29" s="229">
        <v>8</v>
      </c>
      <c r="AD29" s="229">
        <v>15</v>
      </c>
      <c r="AE29" s="233"/>
      <c r="AF29" s="233"/>
      <c r="AG29" s="233"/>
      <c r="AH29" s="233"/>
      <c r="AI29" s="233"/>
      <c r="AJ29" s="233"/>
      <c r="AK29" s="949"/>
      <c r="AL29" s="229">
        <f>(S29*T29*U29)+(V29*W29*X29)+(Y29*Z29*AA29)+(AB29*AC29*AD29)+(AE29*AF29*AG29)+(AH29*AI29*AJ29)</f>
        <v>2138.6999999999998</v>
      </c>
      <c r="AM29" s="826"/>
      <c r="AN29" s="118"/>
      <c r="AO29" s="872"/>
      <c r="AP29" s="229">
        <v>4</v>
      </c>
      <c r="AQ29" s="229">
        <f>((12*1)+(8*3))/4</f>
        <v>9</v>
      </c>
      <c r="AR29" s="229">
        <f>((36*1)+(68*3))/4</f>
        <v>60</v>
      </c>
      <c r="AS29" s="229">
        <v>4</v>
      </c>
      <c r="AT29" s="229">
        <v>14</v>
      </c>
      <c r="AU29" s="229">
        <f>((18.1*1)+(34*3))/4</f>
        <v>30.024999999999999</v>
      </c>
      <c r="AV29" s="229">
        <v>4</v>
      </c>
      <c r="AW29" s="229">
        <f>((12*1)+(10*3))/4</f>
        <v>10.5</v>
      </c>
      <c r="AX29" s="229">
        <f>((11.3*1)+(24.9*3))/4</f>
        <v>21.499999999999996</v>
      </c>
      <c r="AY29" s="229">
        <v>4</v>
      </c>
      <c r="AZ29" s="229">
        <f>((12*1)+(8*1)+(10*2))/4</f>
        <v>10</v>
      </c>
      <c r="BA29" s="229">
        <f>((2.5*1)+(7.5*3))/4</f>
        <v>6.25</v>
      </c>
      <c r="BB29" s="229">
        <v>4</v>
      </c>
      <c r="BC29" s="126">
        <f>((14*1)+(12*2)+(8*1))/4</f>
        <v>11.5</v>
      </c>
      <c r="BD29" s="126">
        <f>((11.3*1)+(22.7*2)+(24.9*1))/4</f>
        <v>20.399999999999999</v>
      </c>
      <c r="BE29" s="233"/>
      <c r="BF29" s="233"/>
      <c r="BG29" s="233"/>
      <c r="BH29" s="949"/>
      <c r="BI29" s="229">
        <f>(AP29*AQ29*AR29)+(AS29*AT29*AU29)+(AV29*AW29*AX29)+(AY29*AZ29*BA29)+(BB29*BC29*BD29)+(BE29*BF29*BG29)</f>
        <v>5932.7999999999993</v>
      </c>
      <c r="BJ29" s="826"/>
      <c r="BK29" s="118"/>
      <c r="BL29" s="872"/>
      <c r="BM29" s="462"/>
      <c r="BN29" s="462"/>
      <c r="BO29" s="462"/>
      <c r="BP29" s="462"/>
      <c r="BQ29" s="462"/>
      <c r="BR29" s="462"/>
      <c r="BS29" s="462"/>
      <c r="BT29" s="462"/>
      <c r="BU29" s="462"/>
      <c r="BV29" s="462"/>
      <c r="BW29" s="462"/>
      <c r="BX29" s="462"/>
      <c r="BY29" s="462"/>
      <c r="BZ29" s="462"/>
      <c r="CA29" s="462"/>
      <c r="CB29" s="462"/>
      <c r="CC29" s="462"/>
      <c r="CD29" s="462"/>
      <c r="CE29" s="949"/>
      <c r="CF29" s="229">
        <f>(BM29*BN29*BO29)+(BP29*BQ29*BR29)+(BS29*BT29*BU29)+(BV29*BW29*BX29)+(BY29*BZ29*CA29)+(CB29*CC29*CD29)</f>
        <v>0</v>
      </c>
      <c r="CG29" s="826"/>
      <c r="CI29" s="61">
        <v>27</v>
      </c>
      <c r="CJ29" s="62" t="str" cm="1">
        <f t="array" ref="CJ29">IF(INDEX(S:S, (ROW()-ROW($S$3))*3 + 3) &lt;&gt; "", "✔", "")</f>
        <v>✔</v>
      </c>
      <c r="CK29" s="61">
        <v>27</v>
      </c>
      <c r="CL29" s="62" t="str" cm="1">
        <f t="array" ref="CL29">IF(INDEX(AP:AP, (ROW()-ROW($AP$3))*3 + 3) &lt;&gt; "", "✔", "")</f>
        <v>✔</v>
      </c>
      <c r="CM29" s="61">
        <v>27</v>
      </c>
      <c r="CN29" s="62" t="str" cm="1">
        <f t="array" ref="CN29">IF(INDEX(BM:BM, (ROW()-ROW($BM$3))*3 + 3) &lt;&gt; "", "✔", "")</f>
        <v/>
      </c>
      <c r="CP29" s="231">
        <v>130</v>
      </c>
      <c r="CQ29" s="230">
        <f t="shared" si="1"/>
        <v>58.96696</v>
      </c>
    </row>
    <row r="30" spans="1:95" ht="15">
      <c r="A30" s="231"/>
      <c r="B30" s="231"/>
      <c r="C30" s="395" t="s">
        <v>388</v>
      </c>
      <c r="D30" s="231" t="s">
        <v>554</v>
      </c>
      <c r="E30" s="231" t="s">
        <v>559</v>
      </c>
      <c r="F30" s="231" t="s">
        <v>556</v>
      </c>
      <c r="G30" s="231" t="s">
        <v>557</v>
      </c>
      <c r="H30" s="231" t="s">
        <v>568</v>
      </c>
      <c r="I30" s="395" t="s">
        <v>387</v>
      </c>
      <c r="R30" s="840">
        <v>46032</v>
      </c>
      <c r="S30" s="844"/>
      <c r="T30" s="844"/>
      <c r="U30" s="844"/>
      <c r="V30" s="844"/>
      <c r="W30" s="844"/>
      <c r="X30" s="844"/>
      <c r="Y30" s="844"/>
      <c r="Z30" s="844"/>
      <c r="AA30" s="844"/>
      <c r="AB30" s="844"/>
      <c r="AC30" s="844"/>
      <c r="AD30" s="844"/>
      <c r="AE30" s="834"/>
      <c r="AF30" s="835"/>
      <c r="AG30" s="836"/>
      <c r="AH30" s="834"/>
      <c r="AI30" s="835"/>
      <c r="AJ30" s="836"/>
      <c r="AK30" s="232" t="s">
        <v>425</v>
      </c>
      <c r="AL30" s="823">
        <f>COUNTA(S30:AJ30)</f>
        <v>0</v>
      </c>
      <c r="AM30" s="824">
        <f>AM27</f>
        <v>76.7</v>
      </c>
      <c r="AN30" s="118"/>
      <c r="AO30" s="856">
        <v>46063</v>
      </c>
      <c r="AP30" s="848" t="s">
        <v>70</v>
      </c>
      <c r="AQ30" s="848"/>
      <c r="AR30" s="848"/>
      <c r="AS30" s="859"/>
      <c r="AT30" s="859"/>
      <c r="AU30" s="859"/>
      <c r="AV30" s="834"/>
      <c r="AW30" s="835"/>
      <c r="AX30" s="836"/>
      <c r="AY30" s="867"/>
      <c r="AZ30" s="868"/>
      <c r="BA30" s="869"/>
      <c r="BB30" s="834"/>
      <c r="BC30" s="835"/>
      <c r="BD30" s="836"/>
      <c r="BE30" s="834"/>
      <c r="BF30" s="835"/>
      <c r="BG30" s="836"/>
      <c r="BH30" s="232" t="s">
        <v>425</v>
      </c>
      <c r="BI30" s="823">
        <f>COUNTA(AP30:BG30)</f>
        <v>1</v>
      </c>
      <c r="BJ30" s="824">
        <v>77.150000000000006</v>
      </c>
      <c r="BK30" s="118"/>
      <c r="BL30" s="856">
        <v>46091</v>
      </c>
      <c r="BM30" s="960"/>
      <c r="BN30" s="960"/>
      <c r="BO30" s="960"/>
      <c r="BP30" s="960"/>
      <c r="BQ30" s="960"/>
      <c r="BR30" s="960"/>
      <c r="BS30" s="960"/>
      <c r="BT30" s="960"/>
      <c r="BU30" s="960"/>
      <c r="BV30" s="960"/>
      <c r="BW30" s="960"/>
      <c r="BX30" s="960"/>
      <c r="BY30" s="961"/>
      <c r="BZ30" s="962"/>
      <c r="CA30" s="963"/>
      <c r="CB30" s="961"/>
      <c r="CC30" s="962"/>
      <c r="CD30" s="963"/>
      <c r="CE30" s="232" t="s">
        <v>425</v>
      </c>
      <c r="CF30" s="823">
        <f>COUNTA(BM30:CD30)</f>
        <v>0</v>
      </c>
      <c r="CG30" s="824"/>
      <c r="CI30" s="61">
        <v>28</v>
      </c>
      <c r="CJ30" s="62" t="str" cm="1">
        <f t="array" ref="CJ30">IF(INDEX(S:S, (ROW()-ROW($S$3))*3 + 3) &lt;&gt; "", "✔", "")</f>
        <v>✔</v>
      </c>
      <c r="CK30" s="61">
        <v>28</v>
      </c>
      <c r="CL30" s="62" t="str" cm="1">
        <f t="array" ref="CL30">IF(INDEX(AP:AP, (ROW()-ROW($AP$3))*3 + 3) &lt;&gt; "", "✔", "")</f>
        <v/>
      </c>
      <c r="CM30" s="61">
        <v>28</v>
      </c>
      <c r="CN30" s="62" t="str" cm="1">
        <f t="array" ref="CN30">IF(INDEX(BM:BM, (ROW()-ROW($BM$3))*3 + 3) &lt;&gt; "", "✔", "")</f>
        <v/>
      </c>
      <c r="CP30" s="231">
        <v>135</v>
      </c>
      <c r="CQ30" s="230">
        <f t="shared" si="1"/>
        <v>61.234920000000002</v>
      </c>
    </row>
    <row r="31" spans="1:95" ht="15">
      <c r="A31" s="231"/>
      <c r="B31" s="231"/>
      <c r="C31" s="395" t="s">
        <v>126</v>
      </c>
      <c r="D31" s="231" t="s">
        <v>554</v>
      </c>
      <c r="E31" s="231" t="s">
        <v>569</v>
      </c>
      <c r="F31" s="231" t="s">
        <v>556</v>
      </c>
      <c r="G31" s="231" t="s">
        <v>557</v>
      </c>
      <c r="H31" s="231" t="s">
        <v>562</v>
      </c>
      <c r="I31" s="395" t="s">
        <v>561</v>
      </c>
      <c r="R31" s="841"/>
      <c r="S31" s="107" t="s">
        <v>59</v>
      </c>
      <c r="T31" s="107" t="s">
        <v>73</v>
      </c>
      <c r="U31" s="108" t="s">
        <v>4</v>
      </c>
      <c r="V31" s="107" t="s">
        <v>59</v>
      </c>
      <c r="W31" s="107" t="s">
        <v>73</v>
      </c>
      <c r="X31" s="108" t="s">
        <v>4</v>
      </c>
      <c r="Y31" s="107" t="s">
        <v>59</v>
      </c>
      <c r="Z31" s="107" t="s">
        <v>73</v>
      </c>
      <c r="AA31" s="108" t="s">
        <v>4</v>
      </c>
      <c r="AB31" s="107" t="s">
        <v>59</v>
      </c>
      <c r="AC31" s="107" t="s">
        <v>73</v>
      </c>
      <c r="AD31" s="108" t="s">
        <v>4</v>
      </c>
      <c r="AE31" s="107" t="s">
        <v>59</v>
      </c>
      <c r="AF31" s="107" t="s">
        <v>73</v>
      </c>
      <c r="AG31" s="108" t="s">
        <v>4</v>
      </c>
      <c r="AH31" s="107" t="s">
        <v>59</v>
      </c>
      <c r="AI31" s="107" t="s">
        <v>73</v>
      </c>
      <c r="AJ31" s="108" t="s">
        <v>4</v>
      </c>
      <c r="AK31" s="957">
        <v>0</v>
      </c>
      <c r="AL31" s="823"/>
      <c r="AM31" s="825"/>
      <c r="AN31" s="118"/>
      <c r="AO31" s="857"/>
      <c r="AP31" s="231" t="s">
        <v>59</v>
      </c>
      <c r="AQ31" s="231" t="s">
        <v>73</v>
      </c>
      <c r="AR31" s="102" t="s">
        <v>4</v>
      </c>
      <c r="AS31" s="107" t="s">
        <v>59</v>
      </c>
      <c r="AT31" s="107" t="s">
        <v>73</v>
      </c>
      <c r="AU31" s="108" t="s">
        <v>4</v>
      </c>
      <c r="AV31" s="107" t="s">
        <v>59</v>
      </c>
      <c r="AW31" s="107" t="s">
        <v>73</v>
      </c>
      <c r="AX31" s="108" t="s">
        <v>4</v>
      </c>
      <c r="AY31" s="107" t="s">
        <v>59</v>
      </c>
      <c r="AZ31" s="107" t="s">
        <v>73</v>
      </c>
      <c r="BA31" s="108" t="s">
        <v>4</v>
      </c>
      <c r="BB31" s="107" t="s">
        <v>59</v>
      </c>
      <c r="BC31" s="107" t="s">
        <v>73</v>
      </c>
      <c r="BD31" s="108" t="s">
        <v>4</v>
      </c>
      <c r="BE31" s="107" t="s">
        <v>59</v>
      </c>
      <c r="BF31" s="107" t="s">
        <v>73</v>
      </c>
      <c r="BG31" s="108" t="s">
        <v>4</v>
      </c>
      <c r="BH31" s="957">
        <v>48</v>
      </c>
      <c r="BI31" s="823"/>
      <c r="BJ31" s="825"/>
      <c r="BK31" s="118"/>
      <c r="BL31" s="857"/>
      <c r="BM31" s="460" t="s">
        <v>59</v>
      </c>
      <c r="BN31" s="460" t="s">
        <v>73</v>
      </c>
      <c r="BO31" s="461" t="s">
        <v>4</v>
      </c>
      <c r="BP31" s="460" t="s">
        <v>59</v>
      </c>
      <c r="BQ31" s="460" t="s">
        <v>73</v>
      </c>
      <c r="BR31" s="461" t="s">
        <v>4</v>
      </c>
      <c r="BS31" s="460" t="s">
        <v>59</v>
      </c>
      <c r="BT31" s="460" t="s">
        <v>73</v>
      </c>
      <c r="BU31" s="461" t="s">
        <v>4</v>
      </c>
      <c r="BV31" s="460" t="s">
        <v>59</v>
      </c>
      <c r="BW31" s="460" t="s">
        <v>73</v>
      </c>
      <c r="BX31" s="461" t="s">
        <v>4</v>
      </c>
      <c r="BY31" s="460" t="s">
        <v>59</v>
      </c>
      <c r="BZ31" s="460" t="s">
        <v>73</v>
      </c>
      <c r="CA31" s="461" t="s">
        <v>4</v>
      </c>
      <c r="CB31" s="460" t="s">
        <v>59</v>
      </c>
      <c r="CC31" s="460" t="s">
        <v>73</v>
      </c>
      <c r="CD31" s="461" t="s">
        <v>4</v>
      </c>
      <c r="CE31" s="957"/>
      <c r="CF31" s="823"/>
      <c r="CG31" s="825"/>
      <c r="CI31" s="61">
        <v>29</v>
      </c>
      <c r="CJ31" s="62" t="str" cm="1">
        <f t="array" ref="CJ31">IF(INDEX(S:S, (ROW()-ROW($S$3))*3 + 3) &lt;&gt; "", "✔", "")</f>
        <v>✔</v>
      </c>
      <c r="CK31" s="76">
        <v>29</v>
      </c>
      <c r="CL31" s="77" t="str" cm="1">
        <f t="array" ref="CL31">IF(INDEX(AP:AP, (ROW()-ROW($AP$3))*3 + 3) &lt;&gt; "", "✔", "")</f>
        <v/>
      </c>
      <c r="CM31" s="61">
        <v>29</v>
      </c>
      <c r="CN31" s="62" t="str" cm="1">
        <f t="array" ref="CN31">IF(INDEX(BM:BM, (ROW()-ROW($BM$3))*3 + 3) &lt;&gt; "", "✔", "")</f>
        <v/>
      </c>
      <c r="CP31" s="231">
        <v>140</v>
      </c>
      <c r="CQ31" s="230">
        <f t="shared" si="1"/>
        <v>63.502879999999998</v>
      </c>
    </row>
    <row r="32" spans="1:95" ht="15">
      <c r="A32" s="231"/>
      <c r="B32" s="231"/>
      <c r="C32" s="395" t="s">
        <v>129</v>
      </c>
      <c r="D32" s="231" t="s">
        <v>554</v>
      </c>
      <c r="E32" s="231" t="s">
        <v>569</v>
      </c>
      <c r="F32" s="231" t="s">
        <v>556</v>
      </c>
      <c r="G32" s="231" t="s">
        <v>557</v>
      </c>
      <c r="H32" s="231" t="s">
        <v>562</v>
      </c>
      <c r="I32" s="395" t="s">
        <v>570</v>
      </c>
      <c r="R32" s="842"/>
      <c r="S32" s="233"/>
      <c r="T32" s="233"/>
      <c r="U32" s="233"/>
      <c r="V32" s="233"/>
      <c r="W32" s="233"/>
      <c r="X32" s="233"/>
      <c r="Y32" s="233"/>
      <c r="Z32" s="233"/>
      <c r="AA32" s="233"/>
      <c r="AB32" s="233"/>
      <c r="AC32" s="233"/>
      <c r="AD32" s="233"/>
      <c r="AE32" s="233"/>
      <c r="AF32" s="233"/>
      <c r="AG32" s="233"/>
      <c r="AH32" s="233"/>
      <c r="AI32" s="233"/>
      <c r="AJ32" s="233"/>
      <c r="AK32" s="949"/>
      <c r="AL32" s="229">
        <f>(S32*T32*U32)+(V32*W32*X32)+(Y32*Z32*AA32)+(AB32*AC32*AD32)+(AE32*AF32*AG32)+(AH32*AI32*AJ32)</f>
        <v>0</v>
      </c>
      <c r="AM32" s="826"/>
      <c r="AN32" s="118"/>
      <c r="AO32" s="858"/>
      <c r="AP32" s="229">
        <v>1</v>
      </c>
      <c r="AQ32" s="229">
        <v>45</v>
      </c>
      <c r="AR32" s="229">
        <f>BJ30</f>
        <v>77.150000000000006</v>
      </c>
      <c r="AS32" s="233"/>
      <c r="AT32" s="233"/>
      <c r="AU32" s="233"/>
      <c r="AV32" s="233"/>
      <c r="AW32" s="233"/>
      <c r="AX32" s="233"/>
      <c r="AY32" s="233"/>
      <c r="AZ32" s="233"/>
      <c r="BA32" s="233"/>
      <c r="BB32" s="233"/>
      <c r="BC32" s="233"/>
      <c r="BD32" s="233"/>
      <c r="BE32" s="233"/>
      <c r="BF32" s="233"/>
      <c r="BG32" s="233"/>
      <c r="BH32" s="949"/>
      <c r="BI32" s="229">
        <f>(AP32*AQ32*AR32)+(AS32*AT32*AU32)+(AV32*AW32*AX32)+(AY32*AZ32*BA32)+(BB32*BC32*BD32)+(BE32*BF32*BG32)</f>
        <v>3471.7500000000005</v>
      </c>
      <c r="BJ32" s="826"/>
      <c r="BK32" s="118"/>
      <c r="BL32" s="858"/>
      <c r="BM32" s="462"/>
      <c r="BN32" s="462"/>
      <c r="BO32" s="462"/>
      <c r="BP32" s="462"/>
      <c r="BQ32" s="462"/>
      <c r="BR32" s="462"/>
      <c r="BS32" s="462"/>
      <c r="BT32" s="462"/>
      <c r="BU32" s="462"/>
      <c r="BV32" s="462"/>
      <c r="BW32" s="462"/>
      <c r="BX32" s="462"/>
      <c r="BY32" s="462"/>
      <c r="BZ32" s="462"/>
      <c r="CA32" s="462"/>
      <c r="CB32" s="462"/>
      <c r="CC32" s="462"/>
      <c r="CD32" s="463"/>
      <c r="CE32" s="949"/>
      <c r="CF32" s="229">
        <f>(BM32*BN32*BO32)+(BP32*BQ32*BR32)+(BS32*BT32*BU32)+(BV32*BW32*BX32)+(BY32*BZ32*CA32)+(CB32*CC32*CD32)</f>
        <v>0</v>
      </c>
      <c r="CG32" s="826"/>
      <c r="CI32" s="61">
        <v>30</v>
      </c>
      <c r="CJ32" s="62" t="str" cm="1">
        <f t="array" ref="CJ32">IF(INDEX(S:S, (ROW()-ROW($S$3))*3 + 3) &lt;&gt; "", "✔", "")</f>
        <v>✔</v>
      </c>
      <c r="CK32" s="76">
        <v>30</v>
      </c>
      <c r="CL32" s="77" t="str" cm="1">
        <f t="array" ref="CL32">IF(INDEX(AP:AP, (ROW()-ROW($AP$3))*3 + 3) &lt;&gt; "", "✔", "")</f>
        <v/>
      </c>
      <c r="CM32" s="61">
        <v>30</v>
      </c>
      <c r="CN32" s="62" t="str" cm="1">
        <f t="array" ref="CN32">IF(INDEX(BM:BM, (ROW()-ROW($BM$3))*3 + 3) &lt;&gt; "", "✔", "")</f>
        <v/>
      </c>
      <c r="CP32" s="231">
        <v>145</v>
      </c>
      <c r="CQ32" s="230">
        <f t="shared" si="1"/>
        <v>65.770839999999993</v>
      </c>
    </row>
    <row r="33" spans="1:95" ht="15.75" thickBot="1">
      <c r="A33" s="396" t="s">
        <v>571</v>
      </c>
      <c r="B33" s="396" t="s">
        <v>572</v>
      </c>
      <c r="C33" s="395" t="s">
        <v>396</v>
      </c>
      <c r="D33" s="231" t="s">
        <v>573</v>
      </c>
      <c r="E33" s="231" t="s">
        <v>397</v>
      </c>
      <c r="F33" s="231" t="s">
        <v>9</v>
      </c>
      <c r="G33" s="231" t="s">
        <v>9</v>
      </c>
      <c r="H33" s="231" t="s">
        <v>572</v>
      </c>
      <c r="I33" s="395"/>
      <c r="R33" s="864">
        <v>46033</v>
      </c>
      <c r="S33" s="848" t="s">
        <v>147</v>
      </c>
      <c r="T33" s="848"/>
      <c r="U33" s="848"/>
      <c r="V33" s="890" t="s">
        <v>379</v>
      </c>
      <c r="W33" s="890"/>
      <c r="X33" s="890"/>
      <c r="Y33" s="848" t="s">
        <v>129</v>
      </c>
      <c r="Z33" s="848"/>
      <c r="AA33" s="848"/>
      <c r="AB33" s="848" t="s">
        <v>380</v>
      </c>
      <c r="AC33" s="848"/>
      <c r="AD33" s="848"/>
      <c r="AE33" s="882" t="s">
        <v>103</v>
      </c>
      <c r="AF33" s="883"/>
      <c r="AG33" s="884"/>
      <c r="AH33" s="882" t="s">
        <v>146</v>
      </c>
      <c r="AI33" s="883"/>
      <c r="AJ33" s="884"/>
      <c r="AK33" s="232" t="s">
        <v>425</v>
      </c>
      <c r="AL33" s="823">
        <f>COUNTA(S33:AJ33)</f>
        <v>6</v>
      </c>
      <c r="AM33" s="824">
        <v>77</v>
      </c>
      <c r="AN33" s="118"/>
      <c r="AO33" s="845">
        <v>46064</v>
      </c>
      <c r="AP33" s="849" t="s">
        <v>156</v>
      </c>
      <c r="AQ33" s="849"/>
      <c r="AR33" s="849"/>
      <c r="AS33" s="848" t="s">
        <v>103</v>
      </c>
      <c r="AT33" s="848"/>
      <c r="AU33" s="848"/>
      <c r="AV33" s="848" t="s">
        <v>68</v>
      </c>
      <c r="AW33" s="848"/>
      <c r="AX33" s="848"/>
      <c r="AY33" s="848" t="s">
        <v>417</v>
      </c>
      <c r="AZ33" s="848"/>
      <c r="BA33" s="848"/>
      <c r="BB33" s="834"/>
      <c r="BC33" s="835"/>
      <c r="BD33" s="836"/>
      <c r="BE33" s="834"/>
      <c r="BF33" s="835"/>
      <c r="BG33" s="836"/>
      <c r="BH33" s="232" t="s">
        <v>425</v>
      </c>
      <c r="BI33" s="823">
        <f>COUNTA(AP33:BG33)</f>
        <v>4</v>
      </c>
      <c r="BJ33" s="824">
        <v>77.2</v>
      </c>
      <c r="BK33" s="118"/>
      <c r="BL33" s="845">
        <v>46092</v>
      </c>
      <c r="BM33" s="960"/>
      <c r="BN33" s="960"/>
      <c r="BO33" s="960"/>
      <c r="BP33" s="960"/>
      <c r="BQ33" s="960"/>
      <c r="BR33" s="960"/>
      <c r="BS33" s="960"/>
      <c r="BT33" s="960"/>
      <c r="BU33" s="960"/>
      <c r="BV33" s="960"/>
      <c r="BW33" s="960"/>
      <c r="BX33" s="960"/>
      <c r="BY33" s="961"/>
      <c r="BZ33" s="962"/>
      <c r="CA33" s="963"/>
      <c r="CB33" s="961"/>
      <c r="CC33" s="962"/>
      <c r="CD33" s="963"/>
      <c r="CE33" s="232" t="s">
        <v>425</v>
      </c>
      <c r="CF33" s="823">
        <f>COUNTA(BM33:CD33)</f>
        <v>0</v>
      </c>
      <c r="CG33" s="824"/>
      <c r="CI33" s="63">
        <v>31</v>
      </c>
      <c r="CJ33" s="62" t="str" cm="1">
        <f t="array" ref="CJ33">IF(INDEX(S:S, (ROW()-ROW($S$3))*3 + 3) &lt;&gt; "", "✔", "")</f>
        <v/>
      </c>
      <c r="CK33" s="110">
        <v>31</v>
      </c>
      <c r="CL33" s="77" t="str" cm="1">
        <f t="array" ref="CL33">IF(INDEX(AP:AP, (ROW()-ROW($AP$3))*3 + 3) &lt;&gt; "", "✔", "")</f>
        <v/>
      </c>
      <c r="CM33" s="63">
        <v>31</v>
      </c>
      <c r="CN33" s="62" t="str" cm="1">
        <f t="array" ref="CN33">IF(INDEX(BM:BM, (ROW()-ROW($BM$3))*3 + 3) &lt;&gt; "", "✔", "")</f>
        <v/>
      </c>
      <c r="CP33" s="231">
        <v>150</v>
      </c>
      <c r="CQ33" s="230">
        <f t="shared" si="1"/>
        <v>68.038799999999995</v>
      </c>
    </row>
    <row r="34" spans="1:95" ht="15">
      <c r="A34" s="396" t="s">
        <v>402</v>
      </c>
      <c r="B34" s="396" t="s">
        <v>574</v>
      </c>
      <c r="C34" s="395" t="s">
        <v>69</v>
      </c>
      <c r="D34" s="231" t="s">
        <v>554</v>
      </c>
      <c r="E34" s="231" t="s">
        <v>559</v>
      </c>
      <c r="F34" s="231" t="s">
        <v>556</v>
      </c>
      <c r="G34" s="231" t="s">
        <v>557</v>
      </c>
      <c r="H34" s="231" t="s">
        <v>564</v>
      </c>
      <c r="I34" s="395" t="s">
        <v>385</v>
      </c>
      <c r="R34" s="865"/>
      <c r="S34" s="231" t="s">
        <v>59</v>
      </c>
      <c r="T34" s="231" t="s">
        <v>73</v>
      </c>
      <c r="U34" s="102" t="s">
        <v>4</v>
      </c>
      <c r="V34" s="231" t="s">
        <v>59</v>
      </c>
      <c r="W34" s="231" t="s">
        <v>73</v>
      </c>
      <c r="X34" s="102" t="s">
        <v>4</v>
      </c>
      <c r="Y34" s="231" t="s">
        <v>59</v>
      </c>
      <c r="Z34" s="231" t="s">
        <v>73</v>
      </c>
      <c r="AA34" s="102" t="s">
        <v>4</v>
      </c>
      <c r="AB34" s="231" t="s">
        <v>59</v>
      </c>
      <c r="AC34" s="231" t="s">
        <v>73</v>
      </c>
      <c r="AD34" s="102" t="s">
        <v>4</v>
      </c>
      <c r="AE34" s="231" t="s">
        <v>59</v>
      </c>
      <c r="AF34" s="231" t="s">
        <v>73</v>
      </c>
      <c r="AG34" s="102" t="s">
        <v>4</v>
      </c>
      <c r="AH34" s="231" t="s">
        <v>59</v>
      </c>
      <c r="AI34" s="231" t="s">
        <v>73</v>
      </c>
      <c r="AJ34" s="102" t="s">
        <v>4</v>
      </c>
      <c r="AK34" s="957">
        <v>74</v>
      </c>
      <c r="AL34" s="823"/>
      <c r="AM34" s="825"/>
      <c r="AN34" s="118"/>
      <c r="AO34" s="846"/>
      <c r="AP34" s="231" t="s">
        <v>59</v>
      </c>
      <c r="AQ34" s="231" t="s">
        <v>73</v>
      </c>
      <c r="AR34" s="102" t="s">
        <v>4</v>
      </c>
      <c r="AS34" s="231" t="s">
        <v>59</v>
      </c>
      <c r="AT34" s="231" t="s">
        <v>73</v>
      </c>
      <c r="AU34" s="102" t="s">
        <v>4</v>
      </c>
      <c r="AV34" s="231" t="s">
        <v>59</v>
      </c>
      <c r="AW34" s="231" t="s">
        <v>73</v>
      </c>
      <c r="AX34" s="102" t="s">
        <v>4</v>
      </c>
      <c r="AY34" s="231" t="s">
        <v>59</v>
      </c>
      <c r="AZ34" s="231" t="s">
        <v>73</v>
      </c>
      <c r="BA34" s="102" t="s">
        <v>4</v>
      </c>
      <c r="BB34" s="107" t="s">
        <v>59</v>
      </c>
      <c r="BC34" s="107" t="s">
        <v>73</v>
      </c>
      <c r="BD34" s="108" t="s">
        <v>4</v>
      </c>
      <c r="BE34" s="107" t="s">
        <v>59</v>
      </c>
      <c r="BF34" s="107" t="s">
        <v>73</v>
      </c>
      <c r="BG34" s="108" t="s">
        <v>4</v>
      </c>
      <c r="BH34" s="957">
        <v>74</v>
      </c>
      <c r="BI34" s="823"/>
      <c r="BJ34" s="825"/>
      <c r="BK34" s="118"/>
      <c r="BL34" s="846"/>
      <c r="BM34" s="460" t="s">
        <v>59</v>
      </c>
      <c r="BN34" s="460" t="s">
        <v>73</v>
      </c>
      <c r="BO34" s="461" t="s">
        <v>4</v>
      </c>
      <c r="BP34" s="460" t="s">
        <v>59</v>
      </c>
      <c r="BQ34" s="460" t="s">
        <v>73</v>
      </c>
      <c r="BR34" s="461" t="s">
        <v>4</v>
      </c>
      <c r="BS34" s="460" t="s">
        <v>59</v>
      </c>
      <c r="BT34" s="460" t="s">
        <v>73</v>
      </c>
      <c r="BU34" s="461" t="s">
        <v>4</v>
      </c>
      <c r="BV34" s="460" t="s">
        <v>59</v>
      </c>
      <c r="BW34" s="460" t="s">
        <v>73</v>
      </c>
      <c r="BX34" s="461" t="s">
        <v>4</v>
      </c>
      <c r="BY34" s="460" t="s">
        <v>59</v>
      </c>
      <c r="BZ34" s="460" t="s">
        <v>73</v>
      </c>
      <c r="CA34" s="461" t="s">
        <v>4</v>
      </c>
      <c r="CB34" s="460" t="s">
        <v>59</v>
      </c>
      <c r="CC34" s="460" t="s">
        <v>73</v>
      </c>
      <c r="CD34" s="461" t="s">
        <v>4</v>
      </c>
      <c r="CE34" s="957"/>
      <c r="CF34" s="823"/>
      <c r="CG34" s="825"/>
      <c r="CI34" s="813" t="s">
        <v>55</v>
      </c>
      <c r="CJ34" s="78">
        <f>COUNTIF(CJ3:CJ33,"✔")</f>
        <v>21</v>
      </c>
      <c r="CK34" s="912" t="s">
        <v>55</v>
      </c>
      <c r="CL34" s="78">
        <f>COUNTIF(CL3:CL33,"✔")</f>
        <v>24</v>
      </c>
      <c r="CM34" s="912" t="s">
        <v>55</v>
      </c>
      <c r="CN34" s="78">
        <f>COUNTIF(CN3:CN33,"✔")</f>
        <v>2</v>
      </c>
    </row>
    <row r="35" spans="1:95" ht="15.75" thickBot="1">
      <c r="A35" s="231"/>
      <c r="B35" s="231"/>
      <c r="C35" s="395" t="s">
        <v>103</v>
      </c>
      <c r="D35" s="231" t="s">
        <v>554</v>
      </c>
      <c r="E35" s="231" t="s">
        <v>569</v>
      </c>
      <c r="F35" s="231" t="s">
        <v>556</v>
      </c>
      <c r="G35" s="231" t="s">
        <v>557</v>
      </c>
      <c r="H35" s="231" t="s">
        <v>575</v>
      </c>
      <c r="I35" s="395" t="s">
        <v>561</v>
      </c>
      <c r="R35" s="866"/>
      <c r="S35" s="229">
        <v>4</v>
      </c>
      <c r="T35" s="229">
        <f>((1*1)+(2*3))/4</f>
        <v>1.75</v>
      </c>
      <c r="U35" s="229">
        <f>AM33</f>
        <v>77</v>
      </c>
      <c r="V35" s="229">
        <v>4</v>
      </c>
      <c r="W35" s="229">
        <v>12</v>
      </c>
      <c r="X35" s="229">
        <f>+((3.5*1)+(8.5*1)+(12.25*1)+(13*1))/4</f>
        <v>9.3125</v>
      </c>
      <c r="Y35" s="229">
        <v>4</v>
      </c>
      <c r="Z35" s="229">
        <v>12</v>
      </c>
      <c r="AA35" s="229">
        <f>((9.1*1)+(15.9*1)+(18.1*1)+(20.4*1))/4</f>
        <v>15.875</v>
      </c>
      <c r="AB35" s="229">
        <v>4</v>
      </c>
      <c r="AC35" s="229">
        <v>12</v>
      </c>
      <c r="AD35" s="229">
        <f>((9.1*1)+(15.9*1)+(24.9*1)+(27.2*1))/4</f>
        <v>19.274999999999999</v>
      </c>
      <c r="AE35" s="229">
        <v>4</v>
      </c>
      <c r="AF35" s="229">
        <f>((12*3)+(8*1))/4</f>
        <v>11</v>
      </c>
      <c r="AG35" s="229">
        <f>((7.5*1)+(15*1)+(17.5*1)+(20*1))/4</f>
        <v>15</v>
      </c>
      <c r="AH35" s="229">
        <v>4</v>
      </c>
      <c r="AI35" s="229">
        <v>12</v>
      </c>
      <c r="AJ35" s="229">
        <f>((6.8*1)+(11.3*1)+(13.6*1)+(15.9*1))/4</f>
        <v>11.9</v>
      </c>
      <c r="AK35" s="949"/>
      <c r="AL35" s="229">
        <f>(S35*T35*U35)+(V35*W35*X35)+(Y35*Z35*AA35)+(AB35*AC35*AD35)+(AE35*AF35*AG35)+(AH35*AI35*AJ35)</f>
        <v>3904.3999999999996</v>
      </c>
      <c r="AM35" s="826"/>
      <c r="AN35" s="118"/>
      <c r="AO35" s="847"/>
      <c r="AP35" s="229">
        <v>4</v>
      </c>
      <c r="AQ35" s="126">
        <v>12</v>
      </c>
      <c r="AR35" s="229">
        <f>((8.5*1)+(16*3))/4</f>
        <v>14.125</v>
      </c>
      <c r="AS35" s="229">
        <v>4</v>
      </c>
      <c r="AT35" s="229">
        <f>((12*2)+(8*2)+(10*1))/4</f>
        <v>12.5</v>
      </c>
      <c r="AU35" s="126">
        <f>((15*1)+(35*2)+(40*1))/4</f>
        <v>31.25</v>
      </c>
      <c r="AV35" s="229">
        <v>4</v>
      </c>
      <c r="AW35" s="229">
        <v>12</v>
      </c>
      <c r="AX35" s="229">
        <f>((32*1)+(63*3))/4</f>
        <v>55.25</v>
      </c>
      <c r="AY35" s="229">
        <v>4</v>
      </c>
      <c r="AZ35" s="229">
        <f>((12*1)+(24*3))/4</f>
        <v>21</v>
      </c>
      <c r="BA35" s="229">
        <f>(1/3)*BJ33</f>
        <v>25.733333333333334</v>
      </c>
      <c r="BB35" s="233"/>
      <c r="BC35" s="233"/>
      <c r="BD35" s="233"/>
      <c r="BE35" s="233"/>
      <c r="BF35" s="233"/>
      <c r="BG35" s="233"/>
      <c r="BH35" s="949"/>
      <c r="BI35" s="229">
        <f>(AP35*AQ35*AR35)+(AS35*AT35*AU35)+(AV35*AW35*AX35)+(AY35*AZ35*BA35)+(BB35*BC35*BD35)+(BE35*BF35*BG35)</f>
        <v>7054.1</v>
      </c>
      <c r="BJ35" s="826"/>
      <c r="BK35" s="118"/>
      <c r="BL35" s="847"/>
      <c r="BM35" s="462"/>
      <c r="BN35" s="462"/>
      <c r="BO35" s="462"/>
      <c r="BP35" s="462"/>
      <c r="BQ35" s="462"/>
      <c r="BR35" s="462"/>
      <c r="BS35" s="462"/>
      <c r="BT35" s="462"/>
      <c r="BU35" s="462"/>
      <c r="BV35" s="462"/>
      <c r="BW35" s="462"/>
      <c r="BX35" s="462"/>
      <c r="BY35" s="462"/>
      <c r="BZ35" s="462"/>
      <c r="CA35" s="462"/>
      <c r="CB35" s="462"/>
      <c r="CC35" s="462"/>
      <c r="CD35" s="463"/>
      <c r="CE35" s="949"/>
      <c r="CF35" s="229">
        <f>(BM35*BN35*BO35)+(BP35*BQ35*BR35)+(BS35*BT35*BU35)+(BV35*BW35*BX35)+(BY35*BZ35*CA35)+(CB35*CC35*CD35)</f>
        <v>0</v>
      </c>
      <c r="CG35" s="826"/>
      <c r="CI35" s="814"/>
      <c r="CJ35" s="79">
        <f>CJ34/(31-4)</f>
        <v>0.77777777777777779</v>
      </c>
      <c r="CK35" s="913"/>
      <c r="CL35" s="79">
        <f>CL34/(28-4)</f>
        <v>1</v>
      </c>
      <c r="CM35" s="913"/>
      <c r="CN35" s="79">
        <f>CN34/(28-4)</f>
        <v>8.3333333333333329E-2</v>
      </c>
    </row>
    <row r="36" spans="1:95" ht="15">
      <c r="A36" s="231"/>
      <c r="B36" s="231"/>
      <c r="C36" s="395" t="s">
        <v>99</v>
      </c>
      <c r="D36" s="231" t="s">
        <v>554</v>
      </c>
      <c r="E36" s="231" t="s">
        <v>569</v>
      </c>
      <c r="F36" s="231" t="s">
        <v>556</v>
      </c>
      <c r="G36" s="231" t="s">
        <v>557</v>
      </c>
      <c r="H36" s="231" t="s">
        <v>564</v>
      </c>
      <c r="I36" s="395" t="s">
        <v>387</v>
      </c>
      <c r="R36" s="870">
        <v>46034</v>
      </c>
      <c r="S36" s="886" t="s">
        <v>78</v>
      </c>
      <c r="T36" s="886"/>
      <c r="U36" s="886"/>
      <c r="V36" s="848" t="s">
        <v>85</v>
      </c>
      <c r="W36" s="848"/>
      <c r="X36" s="848"/>
      <c r="Y36" s="848" t="s">
        <v>147</v>
      </c>
      <c r="Z36" s="848"/>
      <c r="AA36" s="848"/>
      <c r="AB36" s="890" t="s">
        <v>131</v>
      </c>
      <c r="AC36" s="890"/>
      <c r="AD36" s="890"/>
      <c r="AE36" s="834"/>
      <c r="AF36" s="835"/>
      <c r="AG36" s="836"/>
      <c r="AH36" s="834"/>
      <c r="AI36" s="835"/>
      <c r="AJ36" s="836"/>
      <c r="AK36" s="232" t="s">
        <v>425</v>
      </c>
      <c r="AL36" s="823">
        <f>COUNTA(S36:AJ36)</f>
        <v>4</v>
      </c>
      <c r="AM36" s="824">
        <v>76.5</v>
      </c>
      <c r="AN36" s="118"/>
      <c r="AO36" s="873">
        <v>46065</v>
      </c>
      <c r="AP36" s="973" t="s">
        <v>72</v>
      </c>
      <c r="AQ36" s="973"/>
      <c r="AR36" s="973"/>
      <c r="AS36" s="977" t="s">
        <v>102</v>
      </c>
      <c r="AT36" s="977"/>
      <c r="AU36" s="977"/>
      <c r="AV36" s="977" t="s">
        <v>424</v>
      </c>
      <c r="AW36" s="977"/>
      <c r="AX36" s="977"/>
      <c r="AY36" s="977" t="s">
        <v>380</v>
      </c>
      <c r="AZ36" s="977"/>
      <c r="BA36" s="977"/>
      <c r="BB36" s="978" t="s">
        <v>78</v>
      </c>
      <c r="BC36" s="979"/>
      <c r="BD36" s="980"/>
      <c r="BE36" s="834"/>
      <c r="BF36" s="835"/>
      <c r="BG36" s="836"/>
      <c r="BH36" s="232" t="s">
        <v>425</v>
      </c>
      <c r="BI36" s="823">
        <f>COUNTA(AP36:BG36)</f>
        <v>5</v>
      </c>
      <c r="BJ36" s="824">
        <v>77.099999999999994</v>
      </c>
      <c r="BK36" s="118"/>
      <c r="BL36" s="873">
        <v>46093</v>
      </c>
      <c r="BM36" s="960"/>
      <c r="BN36" s="960"/>
      <c r="BO36" s="960"/>
      <c r="BP36" s="960"/>
      <c r="BQ36" s="960"/>
      <c r="BR36" s="960"/>
      <c r="BS36" s="960"/>
      <c r="BT36" s="960"/>
      <c r="BU36" s="960"/>
      <c r="BV36" s="960"/>
      <c r="BW36" s="960"/>
      <c r="BX36" s="960"/>
      <c r="BY36" s="961"/>
      <c r="BZ36" s="962"/>
      <c r="CA36" s="963"/>
      <c r="CB36" s="961"/>
      <c r="CC36" s="962"/>
      <c r="CD36" s="963"/>
      <c r="CE36" s="232" t="s">
        <v>425</v>
      </c>
      <c r="CF36" s="823">
        <f>COUNTA(BM36:CD36)</f>
        <v>0</v>
      </c>
      <c r="CG36" s="824"/>
    </row>
    <row r="37" spans="1:95" ht="15">
      <c r="A37" s="231"/>
      <c r="B37" s="231"/>
      <c r="C37" s="395" t="s">
        <v>411</v>
      </c>
      <c r="D37" s="231" t="s">
        <v>554</v>
      </c>
      <c r="E37" s="231" t="s">
        <v>576</v>
      </c>
      <c r="F37" s="231" t="s">
        <v>556</v>
      </c>
      <c r="G37" s="231" t="s">
        <v>557</v>
      </c>
      <c r="H37" s="231" t="s">
        <v>575</v>
      </c>
      <c r="I37" s="395" t="s">
        <v>561</v>
      </c>
      <c r="R37" s="871"/>
      <c r="S37" s="231" t="s">
        <v>59</v>
      </c>
      <c r="T37" s="231" t="s">
        <v>73</v>
      </c>
      <c r="U37" s="102" t="s">
        <v>4</v>
      </c>
      <c r="V37" s="231" t="s">
        <v>59</v>
      </c>
      <c r="W37" s="231" t="s">
        <v>73</v>
      </c>
      <c r="X37" s="102" t="s">
        <v>4</v>
      </c>
      <c r="Y37" s="231" t="s">
        <v>59</v>
      </c>
      <c r="Z37" s="231" t="s">
        <v>73</v>
      </c>
      <c r="AA37" s="102" t="s">
        <v>4</v>
      </c>
      <c r="AB37" s="231" t="s">
        <v>59</v>
      </c>
      <c r="AC37" s="231" t="s">
        <v>73</v>
      </c>
      <c r="AD37" s="102" t="s">
        <v>4</v>
      </c>
      <c r="AE37" s="107" t="s">
        <v>59</v>
      </c>
      <c r="AF37" s="107" t="s">
        <v>73</v>
      </c>
      <c r="AG37" s="108" t="s">
        <v>4</v>
      </c>
      <c r="AH37" s="107" t="s">
        <v>59</v>
      </c>
      <c r="AI37" s="107" t="s">
        <v>73</v>
      </c>
      <c r="AJ37" s="108" t="s">
        <v>4</v>
      </c>
      <c r="AK37" s="957">
        <v>33</v>
      </c>
      <c r="AL37" s="823"/>
      <c r="AM37" s="825"/>
      <c r="AN37" s="118"/>
      <c r="AO37" s="874"/>
      <c r="AP37" s="303" t="s">
        <v>59</v>
      </c>
      <c r="AQ37" s="303" t="s">
        <v>73</v>
      </c>
      <c r="AR37" s="304" t="s">
        <v>4</v>
      </c>
      <c r="AS37" s="303" t="s">
        <v>59</v>
      </c>
      <c r="AT37" s="303" t="s">
        <v>73</v>
      </c>
      <c r="AU37" s="304" t="s">
        <v>4</v>
      </c>
      <c r="AV37" s="303" t="s">
        <v>59</v>
      </c>
      <c r="AW37" s="303" t="s">
        <v>73</v>
      </c>
      <c r="AX37" s="304" t="s">
        <v>4</v>
      </c>
      <c r="AY37" s="303" t="s">
        <v>59</v>
      </c>
      <c r="AZ37" s="303" t="s">
        <v>73</v>
      </c>
      <c r="BA37" s="304" t="s">
        <v>4</v>
      </c>
      <c r="BB37" s="303" t="s">
        <v>59</v>
      </c>
      <c r="BC37" s="303" t="s">
        <v>73</v>
      </c>
      <c r="BD37" s="304" t="s">
        <v>4</v>
      </c>
      <c r="BE37" s="107" t="s">
        <v>59</v>
      </c>
      <c r="BF37" s="107" t="s">
        <v>73</v>
      </c>
      <c r="BG37" s="108" t="s">
        <v>4</v>
      </c>
      <c r="BH37" s="957">
        <v>65</v>
      </c>
      <c r="BI37" s="823"/>
      <c r="BJ37" s="825"/>
      <c r="BK37" s="118"/>
      <c r="BL37" s="874"/>
      <c r="BM37" s="460" t="s">
        <v>59</v>
      </c>
      <c r="BN37" s="460" t="s">
        <v>73</v>
      </c>
      <c r="BO37" s="461" t="s">
        <v>4</v>
      </c>
      <c r="BP37" s="460" t="s">
        <v>59</v>
      </c>
      <c r="BQ37" s="460" t="s">
        <v>73</v>
      </c>
      <c r="BR37" s="461" t="s">
        <v>4</v>
      </c>
      <c r="BS37" s="460" t="s">
        <v>59</v>
      </c>
      <c r="BT37" s="460" t="s">
        <v>73</v>
      </c>
      <c r="BU37" s="461" t="s">
        <v>4</v>
      </c>
      <c r="BV37" s="460" t="s">
        <v>59</v>
      </c>
      <c r="BW37" s="460" t="s">
        <v>73</v>
      </c>
      <c r="BX37" s="461" t="s">
        <v>4</v>
      </c>
      <c r="BY37" s="460" t="s">
        <v>59</v>
      </c>
      <c r="BZ37" s="460" t="s">
        <v>73</v>
      </c>
      <c r="CA37" s="461" t="s">
        <v>4</v>
      </c>
      <c r="CB37" s="460" t="s">
        <v>59</v>
      </c>
      <c r="CC37" s="460" t="s">
        <v>73</v>
      </c>
      <c r="CD37" s="461" t="s">
        <v>4</v>
      </c>
      <c r="CE37" s="957"/>
      <c r="CF37" s="823"/>
      <c r="CG37" s="825"/>
    </row>
    <row r="38" spans="1:95" ht="15">
      <c r="A38" s="396" t="s">
        <v>577</v>
      </c>
      <c r="B38" s="396" t="s">
        <v>578</v>
      </c>
      <c r="C38" s="395" t="s">
        <v>72</v>
      </c>
      <c r="D38" s="231" t="s">
        <v>554</v>
      </c>
      <c r="E38" s="231" t="s">
        <v>559</v>
      </c>
      <c r="F38" s="231" t="s">
        <v>556</v>
      </c>
      <c r="G38" s="231" t="s">
        <v>557</v>
      </c>
      <c r="H38" s="231" t="s">
        <v>560</v>
      </c>
      <c r="I38" s="395" t="s">
        <v>385</v>
      </c>
      <c r="R38" s="872"/>
      <c r="S38" s="229">
        <v>4</v>
      </c>
      <c r="T38" s="229">
        <f>((12*1)+(8*3))/4</f>
        <v>9</v>
      </c>
      <c r="U38" s="229">
        <f>((12.5*1)+(17.5*3))/4</f>
        <v>16.25</v>
      </c>
      <c r="V38" s="229">
        <v>4</v>
      </c>
      <c r="W38" s="229">
        <f>((20*1)+(40*3))/4</f>
        <v>35</v>
      </c>
      <c r="X38" s="229">
        <f>AM36*(1.2/3)</f>
        <v>30.599999999999998</v>
      </c>
      <c r="Y38" s="229">
        <v>1</v>
      </c>
      <c r="Z38" s="229">
        <v>2</v>
      </c>
      <c r="AA38" s="229">
        <f>AM36</f>
        <v>76.5</v>
      </c>
      <c r="AB38" s="229">
        <v>3</v>
      </c>
      <c r="AC38" s="229">
        <f>((12*1)+(8*2))/3</f>
        <v>9.3333333333333339</v>
      </c>
      <c r="AD38" s="229">
        <f>((3.5*1)+(13.5*2))/3</f>
        <v>10.166666666666666</v>
      </c>
      <c r="AE38" s="233"/>
      <c r="AF38" s="233"/>
      <c r="AG38" s="233"/>
      <c r="AH38" s="233"/>
      <c r="AI38" s="233"/>
      <c r="AJ38" s="233"/>
      <c r="AK38" s="949"/>
      <c r="AL38" s="229">
        <f>(S38*T38*U38)+(V38*W38*X38)+(Y38*Z38*AA38)+(AB38*AC38*AD38)+(AE38*AF38*AG38)+(AH38*AI38*AJ38)</f>
        <v>5306.666666666667</v>
      </c>
      <c r="AM38" s="826"/>
      <c r="AN38" s="118"/>
      <c r="AO38" s="875"/>
      <c r="AP38" s="305">
        <v>4</v>
      </c>
      <c r="AQ38" s="306">
        <f>((12*1)+(10*1)+(8*2))/4</f>
        <v>9.5</v>
      </c>
      <c r="AR38" s="305">
        <f>((27*1)+(59*3))/4</f>
        <v>51</v>
      </c>
      <c r="AS38" s="305">
        <v>4</v>
      </c>
      <c r="AT38" s="306">
        <f>((12*1)+(6*2)+(8*1))/4</f>
        <v>8</v>
      </c>
      <c r="AU38" s="305">
        <f>((11.3*1)+(20.1*3))/4</f>
        <v>17.900000000000002</v>
      </c>
      <c r="AV38" s="305">
        <v>4</v>
      </c>
      <c r="AW38" s="306">
        <v>16</v>
      </c>
      <c r="AX38" s="305">
        <f>((12.5*1)+(25*3))/4</f>
        <v>21.875</v>
      </c>
      <c r="AY38" s="305">
        <v>4</v>
      </c>
      <c r="AZ38" s="305">
        <f>((12*1)+(14*3))/4</f>
        <v>13.5</v>
      </c>
      <c r="BA38" s="305">
        <f>((15.9*1)+(34*3))/4</f>
        <v>29.475000000000001</v>
      </c>
      <c r="BB38" s="305">
        <v>4</v>
      </c>
      <c r="BC38" s="305">
        <f>((12*1)+(8*3))/4</f>
        <v>9</v>
      </c>
      <c r="BD38" s="305">
        <f>((10*1)+(17.5*3))/4</f>
        <v>15.625</v>
      </c>
      <c r="BE38" s="233"/>
      <c r="BF38" s="233"/>
      <c r="BG38" s="233"/>
      <c r="BH38" s="949"/>
      <c r="BI38" s="229">
        <f>(AP38*AQ38*AR38)+(AS38*AT38*AU38)+(AV38*AW38*AX38)+(AY38*AZ38*BA38)+(BB38*BC38*BD38)+(BE38*BF38*BG38)</f>
        <v>6064.9500000000007</v>
      </c>
      <c r="BJ38" s="826"/>
      <c r="BK38" s="118"/>
      <c r="BL38" s="875"/>
      <c r="BM38" s="462"/>
      <c r="BN38" s="462"/>
      <c r="BO38" s="462"/>
      <c r="BP38" s="462"/>
      <c r="BQ38" s="462"/>
      <c r="BR38" s="462"/>
      <c r="BS38" s="462"/>
      <c r="BT38" s="462"/>
      <c r="BU38" s="462"/>
      <c r="BV38" s="462"/>
      <c r="BW38" s="462"/>
      <c r="BX38" s="462"/>
      <c r="BY38" s="462"/>
      <c r="BZ38" s="462"/>
      <c r="CA38" s="462"/>
      <c r="CB38" s="462"/>
      <c r="CC38" s="462"/>
      <c r="CD38" s="463"/>
      <c r="CE38" s="949"/>
      <c r="CF38" s="229">
        <f>(BM38*BN38*BO38)+(BP38*BQ38*BR38)+(BS38*BT38*BU38)+(BV38*BW38*BX38)+(BY38*BZ38*CA38)+(CB38*CC38*CD38)</f>
        <v>0</v>
      </c>
      <c r="CG38" s="826"/>
    </row>
    <row r="39" spans="1:95" ht="15">
      <c r="A39" s="231"/>
      <c r="B39" s="231"/>
      <c r="C39" s="395" t="s">
        <v>146</v>
      </c>
      <c r="D39" s="231" t="s">
        <v>554</v>
      </c>
      <c r="E39" s="231" t="s">
        <v>563</v>
      </c>
      <c r="F39" s="231" t="s">
        <v>556</v>
      </c>
      <c r="G39" s="231" t="s">
        <v>557</v>
      </c>
      <c r="H39" s="231" t="s">
        <v>558</v>
      </c>
      <c r="I39" s="395" t="s">
        <v>561</v>
      </c>
      <c r="R39" s="856">
        <v>46035</v>
      </c>
      <c r="S39" s="844"/>
      <c r="T39" s="844"/>
      <c r="U39" s="844"/>
      <c r="V39" s="844"/>
      <c r="W39" s="844"/>
      <c r="X39" s="844"/>
      <c r="Y39" s="844"/>
      <c r="Z39" s="844"/>
      <c r="AA39" s="844"/>
      <c r="AB39" s="844"/>
      <c r="AC39" s="844"/>
      <c r="AD39" s="844"/>
      <c r="AE39" s="834"/>
      <c r="AF39" s="835"/>
      <c r="AG39" s="836"/>
      <c r="AH39" s="834"/>
      <c r="AI39" s="835"/>
      <c r="AJ39" s="836"/>
      <c r="AK39" s="232" t="s">
        <v>425</v>
      </c>
      <c r="AL39" s="823">
        <f>COUNTA(S39:AJ39)</f>
        <v>0</v>
      </c>
      <c r="AM39" s="824">
        <f>AM36</f>
        <v>76.5</v>
      </c>
      <c r="AN39" s="118"/>
      <c r="AO39" s="876">
        <v>46066</v>
      </c>
      <c r="AP39" s="849" t="s">
        <v>434</v>
      </c>
      <c r="AQ39" s="849"/>
      <c r="AR39" s="849"/>
      <c r="AS39" s="848" t="s">
        <v>68</v>
      </c>
      <c r="AT39" s="848"/>
      <c r="AU39" s="848"/>
      <c r="AV39" s="848" t="s">
        <v>380</v>
      </c>
      <c r="AW39" s="848"/>
      <c r="AX39" s="848"/>
      <c r="AY39" s="848" t="s">
        <v>391</v>
      </c>
      <c r="AZ39" s="848"/>
      <c r="BA39" s="848"/>
      <c r="BB39" s="834"/>
      <c r="BC39" s="835"/>
      <c r="BD39" s="836"/>
      <c r="BE39" s="834"/>
      <c r="BF39" s="835"/>
      <c r="BG39" s="836"/>
      <c r="BH39" s="232" t="s">
        <v>425</v>
      </c>
      <c r="BI39" s="823">
        <f>COUNTA(AP39:BG39)</f>
        <v>4</v>
      </c>
      <c r="BJ39" s="824">
        <v>76.900000000000006</v>
      </c>
      <c r="BK39" s="118"/>
      <c r="BL39" s="876">
        <v>46094</v>
      </c>
      <c r="BM39" s="960"/>
      <c r="BN39" s="960"/>
      <c r="BO39" s="960"/>
      <c r="BP39" s="960"/>
      <c r="BQ39" s="960"/>
      <c r="BR39" s="960"/>
      <c r="BS39" s="960"/>
      <c r="BT39" s="960"/>
      <c r="BU39" s="960"/>
      <c r="BV39" s="960"/>
      <c r="BW39" s="960"/>
      <c r="BX39" s="960"/>
      <c r="BY39" s="961"/>
      <c r="BZ39" s="962"/>
      <c r="CA39" s="963"/>
      <c r="CB39" s="961"/>
      <c r="CC39" s="962"/>
      <c r="CD39" s="963"/>
      <c r="CE39" s="232" t="s">
        <v>425</v>
      </c>
      <c r="CF39" s="823">
        <f>COUNTA(BM39:CD39)</f>
        <v>0</v>
      </c>
      <c r="CG39" s="824"/>
    </row>
    <row r="40" spans="1:95" ht="15">
      <c r="A40" s="231"/>
      <c r="B40" s="231"/>
      <c r="C40" s="395" t="s">
        <v>91</v>
      </c>
      <c r="D40" s="231" t="s">
        <v>554</v>
      </c>
      <c r="E40" s="231" t="s">
        <v>563</v>
      </c>
      <c r="F40" s="231" t="s">
        <v>556</v>
      </c>
      <c r="G40" s="231" t="s">
        <v>557</v>
      </c>
      <c r="H40" s="231" t="s">
        <v>560</v>
      </c>
      <c r="I40" s="395" t="s">
        <v>387</v>
      </c>
      <c r="R40" s="857"/>
      <c r="S40" s="107" t="s">
        <v>59</v>
      </c>
      <c r="T40" s="107" t="s">
        <v>73</v>
      </c>
      <c r="U40" s="108" t="s">
        <v>4</v>
      </c>
      <c r="V40" s="107" t="s">
        <v>59</v>
      </c>
      <c r="W40" s="107" t="s">
        <v>73</v>
      </c>
      <c r="X40" s="108" t="s">
        <v>4</v>
      </c>
      <c r="Y40" s="107" t="s">
        <v>59</v>
      </c>
      <c r="Z40" s="107" t="s">
        <v>73</v>
      </c>
      <c r="AA40" s="108" t="s">
        <v>4</v>
      </c>
      <c r="AB40" s="107" t="s">
        <v>59</v>
      </c>
      <c r="AC40" s="107" t="s">
        <v>73</v>
      </c>
      <c r="AD40" s="108" t="s">
        <v>4</v>
      </c>
      <c r="AE40" s="107" t="s">
        <v>59</v>
      </c>
      <c r="AF40" s="107" t="s">
        <v>73</v>
      </c>
      <c r="AG40" s="108" t="s">
        <v>4</v>
      </c>
      <c r="AH40" s="107" t="s">
        <v>59</v>
      </c>
      <c r="AI40" s="107" t="s">
        <v>73</v>
      </c>
      <c r="AJ40" s="108" t="s">
        <v>4</v>
      </c>
      <c r="AK40" s="957">
        <v>0</v>
      </c>
      <c r="AL40" s="823"/>
      <c r="AM40" s="825"/>
      <c r="AN40" s="118"/>
      <c r="AO40" s="877"/>
      <c r="AP40" s="231" t="s">
        <v>59</v>
      </c>
      <c r="AQ40" s="231" t="s">
        <v>73</v>
      </c>
      <c r="AR40" s="102" t="s">
        <v>4</v>
      </c>
      <c r="AS40" s="231" t="s">
        <v>59</v>
      </c>
      <c r="AT40" s="231" t="s">
        <v>73</v>
      </c>
      <c r="AU40" s="102" t="s">
        <v>4</v>
      </c>
      <c r="AV40" s="231" t="s">
        <v>59</v>
      </c>
      <c r="AW40" s="231" t="s">
        <v>73</v>
      </c>
      <c r="AX40" s="102" t="s">
        <v>4</v>
      </c>
      <c r="AY40" s="231" t="s">
        <v>59</v>
      </c>
      <c r="AZ40" s="231" t="s">
        <v>73</v>
      </c>
      <c r="BA40" s="102" t="s">
        <v>4</v>
      </c>
      <c r="BB40" s="107" t="s">
        <v>59</v>
      </c>
      <c r="BC40" s="107" t="s">
        <v>73</v>
      </c>
      <c r="BD40" s="108" t="s">
        <v>4</v>
      </c>
      <c r="BE40" s="107" t="s">
        <v>59</v>
      </c>
      <c r="BF40" s="107" t="s">
        <v>73</v>
      </c>
      <c r="BG40" s="108" t="s">
        <v>4</v>
      </c>
      <c r="BH40" s="957">
        <v>55</v>
      </c>
      <c r="BI40" s="823"/>
      <c r="BJ40" s="825"/>
      <c r="BK40" s="118"/>
      <c r="BL40" s="877"/>
      <c r="BM40" s="460" t="s">
        <v>59</v>
      </c>
      <c r="BN40" s="460" t="s">
        <v>73</v>
      </c>
      <c r="BO40" s="461" t="s">
        <v>4</v>
      </c>
      <c r="BP40" s="460" t="s">
        <v>59</v>
      </c>
      <c r="BQ40" s="460" t="s">
        <v>73</v>
      </c>
      <c r="BR40" s="461" t="s">
        <v>4</v>
      </c>
      <c r="BS40" s="460" t="s">
        <v>59</v>
      </c>
      <c r="BT40" s="460" t="s">
        <v>73</v>
      </c>
      <c r="BU40" s="461" t="s">
        <v>4</v>
      </c>
      <c r="BV40" s="460" t="s">
        <v>59</v>
      </c>
      <c r="BW40" s="460" t="s">
        <v>73</v>
      </c>
      <c r="BX40" s="461" t="s">
        <v>4</v>
      </c>
      <c r="BY40" s="460" t="s">
        <v>59</v>
      </c>
      <c r="BZ40" s="460" t="s">
        <v>73</v>
      </c>
      <c r="CA40" s="461" t="s">
        <v>4</v>
      </c>
      <c r="CB40" s="460" t="s">
        <v>59</v>
      </c>
      <c r="CC40" s="460" t="s">
        <v>73</v>
      </c>
      <c r="CD40" s="461" t="s">
        <v>4</v>
      </c>
      <c r="CE40" s="957"/>
      <c r="CF40" s="823"/>
      <c r="CG40" s="825"/>
    </row>
    <row r="41" spans="1:95" ht="15">
      <c r="A41" s="231"/>
      <c r="B41" s="231"/>
      <c r="C41" s="395" t="s">
        <v>118</v>
      </c>
      <c r="D41" s="231" t="s">
        <v>554</v>
      </c>
      <c r="E41" s="231" t="s">
        <v>569</v>
      </c>
      <c r="F41" s="231" t="s">
        <v>556</v>
      </c>
      <c r="G41" s="231" t="s">
        <v>557</v>
      </c>
      <c r="H41" s="231" t="s">
        <v>562</v>
      </c>
      <c r="I41" s="395" t="s">
        <v>561</v>
      </c>
      <c r="R41" s="858"/>
      <c r="S41" s="233"/>
      <c r="T41" s="233"/>
      <c r="U41" s="233"/>
      <c r="V41" s="233"/>
      <c r="W41" s="233"/>
      <c r="X41" s="233"/>
      <c r="Y41" s="233"/>
      <c r="Z41" s="233"/>
      <c r="AA41" s="233"/>
      <c r="AB41" s="233"/>
      <c r="AC41" s="233"/>
      <c r="AD41" s="233"/>
      <c r="AE41" s="233"/>
      <c r="AF41" s="233"/>
      <c r="AG41" s="233"/>
      <c r="AH41" s="233"/>
      <c r="AI41" s="233"/>
      <c r="AJ41" s="233"/>
      <c r="AK41" s="949"/>
      <c r="AL41" s="229">
        <f>(S41*T41*U41)+(V41*W41*X41)+(Y41*Z41*AA41)+(AB41*AC41*AD41)+(AE41*AF41*AG41)+(AH41*AI41*AJ41)</f>
        <v>0</v>
      </c>
      <c r="AM41" s="826"/>
      <c r="AN41" s="118"/>
      <c r="AO41" s="878"/>
      <c r="AP41" s="229">
        <v>4</v>
      </c>
      <c r="AQ41" s="229">
        <f>((12*3)+(10*1))/4</f>
        <v>11.5</v>
      </c>
      <c r="AR41" s="229">
        <f>((12.5*1)+(25*3))/4</f>
        <v>21.875</v>
      </c>
      <c r="AS41" s="229">
        <v>4</v>
      </c>
      <c r="AT41" s="229">
        <v>12</v>
      </c>
      <c r="AU41" s="229">
        <f>((32*1)+(68*3))/4</f>
        <v>59</v>
      </c>
      <c r="AV41" s="229">
        <v>4</v>
      </c>
      <c r="AW41" s="126">
        <f>((12*1)+(14*1)+(16*2))/4</f>
        <v>14.5</v>
      </c>
      <c r="AX41" s="229">
        <f>((15.9*1)+(34*3))/4</f>
        <v>29.475000000000001</v>
      </c>
      <c r="AY41" s="229">
        <v>4</v>
      </c>
      <c r="AZ41" s="126">
        <f>((((0.38/0.3)*0.5)*1)+(((1.15/1)*1)*3))/4</f>
        <v>1.0208333333333333</v>
      </c>
      <c r="BA41" s="229">
        <f>BJ39*(2/3)</f>
        <v>51.266666666666666</v>
      </c>
      <c r="BB41" s="233"/>
      <c r="BC41" s="233"/>
      <c r="BD41" s="233"/>
      <c r="BE41" s="233"/>
      <c r="BF41" s="233"/>
      <c r="BG41" s="233"/>
      <c r="BH41" s="949"/>
      <c r="BI41" s="229">
        <f>(AP41*AQ41*AR41)+(AS41*AT41*AU41)+(AV41*AW41*AX41)+(AY41*AZ41*BA41)+(BB41*BC41*BD41)+(BE41*BF41*BG41)</f>
        <v>5757.1388888888887</v>
      </c>
      <c r="BJ41" s="826"/>
      <c r="BK41" s="118"/>
      <c r="BL41" s="878"/>
      <c r="BM41" s="462"/>
      <c r="BN41" s="462"/>
      <c r="BO41" s="462"/>
      <c r="BP41" s="462"/>
      <c r="BQ41" s="462"/>
      <c r="BR41" s="462"/>
      <c r="BS41" s="462"/>
      <c r="BT41" s="462"/>
      <c r="BU41" s="462"/>
      <c r="BV41" s="462"/>
      <c r="BW41" s="462"/>
      <c r="BX41" s="462"/>
      <c r="BY41" s="462"/>
      <c r="BZ41" s="462"/>
      <c r="CA41" s="462"/>
      <c r="CB41" s="462"/>
      <c r="CC41" s="462"/>
      <c r="CD41" s="462"/>
      <c r="CE41" s="949"/>
      <c r="CF41" s="229">
        <f>(BM41*BN41*BO41)+(BP41*BQ41*BR41)+(BS41*BT41*BU41)+(BV41*BW41*BX41)+(BY41*BZ41*CA41)+(CB41*CC41*CD41)</f>
        <v>0</v>
      </c>
      <c r="CG41" s="826"/>
    </row>
    <row r="42" spans="1:95" ht="15">
      <c r="A42" s="231"/>
      <c r="B42" s="231"/>
      <c r="C42" s="395" t="s">
        <v>78</v>
      </c>
      <c r="D42" s="231" t="s">
        <v>554</v>
      </c>
      <c r="E42" s="231" t="s">
        <v>559</v>
      </c>
      <c r="F42" s="231" t="s">
        <v>556</v>
      </c>
      <c r="G42" s="231" t="s">
        <v>557</v>
      </c>
      <c r="H42" s="231" t="s">
        <v>565</v>
      </c>
      <c r="I42" s="395" t="s">
        <v>566</v>
      </c>
      <c r="R42" s="845">
        <v>46036</v>
      </c>
      <c r="S42" s="849" t="s">
        <v>156</v>
      </c>
      <c r="T42" s="849"/>
      <c r="U42" s="849"/>
      <c r="V42" s="848" t="s">
        <v>103</v>
      </c>
      <c r="W42" s="848"/>
      <c r="X42" s="848"/>
      <c r="Y42" s="848" t="s">
        <v>68</v>
      </c>
      <c r="Z42" s="848"/>
      <c r="AA42" s="848"/>
      <c r="AB42" s="848" t="s">
        <v>417</v>
      </c>
      <c r="AC42" s="848"/>
      <c r="AD42" s="848"/>
      <c r="AE42" s="834"/>
      <c r="AF42" s="835"/>
      <c r="AG42" s="836"/>
      <c r="AH42" s="834"/>
      <c r="AI42" s="835"/>
      <c r="AJ42" s="836"/>
      <c r="AK42" s="232" t="s">
        <v>425</v>
      </c>
      <c r="AL42" s="823">
        <f>COUNTA(S42:AJ42)</f>
        <v>4</v>
      </c>
      <c r="AM42" s="824">
        <v>77</v>
      </c>
      <c r="AN42" s="118"/>
      <c r="AO42" s="840">
        <v>46067</v>
      </c>
      <c r="AP42" s="844"/>
      <c r="AQ42" s="844"/>
      <c r="AR42" s="844"/>
      <c r="AS42" s="844"/>
      <c r="AT42" s="844"/>
      <c r="AU42" s="844"/>
      <c r="AV42" s="844"/>
      <c r="AW42" s="844"/>
      <c r="AX42" s="844"/>
      <c r="AY42" s="844"/>
      <c r="AZ42" s="844"/>
      <c r="BA42" s="844"/>
      <c r="BB42" s="834"/>
      <c r="BC42" s="835"/>
      <c r="BD42" s="836"/>
      <c r="BE42" s="834"/>
      <c r="BF42" s="835"/>
      <c r="BG42" s="836"/>
      <c r="BH42" s="232" t="s">
        <v>425</v>
      </c>
      <c r="BI42" s="823">
        <f>COUNTA(AP42:BG42)</f>
        <v>0</v>
      </c>
      <c r="BJ42" s="824">
        <f>BJ39</f>
        <v>76.900000000000006</v>
      </c>
      <c r="BK42" s="118"/>
      <c r="BL42" s="840">
        <v>46095</v>
      </c>
      <c r="BM42" s="960"/>
      <c r="BN42" s="960"/>
      <c r="BO42" s="960"/>
      <c r="BP42" s="960"/>
      <c r="BQ42" s="960"/>
      <c r="BR42" s="960"/>
      <c r="BS42" s="960"/>
      <c r="BT42" s="960"/>
      <c r="BU42" s="960"/>
      <c r="BV42" s="960"/>
      <c r="BW42" s="960"/>
      <c r="BX42" s="960"/>
      <c r="BY42" s="961"/>
      <c r="BZ42" s="962"/>
      <c r="CA42" s="963"/>
      <c r="CB42" s="961"/>
      <c r="CC42" s="962"/>
      <c r="CD42" s="963"/>
      <c r="CE42" s="232" t="s">
        <v>425</v>
      </c>
      <c r="CF42" s="823">
        <f>COUNTA(BM42:CD42)</f>
        <v>0</v>
      </c>
      <c r="CG42" s="824"/>
    </row>
    <row r="43" spans="1:95" ht="15">
      <c r="A43" s="396" t="s">
        <v>579</v>
      </c>
      <c r="B43" s="396" t="s">
        <v>580</v>
      </c>
      <c r="C43" s="395" t="s">
        <v>67</v>
      </c>
      <c r="D43" s="231" t="s">
        <v>554</v>
      </c>
      <c r="E43" s="231" t="s">
        <v>563</v>
      </c>
      <c r="F43" s="231" t="s">
        <v>556</v>
      </c>
      <c r="G43" s="231" t="s">
        <v>557</v>
      </c>
      <c r="H43" s="231" t="s">
        <v>558</v>
      </c>
      <c r="I43" s="395" t="s">
        <v>385</v>
      </c>
      <c r="R43" s="846"/>
      <c r="S43" s="231" t="s">
        <v>59</v>
      </c>
      <c r="T43" s="231" t="s">
        <v>73</v>
      </c>
      <c r="U43" s="102" t="s">
        <v>4</v>
      </c>
      <c r="V43" s="231" t="s">
        <v>59</v>
      </c>
      <c r="W43" s="231" t="s">
        <v>73</v>
      </c>
      <c r="X43" s="102" t="s">
        <v>4</v>
      </c>
      <c r="Y43" s="231" t="s">
        <v>59</v>
      </c>
      <c r="Z43" s="231" t="s">
        <v>73</v>
      </c>
      <c r="AA43" s="102" t="s">
        <v>4</v>
      </c>
      <c r="AB43" s="231" t="s">
        <v>59</v>
      </c>
      <c r="AC43" s="231" t="s">
        <v>73</v>
      </c>
      <c r="AD43" s="102" t="s">
        <v>4</v>
      </c>
      <c r="AE43" s="107" t="s">
        <v>59</v>
      </c>
      <c r="AF43" s="107" t="s">
        <v>73</v>
      </c>
      <c r="AG43" s="108" t="s">
        <v>4</v>
      </c>
      <c r="AH43" s="107" t="s">
        <v>59</v>
      </c>
      <c r="AI43" s="107" t="s">
        <v>73</v>
      </c>
      <c r="AJ43" s="108" t="s">
        <v>4</v>
      </c>
      <c r="AK43" s="957">
        <v>58</v>
      </c>
      <c r="AL43" s="823"/>
      <c r="AM43" s="825"/>
      <c r="AN43" s="118"/>
      <c r="AO43" s="841"/>
      <c r="AP43" s="107" t="s">
        <v>59</v>
      </c>
      <c r="AQ43" s="107" t="s">
        <v>73</v>
      </c>
      <c r="AR43" s="108" t="s">
        <v>4</v>
      </c>
      <c r="AS43" s="107" t="s">
        <v>59</v>
      </c>
      <c r="AT43" s="107" t="s">
        <v>73</v>
      </c>
      <c r="AU43" s="108" t="s">
        <v>4</v>
      </c>
      <c r="AV43" s="107" t="s">
        <v>59</v>
      </c>
      <c r="AW43" s="107" t="s">
        <v>73</v>
      </c>
      <c r="AX43" s="108" t="s">
        <v>4</v>
      </c>
      <c r="AY43" s="107" t="s">
        <v>59</v>
      </c>
      <c r="AZ43" s="107" t="s">
        <v>73</v>
      </c>
      <c r="BA43" s="108" t="s">
        <v>4</v>
      </c>
      <c r="BB43" s="107" t="s">
        <v>59</v>
      </c>
      <c r="BC43" s="107" t="s">
        <v>73</v>
      </c>
      <c r="BD43" s="108" t="s">
        <v>4</v>
      </c>
      <c r="BE43" s="107" t="s">
        <v>59</v>
      </c>
      <c r="BF43" s="107" t="s">
        <v>73</v>
      </c>
      <c r="BG43" s="108" t="s">
        <v>4</v>
      </c>
      <c r="BH43" s="957">
        <v>0</v>
      </c>
      <c r="BI43" s="823"/>
      <c r="BJ43" s="825"/>
      <c r="BK43" s="118"/>
      <c r="BL43" s="841"/>
      <c r="BM43" s="460" t="s">
        <v>59</v>
      </c>
      <c r="BN43" s="460" t="s">
        <v>73</v>
      </c>
      <c r="BO43" s="461" t="s">
        <v>4</v>
      </c>
      <c r="BP43" s="460" t="s">
        <v>59</v>
      </c>
      <c r="BQ43" s="460" t="s">
        <v>73</v>
      </c>
      <c r="BR43" s="461" t="s">
        <v>4</v>
      </c>
      <c r="BS43" s="460" t="s">
        <v>59</v>
      </c>
      <c r="BT43" s="460" t="s">
        <v>73</v>
      </c>
      <c r="BU43" s="461" t="s">
        <v>4</v>
      </c>
      <c r="BV43" s="460" t="s">
        <v>59</v>
      </c>
      <c r="BW43" s="460" t="s">
        <v>73</v>
      </c>
      <c r="BX43" s="461" t="s">
        <v>4</v>
      </c>
      <c r="BY43" s="460" t="s">
        <v>59</v>
      </c>
      <c r="BZ43" s="460" t="s">
        <v>73</v>
      </c>
      <c r="CA43" s="461" t="s">
        <v>4</v>
      </c>
      <c r="CB43" s="460" t="s">
        <v>59</v>
      </c>
      <c r="CC43" s="460" t="s">
        <v>73</v>
      </c>
      <c r="CD43" s="461" t="s">
        <v>4</v>
      </c>
      <c r="CE43" s="957"/>
      <c r="CF43" s="823"/>
      <c r="CG43" s="825"/>
    </row>
    <row r="44" spans="1:95" ht="15">
      <c r="A44" s="231"/>
      <c r="B44" s="231"/>
      <c r="C44" s="395" t="s">
        <v>380</v>
      </c>
      <c r="D44" s="231" t="s">
        <v>554</v>
      </c>
      <c r="E44" s="231" t="s">
        <v>569</v>
      </c>
      <c r="F44" s="231" t="s">
        <v>556</v>
      </c>
      <c r="G44" s="231" t="s">
        <v>557</v>
      </c>
      <c r="H44" s="231" t="s">
        <v>560</v>
      </c>
      <c r="I44" s="395" t="s">
        <v>561</v>
      </c>
      <c r="R44" s="847"/>
      <c r="S44" s="229">
        <v>4</v>
      </c>
      <c r="T44" s="229">
        <f>((12*1)+(8*3))/4</f>
        <v>9</v>
      </c>
      <c r="U44" s="229">
        <f>((6*1)+(12*3))/4</f>
        <v>10.5</v>
      </c>
      <c r="V44" s="229">
        <v>4</v>
      </c>
      <c r="W44" s="229">
        <f>((12*1)+(8*3))/4</f>
        <v>9</v>
      </c>
      <c r="X44" s="126">
        <f>((15*1)+(30*3))/4</f>
        <v>26.25</v>
      </c>
      <c r="Y44" s="229">
        <v>4</v>
      </c>
      <c r="Z44" s="229">
        <f>((12*1)+(8*3))/4</f>
        <v>9</v>
      </c>
      <c r="AA44" s="229">
        <f>((23*1)+(41*1)+(45*1)+(50*1))/4</f>
        <v>39.75</v>
      </c>
      <c r="AB44" s="229">
        <v>4</v>
      </c>
      <c r="AC44" s="229">
        <f>((20*1)+(40*3))/4</f>
        <v>35</v>
      </c>
      <c r="AD44" s="229">
        <f>(1/3)*AM42</f>
        <v>25.666666666666664</v>
      </c>
      <c r="AE44" s="233"/>
      <c r="AF44" s="233"/>
      <c r="AG44" s="233"/>
      <c r="AH44" s="233"/>
      <c r="AI44" s="233"/>
      <c r="AJ44" s="233"/>
      <c r="AK44" s="949"/>
      <c r="AL44" s="229">
        <f>(S44*T44*U44)+(V44*W44*X44)+(Y44*Z44*AA44)+(AB44*AC44*AD44)+(AE44*AF44*AG44)+(AH44*AI44*AJ44)</f>
        <v>6347.333333333333</v>
      </c>
      <c r="AM44" s="826"/>
      <c r="AN44" s="118"/>
      <c r="AO44" s="842"/>
      <c r="AP44" s="233"/>
      <c r="AQ44" s="233"/>
      <c r="AR44" s="233"/>
      <c r="AS44" s="233"/>
      <c r="AT44" s="233"/>
      <c r="AU44" s="233"/>
      <c r="AV44" s="233"/>
      <c r="AW44" s="233"/>
      <c r="AX44" s="233"/>
      <c r="AY44" s="233"/>
      <c r="AZ44" s="233"/>
      <c r="BA44" s="233"/>
      <c r="BB44" s="233"/>
      <c r="BC44" s="233"/>
      <c r="BD44" s="233"/>
      <c r="BE44" s="233"/>
      <c r="BF44" s="233"/>
      <c r="BG44" s="233"/>
      <c r="BH44" s="949"/>
      <c r="BI44" s="229">
        <f>(AP44*AQ44*AR44)+(AS44*AT44*AU44)+(AV44*AW44*AX44)+(AY44*AZ44*BA44)+(BB44*BC44*BD44)+(BE44*BF44*BG44)</f>
        <v>0</v>
      </c>
      <c r="BJ44" s="826"/>
      <c r="BK44" s="118"/>
      <c r="BL44" s="842"/>
      <c r="BM44" s="462"/>
      <c r="BN44" s="462"/>
      <c r="BO44" s="462"/>
      <c r="BP44" s="462"/>
      <c r="BQ44" s="462"/>
      <c r="BR44" s="462"/>
      <c r="BS44" s="462"/>
      <c r="BT44" s="462"/>
      <c r="BU44" s="462"/>
      <c r="BV44" s="462"/>
      <c r="BW44" s="462"/>
      <c r="BX44" s="462"/>
      <c r="BY44" s="462"/>
      <c r="BZ44" s="462"/>
      <c r="CA44" s="462"/>
      <c r="CB44" s="462"/>
      <c r="CC44" s="462"/>
      <c r="CD44" s="463"/>
      <c r="CE44" s="949"/>
      <c r="CF44" s="229">
        <f>(BM44*BN44*BO44)+(BP44*BQ44*BR44)+(BS44*BT44*BU44)+(BV44*BW44*BX44)+(BY44*BZ44*CA44)+(CB44*CC44*CD44)</f>
        <v>0</v>
      </c>
      <c r="CG44" s="826"/>
    </row>
    <row r="45" spans="1:95" ht="15">
      <c r="A45" s="231"/>
      <c r="B45" s="231"/>
      <c r="C45" s="395" t="s">
        <v>99</v>
      </c>
      <c r="D45" s="231" t="s">
        <v>554</v>
      </c>
      <c r="E45" s="231" t="s">
        <v>576</v>
      </c>
      <c r="F45" s="231" t="s">
        <v>556</v>
      </c>
      <c r="G45" s="231" t="s">
        <v>557</v>
      </c>
      <c r="H45" s="231" t="s">
        <v>564</v>
      </c>
      <c r="I45" s="395" t="s">
        <v>387</v>
      </c>
      <c r="R45" s="873">
        <v>46037</v>
      </c>
      <c r="S45" s="849" t="s">
        <v>72</v>
      </c>
      <c r="T45" s="849"/>
      <c r="U45" s="849"/>
      <c r="V45" s="848" t="s">
        <v>102</v>
      </c>
      <c r="W45" s="848"/>
      <c r="X45" s="848"/>
      <c r="Y45" s="848" t="s">
        <v>424</v>
      </c>
      <c r="Z45" s="848"/>
      <c r="AA45" s="848"/>
      <c r="AB45" s="848" t="s">
        <v>380</v>
      </c>
      <c r="AC45" s="848"/>
      <c r="AD45" s="848"/>
      <c r="AE45" s="879" t="s">
        <v>78</v>
      </c>
      <c r="AF45" s="880"/>
      <c r="AG45" s="881"/>
      <c r="AH45" s="834"/>
      <c r="AI45" s="835"/>
      <c r="AJ45" s="836"/>
      <c r="AK45" s="232" t="s">
        <v>425</v>
      </c>
      <c r="AL45" s="823">
        <f>COUNTA(S45:AJ45)</f>
        <v>5</v>
      </c>
      <c r="AM45" s="824">
        <v>77.3</v>
      </c>
      <c r="AN45" s="118"/>
      <c r="AO45" s="864">
        <v>46068</v>
      </c>
      <c r="AP45" s="849" t="s">
        <v>434</v>
      </c>
      <c r="AQ45" s="849"/>
      <c r="AR45" s="849"/>
      <c r="AS45" s="849" t="s">
        <v>72</v>
      </c>
      <c r="AT45" s="849"/>
      <c r="AU45" s="849"/>
      <c r="AV45" s="890" t="s">
        <v>435</v>
      </c>
      <c r="AW45" s="890"/>
      <c r="AX45" s="890"/>
      <c r="AY45" s="848" t="s">
        <v>68</v>
      </c>
      <c r="AZ45" s="848"/>
      <c r="BA45" s="848"/>
      <c r="BB45" s="882" t="s">
        <v>123</v>
      </c>
      <c r="BC45" s="883"/>
      <c r="BD45" s="884"/>
      <c r="BE45" s="834"/>
      <c r="BF45" s="835"/>
      <c r="BG45" s="836"/>
      <c r="BH45" s="232" t="s">
        <v>425</v>
      </c>
      <c r="BI45" s="823">
        <f>COUNTA(AP45:BG45)</f>
        <v>5</v>
      </c>
      <c r="BJ45" s="824">
        <v>76.8</v>
      </c>
      <c r="BK45" s="118"/>
      <c r="BL45" s="864">
        <v>46096</v>
      </c>
      <c r="BM45" s="960"/>
      <c r="BN45" s="960"/>
      <c r="BO45" s="960"/>
      <c r="BP45" s="960"/>
      <c r="BQ45" s="960"/>
      <c r="BR45" s="960"/>
      <c r="BS45" s="960"/>
      <c r="BT45" s="960"/>
      <c r="BU45" s="960"/>
      <c r="BV45" s="960"/>
      <c r="BW45" s="960"/>
      <c r="BX45" s="960"/>
      <c r="BY45" s="961"/>
      <c r="BZ45" s="962"/>
      <c r="CA45" s="963"/>
      <c r="CB45" s="961"/>
      <c r="CC45" s="962"/>
      <c r="CD45" s="963"/>
      <c r="CE45" s="232" t="s">
        <v>425</v>
      </c>
      <c r="CF45" s="823">
        <f>COUNTA(BM45:CD45)</f>
        <v>0</v>
      </c>
      <c r="CG45" s="824"/>
    </row>
    <row r="46" spans="1:95" ht="15">
      <c r="A46" s="231"/>
      <c r="B46" s="231"/>
      <c r="C46" s="395" t="s">
        <v>391</v>
      </c>
      <c r="D46" s="231" t="s">
        <v>554</v>
      </c>
      <c r="E46" s="231" t="s">
        <v>581</v>
      </c>
      <c r="F46" s="231" t="s">
        <v>556</v>
      </c>
      <c r="G46" s="231" t="s">
        <v>557</v>
      </c>
      <c r="H46" s="231" t="s">
        <v>575</v>
      </c>
      <c r="I46" s="395" t="s">
        <v>561</v>
      </c>
      <c r="R46" s="874"/>
      <c r="S46" s="231" t="s">
        <v>59</v>
      </c>
      <c r="T46" s="231" t="s">
        <v>73</v>
      </c>
      <c r="U46" s="102" t="s">
        <v>4</v>
      </c>
      <c r="V46" s="231" t="s">
        <v>59</v>
      </c>
      <c r="W46" s="231" t="s">
        <v>73</v>
      </c>
      <c r="X46" s="102" t="s">
        <v>4</v>
      </c>
      <c r="Y46" s="231" t="s">
        <v>59</v>
      </c>
      <c r="Z46" s="231" t="s">
        <v>73</v>
      </c>
      <c r="AA46" s="102" t="s">
        <v>4</v>
      </c>
      <c r="AB46" s="231" t="s">
        <v>59</v>
      </c>
      <c r="AC46" s="231" t="s">
        <v>73</v>
      </c>
      <c r="AD46" s="102" t="s">
        <v>4</v>
      </c>
      <c r="AE46" s="231" t="s">
        <v>59</v>
      </c>
      <c r="AF46" s="231" t="s">
        <v>73</v>
      </c>
      <c r="AG46" s="102" t="s">
        <v>4</v>
      </c>
      <c r="AH46" s="107" t="s">
        <v>59</v>
      </c>
      <c r="AI46" s="107" t="s">
        <v>73</v>
      </c>
      <c r="AJ46" s="108" t="s">
        <v>4</v>
      </c>
      <c r="AK46" s="957">
        <v>57</v>
      </c>
      <c r="AL46" s="823"/>
      <c r="AM46" s="825"/>
      <c r="AN46" s="118"/>
      <c r="AO46" s="865"/>
      <c r="AP46" s="231" t="s">
        <v>59</v>
      </c>
      <c r="AQ46" s="231" t="s">
        <v>73</v>
      </c>
      <c r="AR46" s="102" t="s">
        <v>4</v>
      </c>
      <c r="AS46" s="231" t="s">
        <v>59</v>
      </c>
      <c r="AT46" s="231" t="s">
        <v>73</v>
      </c>
      <c r="AU46" s="102" t="s">
        <v>4</v>
      </c>
      <c r="AV46" s="231" t="s">
        <v>59</v>
      </c>
      <c r="AW46" s="231" t="s">
        <v>73</v>
      </c>
      <c r="AX46" s="102" t="s">
        <v>4</v>
      </c>
      <c r="AY46" s="231" t="s">
        <v>59</v>
      </c>
      <c r="AZ46" s="231" t="s">
        <v>73</v>
      </c>
      <c r="BA46" s="102" t="s">
        <v>4</v>
      </c>
      <c r="BB46" s="231" t="s">
        <v>59</v>
      </c>
      <c r="BC46" s="231" t="s">
        <v>73</v>
      </c>
      <c r="BD46" s="102" t="s">
        <v>4</v>
      </c>
      <c r="BE46" s="107" t="s">
        <v>59</v>
      </c>
      <c r="BF46" s="107" t="s">
        <v>73</v>
      </c>
      <c r="BG46" s="108" t="s">
        <v>4</v>
      </c>
      <c r="BH46" s="957">
        <v>70</v>
      </c>
      <c r="BI46" s="823"/>
      <c r="BJ46" s="825"/>
      <c r="BK46" s="118"/>
      <c r="BL46" s="865"/>
      <c r="BM46" s="460" t="s">
        <v>59</v>
      </c>
      <c r="BN46" s="460" t="s">
        <v>73</v>
      </c>
      <c r="BO46" s="461" t="s">
        <v>4</v>
      </c>
      <c r="BP46" s="460" t="s">
        <v>59</v>
      </c>
      <c r="BQ46" s="460" t="s">
        <v>73</v>
      </c>
      <c r="BR46" s="461" t="s">
        <v>4</v>
      </c>
      <c r="BS46" s="460" t="s">
        <v>59</v>
      </c>
      <c r="BT46" s="460" t="s">
        <v>73</v>
      </c>
      <c r="BU46" s="461" t="s">
        <v>4</v>
      </c>
      <c r="BV46" s="460" t="s">
        <v>59</v>
      </c>
      <c r="BW46" s="460" t="s">
        <v>73</v>
      </c>
      <c r="BX46" s="461" t="s">
        <v>4</v>
      </c>
      <c r="BY46" s="460" t="s">
        <v>59</v>
      </c>
      <c r="BZ46" s="460" t="s">
        <v>73</v>
      </c>
      <c r="CA46" s="461" t="s">
        <v>4</v>
      </c>
      <c r="CB46" s="460" t="s">
        <v>59</v>
      </c>
      <c r="CC46" s="460" t="s">
        <v>73</v>
      </c>
      <c r="CD46" s="461" t="s">
        <v>4</v>
      </c>
      <c r="CE46" s="957"/>
      <c r="CF46" s="823"/>
      <c r="CG46" s="825"/>
    </row>
    <row r="47" spans="1:95" ht="15">
      <c r="A47" s="396" t="s">
        <v>405</v>
      </c>
      <c r="B47" s="396" t="s">
        <v>406</v>
      </c>
      <c r="C47" s="395" t="s">
        <v>582</v>
      </c>
      <c r="D47" s="231"/>
      <c r="E47" s="231"/>
      <c r="F47" s="231" t="s">
        <v>9</v>
      </c>
      <c r="G47" s="231" t="s">
        <v>9</v>
      </c>
      <c r="H47" s="231"/>
      <c r="I47" s="395"/>
      <c r="R47" s="875"/>
      <c r="S47" s="229">
        <v>4</v>
      </c>
      <c r="T47" s="229">
        <f>((12*3)+(8*1))/4</f>
        <v>11</v>
      </c>
      <c r="U47" s="229">
        <f>((14*1)+(32.4*1)+(45*2))/4</f>
        <v>34.1</v>
      </c>
      <c r="V47" s="229">
        <v>4</v>
      </c>
      <c r="W47" s="229">
        <v>12</v>
      </c>
      <c r="X47" s="229">
        <f>((9.1*1)+(15.9*3))/4</f>
        <v>14.200000000000001</v>
      </c>
      <c r="Y47" s="229">
        <v>4</v>
      </c>
      <c r="Z47" s="229">
        <f>((12*2)+(8*2))/4</f>
        <v>10</v>
      </c>
      <c r="AA47" s="229">
        <f>((10*1)+(20*2)+(22.5*1))/4</f>
        <v>18.125</v>
      </c>
      <c r="AB47" s="229">
        <v>4</v>
      </c>
      <c r="AC47" s="229">
        <f>((12*2)+(8*2))/4</f>
        <v>10</v>
      </c>
      <c r="AD47" s="229">
        <f>((15.9*1)+(27.2*1)+(29.5*2))/4</f>
        <v>25.524999999999999</v>
      </c>
      <c r="AE47" s="229">
        <v>4</v>
      </c>
      <c r="AF47" s="229">
        <f>((12*1)+(6*1)+(4*1)+(8*1))/4</f>
        <v>7.5</v>
      </c>
      <c r="AG47" s="229">
        <f>((7.5*1)+(15*1)+(17.5*2))/4</f>
        <v>14.375</v>
      </c>
      <c r="AH47" s="233"/>
      <c r="AI47" s="233"/>
      <c r="AJ47" s="233"/>
      <c r="AK47" s="949"/>
      <c r="AL47" s="229">
        <f>(S47*T47*U47)+(V47*W47*X47)+(Y47*Z47*AA47)+(AB47*AC47*AD47)+(AE47*AF47*AG47)</f>
        <v>4359.25</v>
      </c>
      <c r="AM47" s="826"/>
      <c r="AN47" s="118"/>
      <c r="AO47" s="866"/>
      <c r="AP47" s="229">
        <v>4</v>
      </c>
      <c r="AQ47" s="229">
        <f>((12*2)+(10*2))/4</f>
        <v>11</v>
      </c>
      <c r="AR47" s="229">
        <f>((12.5*1)+(25*3))/4</f>
        <v>21.875</v>
      </c>
      <c r="AS47" s="229">
        <v>4</v>
      </c>
      <c r="AT47" s="229">
        <f>((12*1)+(8*2)+(10*1))/4</f>
        <v>9.5</v>
      </c>
      <c r="AU47" s="229">
        <f>((27*1)+(59*3))/4</f>
        <v>51</v>
      </c>
      <c r="AV47" s="229">
        <v>4</v>
      </c>
      <c r="AW47" s="126">
        <f>((12*1)+(8*2)+(10*1))/4</f>
        <v>9.5</v>
      </c>
      <c r="AX47" s="229">
        <f>((12.5*1)+(22.5*3))/4</f>
        <v>20</v>
      </c>
      <c r="AY47" s="229">
        <v>4</v>
      </c>
      <c r="AZ47" s="229">
        <v>12</v>
      </c>
      <c r="BA47" s="229">
        <f>((32*1)+(68*3))/4</f>
        <v>59</v>
      </c>
      <c r="BB47" s="229">
        <v>4</v>
      </c>
      <c r="BC47" s="229">
        <f>((14*1)+(8*3))/4</f>
        <v>9.5</v>
      </c>
      <c r="BD47" s="229">
        <f>((13.6*1)+(24.9*3))/4</f>
        <v>22.074999999999996</v>
      </c>
      <c r="BE47" s="233"/>
      <c r="BF47" s="233"/>
      <c r="BG47" s="233"/>
      <c r="BH47" s="949"/>
      <c r="BI47" s="229">
        <f>(AP47*AQ47*AR47)+(AS47*AT47*AU47)+(AV47*AW47*AX47)+(AY47*AZ47*BA47)+(BB47*BC47*BD47)</f>
        <v>7331.3499999999995</v>
      </c>
      <c r="BJ47" s="826"/>
      <c r="BK47" s="118"/>
      <c r="BL47" s="866"/>
      <c r="BM47" s="462"/>
      <c r="BN47" s="462"/>
      <c r="BO47" s="462"/>
      <c r="BP47" s="462"/>
      <c r="BQ47" s="462"/>
      <c r="BR47" s="462"/>
      <c r="BS47" s="462"/>
      <c r="BT47" s="462"/>
      <c r="BU47" s="462"/>
      <c r="BV47" s="462"/>
      <c r="BW47" s="462"/>
      <c r="BX47" s="462"/>
      <c r="BY47" s="462"/>
      <c r="BZ47" s="462"/>
      <c r="CA47" s="462"/>
      <c r="CB47" s="462"/>
      <c r="CC47" s="462"/>
      <c r="CD47" s="463"/>
      <c r="CE47" s="949"/>
      <c r="CF47" s="229">
        <f>(BM47*BN47*BO47)+(BP47*BQ47*BR47)+(BS47*BT47*BU47)+(BV47*BW47*BX47)+(BY47*BZ47*CA47)</f>
        <v>0</v>
      </c>
      <c r="CG47" s="826"/>
    </row>
    <row r="48" spans="1:95" ht="15">
      <c r="A48"/>
      <c r="B48"/>
      <c r="C48"/>
      <c r="D48"/>
      <c r="E48"/>
      <c r="F48"/>
      <c r="G48"/>
      <c r="H48"/>
      <c r="I48"/>
      <c r="R48" s="876">
        <v>46038</v>
      </c>
      <c r="S48" s="849" t="s">
        <v>434</v>
      </c>
      <c r="T48" s="849"/>
      <c r="U48" s="849"/>
      <c r="V48" s="848" t="s">
        <v>380</v>
      </c>
      <c r="W48" s="848"/>
      <c r="X48" s="848"/>
      <c r="Y48" s="848" t="s">
        <v>68</v>
      </c>
      <c r="Z48" s="848"/>
      <c r="AA48" s="848"/>
      <c r="AB48" s="848" t="s">
        <v>391</v>
      </c>
      <c r="AC48" s="848"/>
      <c r="AD48" s="848"/>
      <c r="AE48" s="834"/>
      <c r="AF48" s="835"/>
      <c r="AG48" s="836"/>
      <c r="AH48" s="834"/>
      <c r="AI48" s="835"/>
      <c r="AJ48" s="836"/>
      <c r="AK48" s="232" t="s">
        <v>425</v>
      </c>
      <c r="AL48" s="823">
        <f>COUNTA(S48:AJ48)</f>
        <v>4</v>
      </c>
      <c r="AM48" s="824">
        <v>77.5</v>
      </c>
      <c r="AN48" s="118"/>
      <c r="AO48" s="870">
        <v>46069</v>
      </c>
      <c r="AP48" s="848" t="s">
        <v>89</v>
      </c>
      <c r="AQ48" s="848"/>
      <c r="AR48" s="848"/>
      <c r="AS48" s="848" t="s">
        <v>380</v>
      </c>
      <c r="AT48" s="848"/>
      <c r="AU48" s="848"/>
      <c r="AV48" s="848" t="s">
        <v>115</v>
      </c>
      <c r="AW48" s="848"/>
      <c r="AX48" s="848"/>
      <c r="AY48" s="849" t="s">
        <v>114</v>
      </c>
      <c r="AZ48" s="849"/>
      <c r="BA48" s="849"/>
      <c r="BB48" s="848" t="s">
        <v>129</v>
      </c>
      <c r="BC48" s="848"/>
      <c r="BD48" s="848"/>
      <c r="BE48" s="834"/>
      <c r="BF48" s="835"/>
      <c r="BG48" s="836"/>
      <c r="BH48" s="232" t="s">
        <v>425</v>
      </c>
      <c r="BI48" s="823">
        <f>COUNTA(AP48:BG48)</f>
        <v>5</v>
      </c>
      <c r="BJ48" s="824">
        <v>77</v>
      </c>
      <c r="BK48" s="118"/>
      <c r="BL48" s="870">
        <v>46097</v>
      </c>
      <c r="BM48" s="960"/>
      <c r="BN48" s="960"/>
      <c r="BO48" s="960"/>
      <c r="BP48" s="960"/>
      <c r="BQ48" s="960"/>
      <c r="BR48" s="960"/>
      <c r="BS48" s="960"/>
      <c r="BT48" s="960"/>
      <c r="BU48" s="960"/>
      <c r="BV48" s="960"/>
      <c r="BW48" s="960"/>
      <c r="BX48" s="960"/>
      <c r="BY48" s="961"/>
      <c r="BZ48" s="962"/>
      <c r="CA48" s="963"/>
      <c r="CB48" s="961"/>
      <c r="CC48" s="962"/>
      <c r="CD48" s="963"/>
      <c r="CE48" s="232" t="s">
        <v>425</v>
      </c>
      <c r="CF48" s="823">
        <f>COUNTA(BM48:CD48)</f>
        <v>0</v>
      </c>
      <c r="CG48" s="824"/>
    </row>
    <row r="49" spans="1:85" ht="15">
      <c r="A49"/>
      <c r="B49"/>
      <c r="C49"/>
      <c r="D49"/>
      <c r="E49"/>
      <c r="F49"/>
      <c r="G49"/>
      <c r="H49"/>
      <c r="I49"/>
      <c r="R49" s="877"/>
      <c r="S49" s="231" t="s">
        <v>59</v>
      </c>
      <c r="T49" s="231" t="s">
        <v>73</v>
      </c>
      <c r="U49" s="102" t="s">
        <v>4</v>
      </c>
      <c r="V49" s="231" t="s">
        <v>59</v>
      </c>
      <c r="W49" s="231" t="s">
        <v>73</v>
      </c>
      <c r="X49" s="102" t="s">
        <v>4</v>
      </c>
      <c r="Y49" s="231" t="s">
        <v>59</v>
      </c>
      <c r="Z49" s="231" t="s">
        <v>73</v>
      </c>
      <c r="AA49" s="102" t="s">
        <v>4</v>
      </c>
      <c r="AB49" s="231" t="s">
        <v>59</v>
      </c>
      <c r="AC49" s="231" t="s">
        <v>73</v>
      </c>
      <c r="AD49" s="102" t="s">
        <v>4</v>
      </c>
      <c r="AE49" s="107" t="s">
        <v>59</v>
      </c>
      <c r="AF49" s="107" t="s">
        <v>73</v>
      </c>
      <c r="AG49" s="108" t="s">
        <v>4</v>
      </c>
      <c r="AH49" s="107" t="s">
        <v>59</v>
      </c>
      <c r="AI49" s="107" t="s">
        <v>73</v>
      </c>
      <c r="AJ49" s="108" t="s">
        <v>4</v>
      </c>
      <c r="AK49" s="957">
        <v>54</v>
      </c>
      <c r="AL49" s="823"/>
      <c r="AM49" s="825"/>
      <c r="AN49" s="118"/>
      <c r="AO49" s="871"/>
      <c r="AP49" s="231" t="s">
        <v>59</v>
      </c>
      <c r="AQ49" s="231" t="s">
        <v>73</v>
      </c>
      <c r="AR49" s="102" t="s">
        <v>4</v>
      </c>
      <c r="AS49" s="231" t="s">
        <v>59</v>
      </c>
      <c r="AT49" s="231" t="s">
        <v>73</v>
      </c>
      <c r="AU49" s="102" t="s">
        <v>4</v>
      </c>
      <c r="AV49" s="231" t="s">
        <v>59</v>
      </c>
      <c r="AW49" s="231" t="s">
        <v>73</v>
      </c>
      <c r="AX49" s="102" t="s">
        <v>4</v>
      </c>
      <c r="AY49" s="231" t="s">
        <v>59</v>
      </c>
      <c r="AZ49" s="231" t="s">
        <v>73</v>
      </c>
      <c r="BA49" s="102" t="s">
        <v>4</v>
      </c>
      <c r="BB49" s="231" t="s">
        <v>59</v>
      </c>
      <c r="BC49" s="231" t="s">
        <v>73</v>
      </c>
      <c r="BD49" s="102" t="s">
        <v>4</v>
      </c>
      <c r="BE49" s="107" t="s">
        <v>59</v>
      </c>
      <c r="BF49" s="107" t="s">
        <v>73</v>
      </c>
      <c r="BG49" s="108" t="s">
        <v>4</v>
      </c>
      <c r="BH49" s="957">
        <v>59</v>
      </c>
      <c r="BI49" s="823"/>
      <c r="BJ49" s="825"/>
      <c r="BK49" s="118"/>
      <c r="BL49" s="871"/>
      <c r="BM49" s="460" t="s">
        <v>59</v>
      </c>
      <c r="BN49" s="460" t="s">
        <v>73</v>
      </c>
      <c r="BO49" s="461" t="s">
        <v>4</v>
      </c>
      <c r="BP49" s="460" t="s">
        <v>59</v>
      </c>
      <c r="BQ49" s="460" t="s">
        <v>73</v>
      </c>
      <c r="BR49" s="461" t="s">
        <v>4</v>
      </c>
      <c r="BS49" s="460" t="s">
        <v>59</v>
      </c>
      <c r="BT49" s="460" t="s">
        <v>73</v>
      </c>
      <c r="BU49" s="461" t="s">
        <v>4</v>
      </c>
      <c r="BV49" s="460" t="s">
        <v>59</v>
      </c>
      <c r="BW49" s="460" t="s">
        <v>73</v>
      </c>
      <c r="BX49" s="461" t="s">
        <v>4</v>
      </c>
      <c r="BY49" s="460" t="s">
        <v>59</v>
      </c>
      <c r="BZ49" s="460" t="s">
        <v>73</v>
      </c>
      <c r="CA49" s="461" t="s">
        <v>4</v>
      </c>
      <c r="CB49" s="460" t="s">
        <v>59</v>
      </c>
      <c r="CC49" s="460" t="s">
        <v>73</v>
      </c>
      <c r="CD49" s="461" t="s">
        <v>4</v>
      </c>
      <c r="CE49" s="957"/>
      <c r="CF49" s="823"/>
      <c r="CG49" s="825"/>
    </row>
    <row r="50" spans="1:85" ht="15">
      <c r="A50" s="969" t="s">
        <v>583</v>
      </c>
      <c r="B50" s="729"/>
      <c r="C50" s="729"/>
      <c r="D50" s="729"/>
      <c r="E50" s="729"/>
      <c r="F50"/>
      <c r="G50"/>
      <c r="H50"/>
      <c r="I50"/>
      <c r="R50" s="878"/>
      <c r="S50" s="229">
        <v>4</v>
      </c>
      <c r="T50" s="229">
        <f>((12*1)+(8*3))/4</f>
        <v>9</v>
      </c>
      <c r="U50" s="229">
        <f>((12.5*1)+(25*3))/4</f>
        <v>21.875</v>
      </c>
      <c r="V50" s="229">
        <v>4</v>
      </c>
      <c r="W50" s="229">
        <f>((12*3)+(8*1))/4</f>
        <v>11</v>
      </c>
      <c r="X50" s="229">
        <f>((15.9*1)+(29.5*1)+(31.8*2))/4</f>
        <v>27.25</v>
      </c>
      <c r="Y50" s="229">
        <v>4</v>
      </c>
      <c r="Z50" s="229">
        <f>((12*1)+(8*3))/4</f>
        <v>9</v>
      </c>
      <c r="AA50" s="229">
        <f>((23*1)+(45*1)+(50*2))/4</f>
        <v>42</v>
      </c>
      <c r="AB50" s="229">
        <v>4</v>
      </c>
      <c r="AC50" s="229">
        <f>((0.5*1)+(1*3))/4</f>
        <v>0.875</v>
      </c>
      <c r="AD50" s="229">
        <f>AM48*(2/3)</f>
        <v>51.666666666666664</v>
      </c>
      <c r="AE50" s="233"/>
      <c r="AF50" s="233"/>
      <c r="AG50" s="233"/>
      <c r="AH50" s="233"/>
      <c r="AI50" s="233"/>
      <c r="AJ50" s="233"/>
      <c r="AK50" s="949"/>
      <c r="AL50" s="229">
        <f>(S50*T50*U50)+(V50*W50*X50)+(Y50*Z50*AA50)+(AB50*AC50*AD50)+(AE50*AF50*AG50)+(AH50*AI50*AJ50)</f>
        <v>3679.3333333333335</v>
      </c>
      <c r="AM50" s="826"/>
      <c r="AN50" s="118"/>
      <c r="AO50" s="872"/>
      <c r="AP50" s="229">
        <v>4</v>
      </c>
      <c r="AQ50" s="126">
        <f>((12*1)+(10*2)+(8*2))/4</f>
        <v>12</v>
      </c>
      <c r="AR50" s="229">
        <f>((36*1)+(68*3))/4</f>
        <v>60</v>
      </c>
      <c r="AS50" s="229">
        <v>4</v>
      </c>
      <c r="AT50" s="126">
        <f>((14*1)+(16*3))/4</f>
        <v>15.5</v>
      </c>
      <c r="AU50" s="229">
        <f>((18.1*1)+(34*3))/4</f>
        <v>30.024999999999999</v>
      </c>
      <c r="AV50" s="229">
        <v>4</v>
      </c>
      <c r="AW50" s="229">
        <f>((12*1)+(10*3))/4</f>
        <v>10.5</v>
      </c>
      <c r="AX50" s="229">
        <f>((13.9*1)+(24.9*3))/4</f>
        <v>22.15</v>
      </c>
      <c r="AY50" s="229">
        <v>4</v>
      </c>
      <c r="AZ50" s="229">
        <f>((12*1)+(10*3))/4</f>
        <v>10.5</v>
      </c>
      <c r="BA50" s="229">
        <f>((2.5*1)+(7.5*3))/4</f>
        <v>6.25</v>
      </c>
      <c r="BB50" s="229">
        <v>4</v>
      </c>
      <c r="BC50" s="229">
        <f>((14*1)+(8*3))/4</f>
        <v>9.5</v>
      </c>
      <c r="BD50" s="229">
        <f>((11.3*1)+(24.9*3))/4</f>
        <v>21.499999999999996</v>
      </c>
      <c r="BE50" s="233"/>
      <c r="BF50" s="233"/>
      <c r="BG50" s="233"/>
      <c r="BH50" s="949"/>
      <c r="BI50" s="229">
        <f>(AP50*AQ50*AR50)+(AS50*AT50*AU50)+(AV50*AW50*AX50)+(AY50*AZ50*BA50)+(BB50*BC50*BD50)+(BE50*BF50*BG50)</f>
        <v>6751.35</v>
      </c>
      <c r="BJ50" s="826"/>
      <c r="BK50" s="118"/>
      <c r="BL50" s="872"/>
      <c r="BM50" s="462"/>
      <c r="BN50" s="462"/>
      <c r="BO50" s="462"/>
      <c r="BP50" s="462"/>
      <c r="BQ50" s="462"/>
      <c r="BR50" s="462"/>
      <c r="BS50" s="462"/>
      <c r="BT50" s="462"/>
      <c r="BU50" s="462"/>
      <c r="BV50" s="462"/>
      <c r="BW50" s="462"/>
      <c r="BX50" s="462"/>
      <c r="BY50" s="462"/>
      <c r="BZ50" s="462"/>
      <c r="CA50" s="462"/>
      <c r="CB50" s="462"/>
      <c r="CC50" s="462"/>
      <c r="CD50" s="463"/>
      <c r="CE50" s="949"/>
      <c r="CF50" s="229">
        <f>(BM50*BN50*BO50)+(BP50*BQ50*BR50)+(BS50*BT50*BU50)+(BV50*BW50*BX50)+(BY50*BZ50*CA50)+(CB50*CC50*CD50)</f>
        <v>0</v>
      </c>
      <c r="CG50" s="826"/>
    </row>
    <row r="51" spans="1:85" ht="15">
      <c r="A51" s="396" t="s">
        <v>584</v>
      </c>
      <c r="B51" s="396" t="s">
        <v>585</v>
      </c>
      <c r="C51" s="396" t="s">
        <v>586</v>
      </c>
      <c r="D51" s="396" t="s">
        <v>587</v>
      </c>
      <c r="E51" s="396" t="s">
        <v>588</v>
      </c>
      <c r="F51"/>
      <c r="G51"/>
      <c r="H51"/>
      <c r="I51"/>
      <c r="R51" s="840">
        <v>46039</v>
      </c>
      <c r="S51" s="844"/>
      <c r="T51" s="844"/>
      <c r="U51" s="844"/>
      <c r="V51" s="844"/>
      <c r="W51" s="844"/>
      <c r="X51" s="844"/>
      <c r="Y51" s="844"/>
      <c r="Z51" s="844"/>
      <c r="AA51" s="844"/>
      <c r="AB51" s="844"/>
      <c r="AC51" s="844"/>
      <c r="AD51" s="844"/>
      <c r="AE51" s="834"/>
      <c r="AF51" s="835"/>
      <c r="AG51" s="836"/>
      <c r="AH51" s="834"/>
      <c r="AI51" s="835"/>
      <c r="AJ51" s="836"/>
      <c r="AK51" s="232" t="s">
        <v>425</v>
      </c>
      <c r="AL51" s="823">
        <f>COUNTA(S51:AJ51)</f>
        <v>0</v>
      </c>
      <c r="AM51" s="824">
        <f>AM48</f>
        <v>77.5</v>
      </c>
      <c r="AN51" s="118"/>
      <c r="AO51" s="856">
        <v>46070</v>
      </c>
      <c r="AP51" s="848" t="s">
        <v>70</v>
      </c>
      <c r="AQ51" s="848"/>
      <c r="AR51" s="848"/>
      <c r="AS51" s="859"/>
      <c r="AT51" s="859"/>
      <c r="AU51" s="859"/>
      <c r="AV51" s="834"/>
      <c r="AW51" s="835"/>
      <c r="AX51" s="836"/>
      <c r="AY51" s="867"/>
      <c r="AZ51" s="868"/>
      <c r="BA51" s="869"/>
      <c r="BB51" s="834"/>
      <c r="BC51" s="835"/>
      <c r="BD51" s="836"/>
      <c r="BE51" s="834"/>
      <c r="BF51" s="835"/>
      <c r="BG51" s="836"/>
      <c r="BH51" s="232" t="s">
        <v>425</v>
      </c>
      <c r="BI51" s="823">
        <f>COUNTA(AP51:BG51)</f>
        <v>1</v>
      </c>
      <c r="BJ51" s="824">
        <v>78.599999999999994</v>
      </c>
      <c r="BK51" s="118"/>
      <c r="BL51" s="856">
        <v>46098</v>
      </c>
      <c r="BM51" s="960"/>
      <c r="BN51" s="960"/>
      <c r="BO51" s="960"/>
      <c r="BP51" s="960"/>
      <c r="BQ51" s="960"/>
      <c r="BR51" s="960"/>
      <c r="BS51" s="960"/>
      <c r="BT51" s="960"/>
      <c r="BU51" s="960"/>
      <c r="BV51" s="960"/>
      <c r="BW51" s="960"/>
      <c r="BX51" s="960"/>
      <c r="BY51" s="961"/>
      <c r="BZ51" s="962"/>
      <c r="CA51" s="963"/>
      <c r="CB51" s="961"/>
      <c r="CC51" s="962"/>
      <c r="CD51" s="963"/>
      <c r="CE51" s="232" t="s">
        <v>425</v>
      </c>
      <c r="CF51" s="823">
        <f>COUNTA(BM51:CD51)</f>
        <v>0</v>
      </c>
      <c r="CG51" s="824"/>
    </row>
    <row r="52" spans="1:85" ht="15">
      <c r="A52" s="231" t="s">
        <v>558</v>
      </c>
      <c r="B52" s="231" t="s">
        <v>589</v>
      </c>
      <c r="C52" s="231" t="s">
        <v>590</v>
      </c>
      <c r="D52" s="231" t="s">
        <v>591</v>
      </c>
      <c r="E52" s="397" t="s">
        <v>592</v>
      </c>
      <c r="F52"/>
      <c r="G52"/>
      <c r="H52"/>
      <c r="I52"/>
      <c r="R52" s="841"/>
      <c r="S52" s="107" t="s">
        <v>59</v>
      </c>
      <c r="T52" s="107" t="s">
        <v>73</v>
      </c>
      <c r="U52" s="108" t="s">
        <v>4</v>
      </c>
      <c r="V52" s="107" t="s">
        <v>59</v>
      </c>
      <c r="W52" s="107" t="s">
        <v>73</v>
      </c>
      <c r="X52" s="108" t="s">
        <v>4</v>
      </c>
      <c r="Y52" s="107" t="s">
        <v>59</v>
      </c>
      <c r="Z52" s="107" t="s">
        <v>73</v>
      </c>
      <c r="AA52" s="108" t="s">
        <v>4</v>
      </c>
      <c r="AB52" s="107" t="s">
        <v>59</v>
      </c>
      <c r="AC52" s="107" t="s">
        <v>73</v>
      </c>
      <c r="AD52" s="108" t="s">
        <v>4</v>
      </c>
      <c r="AE52" s="107" t="s">
        <v>59</v>
      </c>
      <c r="AF52" s="107" t="s">
        <v>73</v>
      </c>
      <c r="AG52" s="108" t="s">
        <v>4</v>
      </c>
      <c r="AH52" s="107" t="s">
        <v>59</v>
      </c>
      <c r="AI52" s="107" t="s">
        <v>73</v>
      </c>
      <c r="AJ52" s="108" t="s">
        <v>4</v>
      </c>
      <c r="AK52" s="957">
        <v>0</v>
      </c>
      <c r="AL52" s="823"/>
      <c r="AM52" s="825"/>
      <c r="AN52" s="118"/>
      <c r="AO52" s="857"/>
      <c r="AP52" s="231" t="s">
        <v>59</v>
      </c>
      <c r="AQ52" s="231" t="s">
        <v>73</v>
      </c>
      <c r="AR52" s="102" t="s">
        <v>4</v>
      </c>
      <c r="AS52" s="107" t="s">
        <v>59</v>
      </c>
      <c r="AT52" s="107" t="s">
        <v>73</v>
      </c>
      <c r="AU52" s="108" t="s">
        <v>4</v>
      </c>
      <c r="AV52" s="107" t="s">
        <v>59</v>
      </c>
      <c r="AW52" s="107" t="s">
        <v>73</v>
      </c>
      <c r="AX52" s="108" t="s">
        <v>4</v>
      </c>
      <c r="AY52" s="107" t="s">
        <v>59</v>
      </c>
      <c r="AZ52" s="107" t="s">
        <v>73</v>
      </c>
      <c r="BA52" s="108" t="s">
        <v>4</v>
      </c>
      <c r="BB52" s="107" t="s">
        <v>59</v>
      </c>
      <c r="BC52" s="107" t="s">
        <v>73</v>
      </c>
      <c r="BD52" s="108" t="s">
        <v>4</v>
      </c>
      <c r="BE52" s="107" t="s">
        <v>59</v>
      </c>
      <c r="BF52" s="107" t="s">
        <v>73</v>
      </c>
      <c r="BG52" s="108" t="s">
        <v>4</v>
      </c>
      <c r="BH52" s="957">
        <v>47</v>
      </c>
      <c r="BI52" s="823"/>
      <c r="BJ52" s="825"/>
      <c r="BK52" s="118"/>
      <c r="BL52" s="857"/>
      <c r="BM52" s="460" t="s">
        <v>59</v>
      </c>
      <c r="BN52" s="460" t="s">
        <v>73</v>
      </c>
      <c r="BO52" s="461" t="s">
        <v>4</v>
      </c>
      <c r="BP52" s="460" t="s">
        <v>59</v>
      </c>
      <c r="BQ52" s="460" t="s">
        <v>73</v>
      </c>
      <c r="BR52" s="461" t="s">
        <v>4</v>
      </c>
      <c r="BS52" s="460" t="s">
        <v>59</v>
      </c>
      <c r="BT52" s="460" t="s">
        <v>73</v>
      </c>
      <c r="BU52" s="461" t="s">
        <v>4</v>
      </c>
      <c r="BV52" s="460" t="s">
        <v>59</v>
      </c>
      <c r="BW52" s="460" t="s">
        <v>73</v>
      </c>
      <c r="BX52" s="461" t="s">
        <v>4</v>
      </c>
      <c r="BY52" s="460" t="s">
        <v>59</v>
      </c>
      <c r="BZ52" s="460" t="s">
        <v>73</v>
      </c>
      <c r="CA52" s="461" t="s">
        <v>4</v>
      </c>
      <c r="CB52" s="460" t="s">
        <v>59</v>
      </c>
      <c r="CC52" s="460" t="s">
        <v>73</v>
      </c>
      <c r="CD52" s="461" t="s">
        <v>4</v>
      </c>
      <c r="CE52" s="957"/>
      <c r="CF52" s="823"/>
      <c r="CG52" s="825"/>
    </row>
    <row r="53" spans="1:85" ht="15">
      <c r="A53" s="231" t="s">
        <v>560</v>
      </c>
      <c r="B53" s="231" t="s">
        <v>593</v>
      </c>
      <c r="C53" s="231" t="s">
        <v>590</v>
      </c>
      <c r="D53" s="231" t="s">
        <v>576</v>
      </c>
      <c r="E53" s="397" t="s">
        <v>594</v>
      </c>
      <c r="F53"/>
      <c r="G53"/>
      <c r="H53"/>
      <c r="I53"/>
      <c r="R53" s="842"/>
      <c r="S53" s="233"/>
      <c r="T53" s="233"/>
      <c r="U53" s="233"/>
      <c r="V53" s="233"/>
      <c r="W53" s="233"/>
      <c r="X53" s="233"/>
      <c r="Y53" s="233"/>
      <c r="Z53" s="233"/>
      <c r="AA53" s="233"/>
      <c r="AB53" s="233"/>
      <c r="AC53" s="233"/>
      <c r="AD53" s="233"/>
      <c r="AE53" s="233"/>
      <c r="AF53" s="233"/>
      <c r="AG53" s="233"/>
      <c r="AH53" s="233"/>
      <c r="AI53" s="233"/>
      <c r="AJ53" s="233"/>
      <c r="AK53" s="949"/>
      <c r="AL53" s="229">
        <f>(S53*T53*U53)+(V53*W53*X53)+(Y53*Z53*AA53)+(AB53*AC53*AD53)+(AE53*AF53*AG53)+(AH53*AI53*AJ53)</f>
        <v>0</v>
      </c>
      <c r="AM53" s="826"/>
      <c r="AN53" s="118"/>
      <c r="AO53" s="858"/>
      <c r="AP53" s="229">
        <v>1</v>
      </c>
      <c r="AQ53" s="229">
        <v>45</v>
      </c>
      <c r="AR53" s="229">
        <f>BJ51</f>
        <v>78.599999999999994</v>
      </c>
      <c r="AS53" s="233"/>
      <c r="AT53" s="233"/>
      <c r="AU53" s="233"/>
      <c r="AV53" s="233"/>
      <c r="AW53" s="233"/>
      <c r="AX53" s="233"/>
      <c r="AY53" s="233"/>
      <c r="AZ53" s="233"/>
      <c r="BA53" s="233"/>
      <c r="BB53" s="233"/>
      <c r="BC53" s="233"/>
      <c r="BD53" s="233"/>
      <c r="BE53" s="233"/>
      <c r="BF53" s="233"/>
      <c r="BG53" s="233"/>
      <c r="BH53" s="949"/>
      <c r="BI53" s="229">
        <f>(AP53*AQ53*AR53)+(AS53*AT53*AU53)+(AV53*AW53*AX53)+(AY53*AZ53*BA53)+(BB53*BC53*BD53)+(BE53*BF53*BG53)</f>
        <v>3536.9999999999995</v>
      </c>
      <c r="BJ53" s="826"/>
      <c r="BK53" s="118"/>
      <c r="BL53" s="858"/>
      <c r="BM53" s="462"/>
      <c r="BN53" s="462"/>
      <c r="BO53" s="462"/>
      <c r="BP53" s="462"/>
      <c r="BQ53" s="462"/>
      <c r="BR53" s="462"/>
      <c r="BS53" s="462"/>
      <c r="BT53" s="462"/>
      <c r="BU53" s="462"/>
      <c r="BV53" s="462"/>
      <c r="BW53" s="462"/>
      <c r="BX53" s="462"/>
      <c r="BY53" s="462"/>
      <c r="BZ53" s="462"/>
      <c r="CA53" s="462"/>
      <c r="CB53" s="462"/>
      <c r="CC53" s="462"/>
      <c r="CD53" s="462"/>
      <c r="CE53" s="949"/>
      <c r="CF53" s="229">
        <f>(BM53*BN53*BO53)+(BP53*BQ53*BR53)+(BS53*BT53*BU53)+(BV53*BW53*BX53)+(BY53*BZ53*CA53)+(CB53*CC53*CD53)</f>
        <v>0</v>
      </c>
      <c r="CG53" s="826"/>
    </row>
    <row r="54" spans="1:85" ht="15">
      <c r="A54" s="231" t="s">
        <v>562</v>
      </c>
      <c r="B54" s="231" t="s">
        <v>595</v>
      </c>
      <c r="C54" s="231" t="s">
        <v>596</v>
      </c>
      <c r="D54" s="231" t="s">
        <v>569</v>
      </c>
      <c r="E54" s="398" t="s">
        <v>597</v>
      </c>
      <c r="F54"/>
      <c r="G54"/>
      <c r="H54"/>
      <c r="I54"/>
      <c r="R54" s="864">
        <v>46040</v>
      </c>
      <c r="S54" s="849" t="s">
        <v>434</v>
      </c>
      <c r="T54" s="849"/>
      <c r="U54" s="849"/>
      <c r="V54" s="849" t="s">
        <v>72</v>
      </c>
      <c r="W54" s="849"/>
      <c r="X54" s="849"/>
      <c r="Y54" s="890" t="s">
        <v>435</v>
      </c>
      <c r="Z54" s="890"/>
      <c r="AA54" s="890"/>
      <c r="AB54" s="848" t="s">
        <v>68</v>
      </c>
      <c r="AC54" s="848"/>
      <c r="AD54" s="848"/>
      <c r="AE54" s="882" t="s">
        <v>123</v>
      </c>
      <c r="AF54" s="883"/>
      <c r="AG54" s="884"/>
      <c r="AH54" s="834"/>
      <c r="AI54" s="835"/>
      <c r="AJ54" s="836"/>
      <c r="AK54" s="232" t="s">
        <v>425</v>
      </c>
      <c r="AL54" s="823">
        <f>COUNTA(S54:AJ54)</f>
        <v>5</v>
      </c>
      <c r="AM54" s="824">
        <v>77.400000000000006</v>
      </c>
      <c r="AN54" s="118"/>
      <c r="AO54" s="845">
        <v>46071</v>
      </c>
      <c r="AP54" s="849" t="s">
        <v>156</v>
      </c>
      <c r="AQ54" s="849"/>
      <c r="AR54" s="849"/>
      <c r="AS54" s="848" t="s">
        <v>103</v>
      </c>
      <c r="AT54" s="848"/>
      <c r="AU54" s="848"/>
      <c r="AV54" s="848" t="s">
        <v>68</v>
      </c>
      <c r="AW54" s="848"/>
      <c r="AX54" s="848"/>
      <c r="AY54" s="848" t="s">
        <v>417</v>
      </c>
      <c r="AZ54" s="848"/>
      <c r="BA54" s="848"/>
      <c r="BB54" s="834"/>
      <c r="BC54" s="835"/>
      <c r="BD54" s="836"/>
      <c r="BE54" s="834"/>
      <c r="BF54" s="835"/>
      <c r="BG54" s="836"/>
      <c r="BH54" s="232" t="s">
        <v>425</v>
      </c>
      <c r="BI54" s="823">
        <f>COUNTA(AP54:BG54)</f>
        <v>4</v>
      </c>
      <c r="BJ54" s="824">
        <v>77.7</v>
      </c>
      <c r="BK54" s="118"/>
      <c r="BL54" s="845">
        <v>46099</v>
      </c>
      <c r="BM54" s="960"/>
      <c r="BN54" s="960"/>
      <c r="BO54" s="960"/>
      <c r="BP54" s="960"/>
      <c r="BQ54" s="960"/>
      <c r="BR54" s="960"/>
      <c r="BS54" s="960"/>
      <c r="BT54" s="960"/>
      <c r="BU54" s="960"/>
      <c r="BV54" s="960"/>
      <c r="BW54" s="960"/>
      <c r="BX54" s="960"/>
      <c r="BY54" s="961"/>
      <c r="BZ54" s="962"/>
      <c r="CA54" s="963"/>
      <c r="CB54" s="961"/>
      <c r="CC54" s="962"/>
      <c r="CD54" s="963"/>
      <c r="CE54" s="232" t="s">
        <v>425</v>
      </c>
      <c r="CF54" s="823">
        <f>COUNTA(BM54:CD54)</f>
        <v>0</v>
      </c>
      <c r="CG54" s="824"/>
    </row>
    <row r="55" spans="1:85" ht="15">
      <c r="A55" s="231" t="s">
        <v>565</v>
      </c>
      <c r="B55" s="231" t="s">
        <v>598</v>
      </c>
      <c r="C55" s="231" t="s">
        <v>599</v>
      </c>
      <c r="D55" s="231" t="s">
        <v>559</v>
      </c>
      <c r="E55" s="398" t="s">
        <v>600</v>
      </c>
      <c r="F55"/>
      <c r="G55"/>
      <c r="H55"/>
      <c r="I55"/>
      <c r="R55" s="865"/>
      <c r="S55" s="231" t="s">
        <v>59</v>
      </c>
      <c r="T55" s="231" t="s">
        <v>73</v>
      </c>
      <c r="U55" s="102" t="s">
        <v>4</v>
      </c>
      <c r="V55" s="231" t="s">
        <v>59</v>
      </c>
      <c r="W55" s="231" t="s">
        <v>73</v>
      </c>
      <c r="X55" s="102" t="s">
        <v>4</v>
      </c>
      <c r="Y55" s="231" t="s">
        <v>59</v>
      </c>
      <c r="Z55" s="231" t="s">
        <v>73</v>
      </c>
      <c r="AA55" s="102" t="s">
        <v>4</v>
      </c>
      <c r="AB55" s="231" t="s">
        <v>59</v>
      </c>
      <c r="AC55" s="231" t="s">
        <v>73</v>
      </c>
      <c r="AD55" s="102" t="s">
        <v>4</v>
      </c>
      <c r="AE55" s="231" t="s">
        <v>59</v>
      </c>
      <c r="AF55" s="231" t="s">
        <v>73</v>
      </c>
      <c r="AG55" s="102" t="s">
        <v>4</v>
      </c>
      <c r="AH55" s="107" t="s">
        <v>59</v>
      </c>
      <c r="AI55" s="107" t="s">
        <v>73</v>
      </c>
      <c r="AJ55" s="108" t="s">
        <v>4</v>
      </c>
      <c r="AK55" s="957">
        <v>74</v>
      </c>
      <c r="AL55" s="823"/>
      <c r="AM55" s="825"/>
      <c r="AN55" s="118"/>
      <c r="AO55" s="846"/>
      <c r="AP55" s="231" t="s">
        <v>59</v>
      </c>
      <c r="AQ55" s="231" t="s">
        <v>73</v>
      </c>
      <c r="AR55" s="102" t="s">
        <v>4</v>
      </c>
      <c r="AS55" s="231" t="s">
        <v>59</v>
      </c>
      <c r="AT55" s="231" t="s">
        <v>73</v>
      </c>
      <c r="AU55" s="102" t="s">
        <v>4</v>
      </c>
      <c r="AV55" s="231" t="s">
        <v>59</v>
      </c>
      <c r="AW55" s="231" t="s">
        <v>73</v>
      </c>
      <c r="AX55" s="102" t="s">
        <v>4</v>
      </c>
      <c r="AY55" s="231" t="s">
        <v>59</v>
      </c>
      <c r="AZ55" s="231" t="s">
        <v>73</v>
      </c>
      <c r="BA55" s="102" t="s">
        <v>4</v>
      </c>
      <c r="BB55" s="107" t="s">
        <v>59</v>
      </c>
      <c r="BC55" s="107" t="s">
        <v>73</v>
      </c>
      <c r="BD55" s="108" t="s">
        <v>4</v>
      </c>
      <c r="BE55" s="107" t="s">
        <v>59</v>
      </c>
      <c r="BF55" s="107" t="s">
        <v>73</v>
      </c>
      <c r="BG55" s="108" t="s">
        <v>4</v>
      </c>
      <c r="BH55" s="957">
        <v>54</v>
      </c>
      <c r="BI55" s="823"/>
      <c r="BJ55" s="825"/>
      <c r="BK55" s="118"/>
      <c r="BL55" s="846"/>
      <c r="BM55" s="460" t="s">
        <v>59</v>
      </c>
      <c r="BN55" s="460" t="s">
        <v>73</v>
      </c>
      <c r="BO55" s="461" t="s">
        <v>4</v>
      </c>
      <c r="BP55" s="460" t="s">
        <v>59</v>
      </c>
      <c r="BQ55" s="460" t="s">
        <v>73</v>
      </c>
      <c r="BR55" s="461" t="s">
        <v>4</v>
      </c>
      <c r="BS55" s="460" t="s">
        <v>59</v>
      </c>
      <c r="BT55" s="460" t="s">
        <v>73</v>
      </c>
      <c r="BU55" s="461" t="s">
        <v>4</v>
      </c>
      <c r="BV55" s="460" t="s">
        <v>59</v>
      </c>
      <c r="BW55" s="460" t="s">
        <v>73</v>
      </c>
      <c r="BX55" s="461" t="s">
        <v>4</v>
      </c>
      <c r="BY55" s="460" t="s">
        <v>59</v>
      </c>
      <c r="BZ55" s="460" t="s">
        <v>73</v>
      </c>
      <c r="CA55" s="461" t="s">
        <v>4</v>
      </c>
      <c r="CB55" s="460" t="s">
        <v>59</v>
      </c>
      <c r="CC55" s="460" t="s">
        <v>73</v>
      </c>
      <c r="CD55" s="461" t="s">
        <v>4</v>
      </c>
      <c r="CE55" s="957"/>
      <c r="CF55" s="823"/>
      <c r="CG55" s="825"/>
    </row>
    <row r="56" spans="1:85" ht="15">
      <c r="A56" s="231" t="s">
        <v>568</v>
      </c>
      <c r="B56" s="231" t="s">
        <v>557</v>
      </c>
      <c r="C56" s="231" t="s">
        <v>601</v>
      </c>
      <c r="D56" s="231" t="s">
        <v>563</v>
      </c>
      <c r="E56" s="399" t="s">
        <v>602</v>
      </c>
      <c r="F56"/>
      <c r="G56"/>
      <c r="H56"/>
      <c r="I56"/>
      <c r="R56" s="866"/>
      <c r="S56" s="229">
        <v>4</v>
      </c>
      <c r="T56" s="229">
        <f>((12*1)+(8*3))/4</f>
        <v>9</v>
      </c>
      <c r="U56" s="229">
        <f>((12.5*1)+(25*3))/4</f>
        <v>21.875</v>
      </c>
      <c r="V56" s="229">
        <v>4</v>
      </c>
      <c r="W56" s="229">
        <f>((12*1)+(8*1)+(10*2))/4</f>
        <v>10</v>
      </c>
      <c r="X56" s="229">
        <f>((23*1)+(50*3))/4</f>
        <v>43.25</v>
      </c>
      <c r="Y56" s="229">
        <v>4</v>
      </c>
      <c r="Z56" s="229">
        <f>((12*1)+(8*3))/4</f>
        <v>9</v>
      </c>
      <c r="AA56" s="229">
        <f>((10*1)+(20*3))/4</f>
        <v>17.5</v>
      </c>
      <c r="AB56" s="229">
        <v>4</v>
      </c>
      <c r="AC56" s="229">
        <f>((12*2)+(8*2))/4</f>
        <v>10</v>
      </c>
      <c r="AD56" s="229">
        <f>((23*1)+(50*2)+(54*1))/4</f>
        <v>44.25</v>
      </c>
      <c r="AE56" s="229">
        <v>4</v>
      </c>
      <c r="AF56" s="229">
        <f>((12*1)+(8*3))/4</f>
        <v>9</v>
      </c>
      <c r="AG56" s="229">
        <f>((13.6*1)+(24.9*3))/4</f>
        <v>22.074999999999996</v>
      </c>
      <c r="AH56" s="233"/>
      <c r="AI56" s="233"/>
      <c r="AJ56" s="233"/>
      <c r="AK56" s="949"/>
      <c r="AL56" s="229">
        <f>(S56*T56*U56)+(V56*W56*X56)+(Y56*Z56*AA56)+(AB56*AC56*AD56)+(AE56*AF56*AG56)</f>
        <v>5712.2</v>
      </c>
      <c r="AM56" s="826"/>
      <c r="AN56" s="118"/>
      <c r="AO56" s="847"/>
      <c r="AP56" s="229">
        <v>4</v>
      </c>
      <c r="AQ56" s="229">
        <f>((12*1)+(8*3))/4</f>
        <v>9</v>
      </c>
      <c r="AR56" s="126">
        <f>((8.5*1)+(18*3))/4</f>
        <v>15.625</v>
      </c>
      <c r="AS56" s="229">
        <v>4</v>
      </c>
      <c r="AT56" s="229">
        <f>((12*1)+(10*3))/4</f>
        <v>10.5</v>
      </c>
      <c r="AU56" s="229">
        <f>((20*1)+(40*3))/4</f>
        <v>35</v>
      </c>
      <c r="AV56" s="229">
        <v>4</v>
      </c>
      <c r="AW56" s="229">
        <v>12</v>
      </c>
      <c r="AX56" s="229">
        <f>((32*1)+(63*3))/4</f>
        <v>55.25</v>
      </c>
      <c r="AY56" s="229">
        <v>4</v>
      </c>
      <c r="AZ56" s="229">
        <f>((12*1)+(24*3))/4</f>
        <v>21</v>
      </c>
      <c r="BA56" s="229">
        <f>(1/3)*BJ54</f>
        <v>25.9</v>
      </c>
      <c r="BB56" s="233"/>
      <c r="BC56" s="233"/>
      <c r="BD56" s="233"/>
      <c r="BE56" s="233"/>
      <c r="BF56" s="233"/>
      <c r="BG56" s="233"/>
      <c r="BH56" s="949"/>
      <c r="BI56" s="229">
        <f>(AP56*AQ56*AR56)+(AS56*AT56*AU56)+(AV56*AW56*AX56)+(AY56*AZ56*BA56)+(BB56*BC56*BD56)</f>
        <v>6860.1</v>
      </c>
      <c r="BJ56" s="826"/>
      <c r="BK56" s="118"/>
      <c r="BL56" s="847"/>
      <c r="BM56" s="462"/>
      <c r="BN56" s="462"/>
      <c r="BO56" s="462"/>
      <c r="BP56" s="462"/>
      <c r="BQ56" s="462"/>
      <c r="BR56" s="462"/>
      <c r="BS56" s="462"/>
      <c r="BT56" s="462"/>
      <c r="BU56" s="462"/>
      <c r="BV56" s="462"/>
      <c r="BW56" s="462"/>
      <c r="BX56" s="462"/>
      <c r="BY56" s="462"/>
      <c r="BZ56" s="462"/>
      <c r="CA56" s="462"/>
      <c r="CB56" s="462"/>
      <c r="CC56" s="462"/>
      <c r="CD56" s="463"/>
      <c r="CE56" s="949"/>
      <c r="CF56" s="229">
        <f>(BM56*BN56*BO56)+(BP56*BQ56*BR56)+(BS56*BT56*BU56)+(BV56*BW56*BX56)+(BY56*BZ56*CA56)</f>
        <v>0</v>
      </c>
      <c r="CG56" s="826"/>
    </row>
    <row r="57" spans="1:85" ht="15">
      <c r="A57" s="231" t="s">
        <v>564</v>
      </c>
      <c r="B57" s="231" t="s">
        <v>589</v>
      </c>
      <c r="C57" s="231" t="s">
        <v>596</v>
      </c>
      <c r="D57" s="231" t="s">
        <v>603</v>
      </c>
      <c r="E57" s="397" t="s">
        <v>592</v>
      </c>
      <c r="F57"/>
      <c r="G57"/>
      <c r="H57"/>
      <c r="I57"/>
      <c r="R57" s="870">
        <v>46041</v>
      </c>
      <c r="S57" s="848" t="s">
        <v>89</v>
      </c>
      <c r="T57" s="848"/>
      <c r="U57" s="848"/>
      <c r="V57" s="848" t="s">
        <v>380</v>
      </c>
      <c r="W57" s="848"/>
      <c r="X57" s="848"/>
      <c r="Y57" s="848" t="s">
        <v>115</v>
      </c>
      <c r="Z57" s="848"/>
      <c r="AA57" s="848"/>
      <c r="AB57" s="849" t="s">
        <v>114</v>
      </c>
      <c r="AC57" s="849"/>
      <c r="AD57" s="849"/>
      <c r="AE57" s="848" t="s">
        <v>129</v>
      </c>
      <c r="AF57" s="848"/>
      <c r="AG57" s="848"/>
      <c r="AH57" s="834"/>
      <c r="AI57" s="835"/>
      <c r="AJ57" s="836"/>
      <c r="AK57" s="232" t="s">
        <v>425</v>
      </c>
      <c r="AL57" s="823">
        <f>COUNTA(S57:AJ57)</f>
        <v>5</v>
      </c>
      <c r="AM57" s="824">
        <v>77.3</v>
      </c>
      <c r="AN57" s="118"/>
      <c r="AO57" s="873">
        <v>46072</v>
      </c>
      <c r="AP57" s="973" t="s">
        <v>72</v>
      </c>
      <c r="AQ57" s="973"/>
      <c r="AR57" s="973"/>
      <c r="AS57" s="977" t="s">
        <v>102</v>
      </c>
      <c r="AT57" s="977"/>
      <c r="AU57" s="977"/>
      <c r="AV57" s="972" t="s">
        <v>502</v>
      </c>
      <c r="AW57" s="972"/>
      <c r="AX57" s="972"/>
      <c r="AY57" s="977" t="s">
        <v>380</v>
      </c>
      <c r="AZ57" s="977"/>
      <c r="BA57" s="977"/>
      <c r="BB57" s="978" t="s">
        <v>78</v>
      </c>
      <c r="BC57" s="979"/>
      <c r="BD57" s="980"/>
      <c r="BE57" s="834"/>
      <c r="BF57" s="835"/>
      <c r="BG57" s="836"/>
      <c r="BH57" s="232" t="s">
        <v>425</v>
      </c>
      <c r="BI57" s="823">
        <f>COUNTA(AP57:BG57)</f>
        <v>5</v>
      </c>
      <c r="BJ57" s="824">
        <v>77.5</v>
      </c>
      <c r="BK57" s="118"/>
      <c r="BL57" s="873">
        <v>46100</v>
      </c>
      <c r="BM57" s="960"/>
      <c r="BN57" s="960"/>
      <c r="BO57" s="960"/>
      <c r="BP57" s="960"/>
      <c r="BQ57" s="960"/>
      <c r="BR57" s="960"/>
      <c r="BS57" s="960"/>
      <c r="BT57" s="960"/>
      <c r="BU57" s="960"/>
      <c r="BV57" s="960"/>
      <c r="BW57" s="960"/>
      <c r="BX57" s="960"/>
      <c r="BY57" s="961"/>
      <c r="BZ57" s="962"/>
      <c r="CA57" s="963"/>
      <c r="CB57" s="961"/>
      <c r="CC57" s="962"/>
      <c r="CD57" s="963"/>
      <c r="CE57" s="232" t="s">
        <v>425</v>
      </c>
      <c r="CF57" s="823">
        <f>COUNTA(BM57:CD57)</f>
        <v>0</v>
      </c>
      <c r="CG57" s="824"/>
    </row>
    <row r="58" spans="1:85" ht="15">
      <c r="A58" s="231" t="s">
        <v>575</v>
      </c>
      <c r="B58" s="231" t="s">
        <v>595</v>
      </c>
      <c r="C58" s="231" t="s">
        <v>599</v>
      </c>
      <c r="D58" s="231" t="s">
        <v>604</v>
      </c>
      <c r="E58" s="397" t="s">
        <v>605</v>
      </c>
      <c r="F58"/>
      <c r="G58"/>
      <c r="H58"/>
      <c r="I58"/>
      <c r="R58" s="871"/>
      <c r="S58" s="231" t="s">
        <v>59</v>
      </c>
      <c r="T58" s="231" t="s">
        <v>73</v>
      </c>
      <c r="U58" s="102" t="s">
        <v>4</v>
      </c>
      <c r="V58" s="231" t="s">
        <v>59</v>
      </c>
      <c r="W58" s="231" t="s">
        <v>73</v>
      </c>
      <c r="X58" s="102" t="s">
        <v>4</v>
      </c>
      <c r="Y58" s="231" t="s">
        <v>59</v>
      </c>
      <c r="Z58" s="231" t="s">
        <v>73</v>
      </c>
      <c r="AA58" s="102" t="s">
        <v>4</v>
      </c>
      <c r="AB58" s="231" t="s">
        <v>59</v>
      </c>
      <c r="AC58" s="231" t="s">
        <v>73</v>
      </c>
      <c r="AD58" s="102" t="s">
        <v>4</v>
      </c>
      <c r="AE58" s="231" t="s">
        <v>59</v>
      </c>
      <c r="AF58" s="231" t="s">
        <v>73</v>
      </c>
      <c r="AG58" s="102" t="s">
        <v>4</v>
      </c>
      <c r="AH58" s="107" t="s">
        <v>59</v>
      </c>
      <c r="AI58" s="107" t="s">
        <v>73</v>
      </c>
      <c r="AJ58" s="108" t="s">
        <v>4</v>
      </c>
      <c r="AK58" s="957">
        <v>61</v>
      </c>
      <c r="AL58" s="823"/>
      <c r="AM58" s="825"/>
      <c r="AN58" s="118"/>
      <c r="AO58" s="874"/>
      <c r="AP58" s="303" t="s">
        <v>59</v>
      </c>
      <c r="AQ58" s="303" t="s">
        <v>73</v>
      </c>
      <c r="AR58" s="304" t="s">
        <v>4</v>
      </c>
      <c r="AS58" s="303" t="s">
        <v>59</v>
      </c>
      <c r="AT58" s="303" t="s">
        <v>73</v>
      </c>
      <c r="AU58" s="304" t="s">
        <v>4</v>
      </c>
      <c r="AV58" s="303" t="s">
        <v>59</v>
      </c>
      <c r="AW58" s="303" t="s">
        <v>73</v>
      </c>
      <c r="AX58" s="304" t="s">
        <v>4</v>
      </c>
      <c r="AY58" s="303" t="s">
        <v>59</v>
      </c>
      <c r="AZ58" s="303" t="s">
        <v>73</v>
      </c>
      <c r="BA58" s="304" t="s">
        <v>4</v>
      </c>
      <c r="BB58" s="303" t="s">
        <v>59</v>
      </c>
      <c r="BC58" s="303" t="s">
        <v>73</v>
      </c>
      <c r="BD58" s="304" t="s">
        <v>4</v>
      </c>
      <c r="BE58" s="107" t="s">
        <v>59</v>
      </c>
      <c r="BF58" s="107" t="s">
        <v>73</v>
      </c>
      <c r="BG58" s="108" t="s">
        <v>4</v>
      </c>
      <c r="BH58" s="957">
        <v>59</v>
      </c>
      <c r="BI58" s="823"/>
      <c r="BJ58" s="825"/>
      <c r="BK58" s="118"/>
      <c r="BL58" s="874"/>
      <c r="BM58" s="460" t="s">
        <v>59</v>
      </c>
      <c r="BN58" s="460" t="s">
        <v>73</v>
      </c>
      <c r="BO58" s="461" t="s">
        <v>4</v>
      </c>
      <c r="BP58" s="460" t="s">
        <v>59</v>
      </c>
      <c r="BQ58" s="460" t="s">
        <v>73</v>
      </c>
      <c r="BR58" s="461" t="s">
        <v>4</v>
      </c>
      <c r="BS58" s="460" t="s">
        <v>59</v>
      </c>
      <c r="BT58" s="460" t="s">
        <v>73</v>
      </c>
      <c r="BU58" s="461" t="s">
        <v>4</v>
      </c>
      <c r="BV58" s="460" t="s">
        <v>59</v>
      </c>
      <c r="BW58" s="460" t="s">
        <v>73</v>
      </c>
      <c r="BX58" s="461" t="s">
        <v>4</v>
      </c>
      <c r="BY58" s="460" t="s">
        <v>59</v>
      </c>
      <c r="BZ58" s="460" t="s">
        <v>73</v>
      </c>
      <c r="CA58" s="461" t="s">
        <v>4</v>
      </c>
      <c r="CB58" s="460" t="s">
        <v>59</v>
      </c>
      <c r="CC58" s="460" t="s">
        <v>73</v>
      </c>
      <c r="CD58" s="461" t="s">
        <v>4</v>
      </c>
      <c r="CE58" s="957"/>
      <c r="CF58" s="823"/>
      <c r="CG58" s="825"/>
    </row>
    <row r="59" spans="1:85" ht="15">
      <c r="A59"/>
      <c r="B59"/>
      <c r="C59"/>
      <c r="D59"/>
      <c r="E59"/>
      <c r="F59"/>
      <c r="G59"/>
      <c r="H59"/>
      <c r="I59"/>
      <c r="R59" s="872"/>
      <c r="S59" s="229">
        <v>4</v>
      </c>
      <c r="T59" s="229">
        <f>((10*1)+(6*3))/4</f>
        <v>7</v>
      </c>
      <c r="U59" s="229">
        <f>((36*1)+(68*3))/4</f>
        <v>60</v>
      </c>
      <c r="V59" s="229">
        <v>4</v>
      </c>
      <c r="W59" s="229">
        <v>12</v>
      </c>
      <c r="X59" s="229">
        <f>((15.9*1)+(31.8*3))/4</f>
        <v>27.825000000000003</v>
      </c>
      <c r="Y59" s="229">
        <v>4</v>
      </c>
      <c r="Z59" s="229">
        <f>((12*1)+(8*3))/4</f>
        <v>9</v>
      </c>
      <c r="AA59" s="229">
        <f>((11.3*1)+(24.9*3))/4</f>
        <v>21.499999999999996</v>
      </c>
      <c r="AB59" s="229">
        <v>4</v>
      </c>
      <c r="AC59" s="229">
        <f>((12*3)+(8*1))/4</f>
        <v>11</v>
      </c>
      <c r="AD59" s="229">
        <f>((2.5*1)+(5*2)+(7.5*1))/4</f>
        <v>5</v>
      </c>
      <c r="AE59" s="229">
        <v>4</v>
      </c>
      <c r="AF59" s="229">
        <f>((12*2)+(8*2))/4</f>
        <v>10</v>
      </c>
      <c r="AG59" s="229">
        <f>((9.1*1)+(20.4*1)+(22.7*2))/4</f>
        <v>18.725000000000001</v>
      </c>
      <c r="AH59" s="233"/>
      <c r="AI59" s="233"/>
      <c r="AJ59" s="233"/>
      <c r="AK59" s="949"/>
      <c r="AL59" s="229">
        <f>(S59*T59*U59)+(V59*W59*X59)+(Y59*Z59*AA59)+(AB59*AC59*AD59)+(AE59*AF59*AG59)+(AH59*AI59*AJ59)</f>
        <v>4758.6000000000004</v>
      </c>
      <c r="AM59" s="826"/>
      <c r="AN59" s="118"/>
      <c r="AO59" s="875"/>
      <c r="AP59" s="305">
        <v>4</v>
      </c>
      <c r="AQ59" s="305">
        <f>((12*1)+(8*1)+(10*2))/4</f>
        <v>10</v>
      </c>
      <c r="AR59" s="305">
        <f>((27*1)+(59*3))/4</f>
        <v>51</v>
      </c>
      <c r="AS59" s="305">
        <v>4</v>
      </c>
      <c r="AT59" s="306">
        <f>((12*1)+(8*2)+(10*1))/4</f>
        <v>9.5</v>
      </c>
      <c r="AU59" s="305">
        <f>((11.3*1)+(20.1*3))/4</f>
        <v>17.900000000000002</v>
      </c>
      <c r="AV59" s="305">
        <v>4</v>
      </c>
      <c r="AW59" s="305">
        <f>((12*2)+(14*1)+(8*1))/4</f>
        <v>11.5</v>
      </c>
      <c r="AX59" s="305">
        <f>((15.9*1)+(27.2*1)+(29.5*1)+(31.8*1))/4</f>
        <v>26.099999999999998</v>
      </c>
      <c r="AY59" s="305">
        <v>4</v>
      </c>
      <c r="AZ59" s="305">
        <f>((12*1)+(16*3))/4</f>
        <v>15</v>
      </c>
      <c r="BA59" s="305">
        <f>((15.9*1)+(34*3))/4</f>
        <v>29.475000000000001</v>
      </c>
      <c r="BB59" s="305">
        <v>4</v>
      </c>
      <c r="BC59" s="305">
        <f>((12*1)+(8*3))/4</f>
        <v>9</v>
      </c>
      <c r="BD59" s="305">
        <f>((10*1)+(17.5*3))/4</f>
        <v>15.625</v>
      </c>
      <c r="BE59" s="233"/>
      <c r="BF59" s="233"/>
      <c r="BG59" s="233"/>
      <c r="BH59" s="949"/>
      <c r="BI59" s="229">
        <f>(AP59*AQ59*AR59)+(AS59*AT59*AU59)+(AV59*AW59*AX59)+(AY59*AZ59*BA59)+(BB59*BC59*BD59)+(BE59*BF59*BG59)</f>
        <v>6251.7999999999993</v>
      </c>
      <c r="BJ59" s="826"/>
      <c r="BK59" s="118"/>
      <c r="BL59" s="875"/>
      <c r="BM59" s="462"/>
      <c r="BN59" s="462"/>
      <c r="BO59" s="462"/>
      <c r="BP59" s="462"/>
      <c r="BQ59" s="462"/>
      <c r="BR59" s="462"/>
      <c r="BS59" s="462"/>
      <c r="BT59" s="462"/>
      <c r="BU59" s="462"/>
      <c r="BV59" s="462"/>
      <c r="BW59" s="462"/>
      <c r="BX59" s="462"/>
      <c r="BY59" s="462"/>
      <c r="BZ59" s="462"/>
      <c r="CA59" s="462"/>
      <c r="CB59" s="462"/>
      <c r="CC59" s="462"/>
      <c r="CD59" s="463"/>
      <c r="CE59" s="949"/>
      <c r="CF59" s="229">
        <f>(BM59*BN59*BO59)+(BP59*BQ59*BR59)+(BS59*BT59*BU59)+(BV59*BW59*BX59)+(BY59*BZ59*CA59)+(CB59*CC59*CD59)</f>
        <v>0</v>
      </c>
      <c r="CG59" s="826"/>
    </row>
    <row r="60" spans="1:85" ht="15">
      <c r="A60"/>
      <c r="B60"/>
      <c r="C60"/>
      <c r="D60"/>
      <c r="E60"/>
      <c r="F60"/>
      <c r="G60"/>
      <c r="H60"/>
      <c r="I60"/>
      <c r="R60" s="856">
        <v>46042</v>
      </c>
      <c r="S60" s="848" t="s">
        <v>70</v>
      </c>
      <c r="T60" s="848"/>
      <c r="U60" s="848"/>
      <c r="V60" s="859"/>
      <c r="W60" s="859"/>
      <c r="X60" s="859"/>
      <c r="Y60" s="834"/>
      <c r="Z60" s="835"/>
      <c r="AA60" s="836"/>
      <c r="AB60" s="867"/>
      <c r="AC60" s="868"/>
      <c r="AD60" s="869"/>
      <c r="AE60" s="834"/>
      <c r="AF60" s="835"/>
      <c r="AG60" s="836"/>
      <c r="AH60" s="834"/>
      <c r="AI60" s="835"/>
      <c r="AJ60" s="836"/>
      <c r="AK60" s="232" t="s">
        <v>425</v>
      </c>
      <c r="AL60" s="823">
        <f>COUNTA(S60:AJ60)</f>
        <v>1</v>
      </c>
      <c r="AM60" s="824">
        <v>77.3</v>
      </c>
      <c r="AN60" s="118"/>
      <c r="AO60" s="876">
        <v>46073</v>
      </c>
      <c r="AP60" s="849" t="s">
        <v>434</v>
      </c>
      <c r="AQ60" s="849"/>
      <c r="AR60" s="849"/>
      <c r="AS60" s="848" t="s">
        <v>68</v>
      </c>
      <c r="AT60" s="848"/>
      <c r="AU60" s="848"/>
      <c r="AV60" s="848" t="s">
        <v>380</v>
      </c>
      <c r="AW60" s="848"/>
      <c r="AX60" s="848"/>
      <c r="AY60" s="848" t="s">
        <v>391</v>
      </c>
      <c r="AZ60" s="848"/>
      <c r="BA60" s="848"/>
      <c r="BB60" s="984" t="s">
        <v>617</v>
      </c>
      <c r="BC60" s="985"/>
      <c r="BD60" s="986"/>
      <c r="BE60" s="834"/>
      <c r="BF60" s="835"/>
      <c r="BG60" s="836"/>
      <c r="BH60" s="232" t="s">
        <v>425</v>
      </c>
      <c r="BI60" s="823">
        <f>COUNTA(AP60:BG60)</f>
        <v>5</v>
      </c>
      <c r="BJ60" s="824">
        <v>78.400000000000006</v>
      </c>
      <c r="BK60" s="118"/>
      <c r="BL60" s="876">
        <v>46101</v>
      </c>
      <c r="BM60" s="960"/>
      <c r="BN60" s="960"/>
      <c r="BO60" s="960"/>
      <c r="BP60" s="960"/>
      <c r="BQ60" s="960"/>
      <c r="BR60" s="960"/>
      <c r="BS60" s="960"/>
      <c r="BT60" s="960"/>
      <c r="BU60" s="960"/>
      <c r="BV60" s="960"/>
      <c r="BW60" s="960"/>
      <c r="BX60" s="960"/>
      <c r="BY60" s="961"/>
      <c r="BZ60" s="962"/>
      <c r="CA60" s="963"/>
      <c r="CB60" s="961"/>
      <c r="CC60" s="962"/>
      <c r="CD60" s="963"/>
      <c r="CE60" s="232" t="s">
        <v>425</v>
      </c>
      <c r="CF60" s="823">
        <f>COUNTA(BM60:CD60)</f>
        <v>0</v>
      </c>
      <c r="CG60" s="824"/>
    </row>
    <row r="61" spans="1:85" ht="15">
      <c r="A61" s="970" t="s">
        <v>606</v>
      </c>
      <c r="B61" s="729"/>
      <c r="C61" s="729"/>
      <c r="D61" s="729"/>
      <c r="E61" s="729"/>
      <c r="F61"/>
      <c r="G61"/>
      <c r="H61"/>
      <c r="I61"/>
      <c r="R61" s="857"/>
      <c r="S61" s="231" t="s">
        <v>59</v>
      </c>
      <c r="T61" s="231" t="s">
        <v>73</v>
      </c>
      <c r="U61" s="102" t="s">
        <v>4</v>
      </c>
      <c r="V61" s="107" t="s">
        <v>59</v>
      </c>
      <c r="W61" s="107" t="s">
        <v>73</v>
      </c>
      <c r="X61" s="108" t="s">
        <v>4</v>
      </c>
      <c r="Y61" s="107" t="s">
        <v>59</v>
      </c>
      <c r="Z61" s="107" t="s">
        <v>73</v>
      </c>
      <c r="AA61" s="108" t="s">
        <v>4</v>
      </c>
      <c r="AB61" s="107" t="s">
        <v>59</v>
      </c>
      <c r="AC61" s="107" t="s">
        <v>73</v>
      </c>
      <c r="AD61" s="108" t="s">
        <v>4</v>
      </c>
      <c r="AE61" s="107" t="s">
        <v>59</v>
      </c>
      <c r="AF61" s="107" t="s">
        <v>73</v>
      </c>
      <c r="AG61" s="108" t="s">
        <v>4</v>
      </c>
      <c r="AH61" s="107" t="s">
        <v>59</v>
      </c>
      <c r="AI61" s="107" t="s">
        <v>73</v>
      </c>
      <c r="AJ61" s="108" t="s">
        <v>4</v>
      </c>
      <c r="AK61" s="957">
        <v>53</v>
      </c>
      <c r="AL61" s="823"/>
      <c r="AM61" s="825"/>
      <c r="AN61" s="118"/>
      <c r="AO61" s="877"/>
      <c r="AP61" s="231" t="s">
        <v>59</v>
      </c>
      <c r="AQ61" s="231" t="s">
        <v>73</v>
      </c>
      <c r="AR61" s="102" t="s">
        <v>4</v>
      </c>
      <c r="AS61" s="231" t="s">
        <v>59</v>
      </c>
      <c r="AT61" s="231" t="s">
        <v>73</v>
      </c>
      <c r="AU61" s="102" t="s">
        <v>4</v>
      </c>
      <c r="AV61" s="231" t="s">
        <v>59</v>
      </c>
      <c r="AW61" s="231" t="s">
        <v>73</v>
      </c>
      <c r="AX61" s="102" t="s">
        <v>4</v>
      </c>
      <c r="AY61" s="231" t="s">
        <v>59</v>
      </c>
      <c r="AZ61" s="231" t="s">
        <v>73</v>
      </c>
      <c r="BA61" s="102" t="s">
        <v>4</v>
      </c>
      <c r="BB61" s="231" t="s">
        <v>59</v>
      </c>
      <c r="BC61" s="231" t="s">
        <v>73</v>
      </c>
      <c r="BD61" s="102" t="s">
        <v>4</v>
      </c>
      <c r="BE61" s="107" t="s">
        <v>59</v>
      </c>
      <c r="BF61" s="107" t="s">
        <v>73</v>
      </c>
      <c r="BG61" s="108" t="s">
        <v>4</v>
      </c>
      <c r="BH61" s="957">
        <v>57</v>
      </c>
      <c r="BI61" s="823"/>
      <c r="BJ61" s="825"/>
      <c r="BK61" s="118"/>
      <c r="BL61" s="877"/>
      <c r="BM61" s="460" t="s">
        <v>59</v>
      </c>
      <c r="BN61" s="460" t="s">
        <v>73</v>
      </c>
      <c r="BO61" s="461" t="s">
        <v>4</v>
      </c>
      <c r="BP61" s="460" t="s">
        <v>59</v>
      </c>
      <c r="BQ61" s="460" t="s">
        <v>73</v>
      </c>
      <c r="BR61" s="461" t="s">
        <v>4</v>
      </c>
      <c r="BS61" s="460" t="s">
        <v>59</v>
      </c>
      <c r="BT61" s="460" t="s">
        <v>73</v>
      </c>
      <c r="BU61" s="461" t="s">
        <v>4</v>
      </c>
      <c r="BV61" s="460" t="s">
        <v>59</v>
      </c>
      <c r="BW61" s="460" t="s">
        <v>73</v>
      </c>
      <c r="BX61" s="461" t="s">
        <v>4</v>
      </c>
      <c r="BY61" s="460" t="s">
        <v>59</v>
      </c>
      <c r="BZ61" s="460" t="s">
        <v>73</v>
      </c>
      <c r="CA61" s="461" t="s">
        <v>4</v>
      </c>
      <c r="CB61" s="460" t="s">
        <v>59</v>
      </c>
      <c r="CC61" s="460" t="s">
        <v>73</v>
      </c>
      <c r="CD61" s="461" t="s">
        <v>4</v>
      </c>
      <c r="CE61" s="957"/>
      <c r="CF61" s="823"/>
      <c r="CG61" s="825"/>
    </row>
    <row r="62" spans="1:85" ht="15">
      <c r="A62" s="400" t="s">
        <v>607</v>
      </c>
      <c r="B62" s="971" t="s">
        <v>608</v>
      </c>
      <c r="C62" s="729"/>
      <c r="D62" s="729"/>
      <c r="E62" s="729"/>
      <c r="F62"/>
      <c r="G62"/>
      <c r="H62"/>
      <c r="I62"/>
      <c r="R62" s="858"/>
      <c r="S62" s="229">
        <v>1</v>
      </c>
      <c r="T62" s="126">
        <v>45</v>
      </c>
      <c r="U62" s="229">
        <f>AM60</f>
        <v>77.3</v>
      </c>
      <c r="V62" s="233"/>
      <c r="W62" s="233"/>
      <c r="X62" s="233"/>
      <c r="Y62" s="233"/>
      <c r="Z62" s="233"/>
      <c r="AA62" s="233"/>
      <c r="AB62" s="233"/>
      <c r="AC62" s="233"/>
      <c r="AD62" s="233"/>
      <c r="AE62" s="233"/>
      <c r="AF62" s="233"/>
      <c r="AG62" s="233"/>
      <c r="AH62" s="233"/>
      <c r="AI62" s="233"/>
      <c r="AJ62" s="233"/>
      <c r="AK62" s="949"/>
      <c r="AL62" s="229">
        <f>(S62*T62*U62)+(V62*W62*X62)+(Y62*Z62*AA62)+(AB62*AC62*AD62)+(AE62*AF62*AG62)+(AH62*AI62*AJ62)</f>
        <v>3478.5</v>
      </c>
      <c r="AM62" s="826"/>
      <c r="AN62" s="118"/>
      <c r="AO62" s="878"/>
      <c r="AP62" s="229">
        <v>4</v>
      </c>
      <c r="AQ62" s="229">
        <v>12</v>
      </c>
      <c r="AR62" s="229">
        <f>((12.5*1)+(25*3))/4</f>
        <v>21.875</v>
      </c>
      <c r="AS62" s="229">
        <v>4</v>
      </c>
      <c r="AT62" s="229">
        <v>12</v>
      </c>
      <c r="AU62" s="229">
        <f>((32*1)+(68*3))/4</f>
        <v>59</v>
      </c>
      <c r="AV62" s="229">
        <v>4</v>
      </c>
      <c r="AW62" s="229">
        <f>((12*1)+(16*3))/4</f>
        <v>15</v>
      </c>
      <c r="AX62" s="229">
        <f>((15.9*1)+(34*3))/4</f>
        <v>29.475000000000001</v>
      </c>
      <c r="AY62" s="229">
        <v>4</v>
      </c>
      <c r="AZ62" s="229">
        <f>((((0.38/0.3)*0.5)*1)+(((1.15/1)*1)*3))/4</f>
        <v>1.0208333333333333</v>
      </c>
      <c r="BA62" s="229">
        <f>BJ60*(2/3)</f>
        <v>52.266666666666666</v>
      </c>
      <c r="BB62" s="229">
        <v>4</v>
      </c>
      <c r="BC62" s="229">
        <f>((8*1)+(12*1)+(10*1))/4</f>
        <v>7.5</v>
      </c>
      <c r="BD62" s="229">
        <f>((9.1*2)+(11.3*2))/4</f>
        <v>10.199999999999999</v>
      </c>
      <c r="BE62" s="233"/>
      <c r="BF62" s="233"/>
      <c r="BG62" s="233"/>
      <c r="BH62" s="949"/>
      <c r="BI62" s="229">
        <f>(AP62*AQ62*AR62)+(AS62*AT62*AU62)+(AV62*AW62*AX62)+(AY62*AZ62*BA62)+(BB62*BC62*BD62)+(BE62*BF62*BG62)</f>
        <v>6169.9222222222224</v>
      </c>
      <c r="BJ62" s="826"/>
      <c r="BK62" s="118"/>
      <c r="BL62" s="878"/>
      <c r="BM62" s="462"/>
      <c r="BN62" s="462"/>
      <c r="BO62" s="462"/>
      <c r="BP62" s="462"/>
      <c r="BQ62" s="462"/>
      <c r="BR62" s="462"/>
      <c r="BS62" s="462"/>
      <c r="BT62" s="462"/>
      <c r="BU62" s="462"/>
      <c r="BV62" s="462"/>
      <c r="BW62" s="462"/>
      <c r="BX62" s="462"/>
      <c r="BY62" s="462"/>
      <c r="BZ62" s="462"/>
      <c r="CA62" s="462"/>
      <c r="CB62" s="462"/>
      <c r="CC62" s="462"/>
      <c r="CD62" s="463"/>
      <c r="CE62" s="949"/>
      <c r="CF62" s="229">
        <f>(BM62*BN62*BO62)+(BP62*BQ62*BR62)+(BS62*BT62*BU62)+(BV62*BW62*BX62)+(BY62*BZ62*CA62)+(CB62*CC62*CD62)</f>
        <v>0</v>
      </c>
      <c r="CG62" s="826"/>
    </row>
    <row r="63" spans="1:85" ht="15">
      <c r="A63"/>
      <c r="B63" s="729" t="s">
        <v>609</v>
      </c>
      <c r="C63" s="729"/>
      <c r="D63" s="729"/>
      <c r="E63" s="729"/>
      <c r="F63"/>
      <c r="G63"/>
      <c r="H63"/>
      <c r="I63"/>
      <c r="R63" s="845">
        <v>46043</v>
      </c>
      <c r="S63" s="849" t="s">
        <v>156</v>
      </c>
      <c r="T63" s="849"/>
      <c r="U63" s="849"/>
      <c r="V63" s="848" t="s">
        <v>103</v>
      </c>
      <c r="W63" s="848"/>
      <c r="X63" s="848"/>
      <c r="Y63" s="848" t="s">
        <v>68</v>
      </c>
      <c r="Z63" s="848"/>
      <c r="AA63" s="848"/>
      <c r="AB63" s="848" t="s">
        <v>417</v>
      </c>
      <c r="AC63" s="848"/>
      <c r="AD63" s="848"/>
      <c r="AE63" s="834"/>
      <c r="AF63" s="835"/>
      <c r="AG63" s="836"/>
      <c r="AH63" s="834"/>
      <c r="AI63" s="835"/>
      <c r="AJ63" s="836"/>
      <c r="AK63" s="232" t="s">
        <v>425</v>
      </c>
      <c r="AL63" s="823">
        <f>COUNTA(S63:AJ63)</f>
        <v>4</v>
      </c>
      <c r="AM63" s="824">
        <v>77.2</v>
      </c>
      <c r="AN63" s="118"/>
      <c r="AO63" s="840">
        <v>46074</v>
      </c>
      <c r="AP63" s="844"/>
      <c r="AQ63" s="844"/>
      <c r="AR63" s="844"/>
      <c r="AS63" s="844"/>
      <c r="AT63" s="844"/>
      <c r="AU63" s="844"/>
      <c r="AV63" s="844"/>
      <c r="AW63" s="844"/>
      <c r="AX63" s="844"/>
      <c r="AY63" s="844"/>
      <c r="AZ63" s="844"/>
      <c r="BA63" s="844"/>
      <c r="BB63" s="834"/>
      <c r="BC63" s="835"/>
      <c r="BD63" s="836"/>
      <c r="BE63" s="834"/>
      <c r="BF63" s="835"/>
      <c r="BG63" s="836"/>
      <c r="BH63" s="232" t="s">
        <v>425</v>
      </c>
      <c r="BI63" s="823">
        <f>COUNTA(AP63:BG63)</f>
        <v>0</v>
      </c>
      <c r="BJ63" s="824">
        <f>BJ60</f>
        <v>78.400000000000006</v>
      </c>
      <c r="BK63" s="118"/>
      <c r="BL63" s="840">
        <v>46102</v>
      </c>
      <c r="BM63" s="960"/>
      <c r="BN63" s="960"/>
      <c r="BO63" s="960"/>
      <c r="BP63" s="960"/>
      <c r="BQ63" s="960"/>
      <c r="BR63" s="960"/>
      <c r="BS63" s="960"/>
      <c r="BT63" s="960"/>
      <c r="BU63" s="960"/>
      <c r="BV63" s="960"/>
      <c r="BW63" s="960"/>
      <c r="BX63" s="960"/>
      <c r="BY63" s="961"/>
      <c r="BZ63" s="962"/>
      <c r="CA63" s="963"/>
      <c r="CB63" s="961"/>
      <c r="CC63" s="962"/>
      <c r="CD63" s="963"/>
      <c r="CE63" s="232" t="s">
        <v>425</v>
      </c>
      <c r="CF63" s="823">
        <f>COUNTA(BM63:CD63)</f>
        <v>0</v>
      </c>
      <c r="CG63" s="824"/>
    </row>
    <row r="64" spans="1:85" ht="15">
      <c r="A64"/>
      <c r="B64" s="729" t="s">
        <v>610</v>
      </c>
      <c r="C64" s="729"/>
      <c r="D64" s="729"/>
      <c r="E64" s="729"/>
      <c r="F64"/>
      <c r="G64"/>
      <c r="H64"/>
      <c r="I64"/>
      <c r="R64" s="846"/>
      <c r="S64" s="231" t="s">
        <v>59</v>
      </c>
      <c r="T64" s="231" t="s">
        <v>73</v>
      </c>
      <c r="U64" s="102" t="s">
        <v>4</v>
      </c>
      <c r="V64" s="231" t="s">
        <v>59</v>
      </c>
      <c r="W64" s="231" t="s">
        <v>73</v>
      </c>
      <c r="X64" s="102" t="s">
        <v>4</v>
      </c>
      <c r="Y64" s="231" t="s">
        <v>59</v>
      </c>
      <c r="Z64" s="231" t="s">
        <v>73</v>
      </c>
      <c r="AA64" s="102" t="s">
        <v>4</v>
      </c>
      <c r="AB64" s="231" t="s">
        <v>59</v>
      </c>
      <c r="AC64" s="231" t="s">
        <v>73</v>
      </c>
      <c r="AD64" s="102" t="s">
        <v>4</v>
      </c>
      <c r="AE64" s="107" t="s">
        <v>59</v>
      </c>
      <c r="AF64" s="107" t="s">
        <v>73</v>
      </c>
      <c r="AG64" s="108" t="s">
        <v>4</v>
      </c>
      <c r="AH64" s="107" t="s">
        <v>59</v>
      </c>
      <c r="AI64" s="107" t="s">
        <v>73</v>
      </c>
      <c r="AJ64" s="108" t="s">
        <v>4</v>
      </c>
      <c r="AK64" s="957">
        <v>59</v>
      </c>
      <c r="AL64" s="823"/>
      <c r="AM64" s="825"/>
      <c r="AN64" s="118"/>
      <c r="AO64" s="841"/>
      <c r="AP64" s="107" t="s">
        <v>59</v>
      </c>
      <c r="AQ64" s="107" t="s">
        <v>73</v>
      </c>
      <c r="AR64" s="108" t="s">
        <v>4</v>
      </c>
      <c r="AS64" s="107" t="s">
        <v>59</v>
      </c>
      <c r="AT64" s="107" t="s">
        <v>73</v>
      </c>
      <c r="AU64" s="108" t="s">
        <v>4</v>
      </c>
      <c r="AV64" s="107" t="s">
        <v>59</v>
      </c>
      <c r="AW64" s="107" t="s">
        <v>73</v>
      </c>
      <c r="AX64" s="108" t="s">
        <v>4</v>
      </c>
      <c r="AY64" s="107" t="s">
        <v>59</v>
      </c>
      <c r="AZ64" s="107" t="s">
        <v>73</v>
      </c>
      <c r="BA64" s="108" t="s">
        <v>4</v>
      </c>
      <c r="BB64" s="107" t="s">
        <v>59</v>
      </c>
      <c r="BC64" s="107" t="s">
        <v>73</v>
      </c>
      <c r="BD64" s="108" t="s">
        <v>4</v>
      </c>
      <c r="BE64" s="107" t="s">
        <v>59</v>
      </c>
      <c r="BF64" s="107" t="s">
        <v>73</v>
      </c>
      <c r="BG64" s="108" t="s">
        <v>4</v>
      </c>
      <c r="BH64" s="957">
        <v>59</v>
      </c>
      <c r="BI64" s="823"/>
      <c r="BJ64" s="825"/>
      <c r="BK64" s="118"/>
      <c r="BL64" s="841"/>
      <c r="BM64" s="460" t="s">
        <v>59</v>
      </c>
      <c r="BN64" s="460" t="s">
        <v>73</v>
      </c>
      <c r="BO64" s="461" t="s">
        <v>4</v>
      </c>
      <c r="BP64" s="460" t="s">
        <v>59</v>
      </c>
      <c r="BQ64" s="460" t="s">
        <v>73</v>
      </c>
      <c r="BR64" s="461" t="s">
        <v>4</v>
      </c>
      <c r="BS64" s="460" t="s">
        <v>59</v>
      </c>
      <c r="BT64" s="460" t="s">
        <v>73</v>
      </c>
      <c r="BU64" s="461" t="s">
        <v>4</v>
      </c>
      <c r="BV64" s="460" t="s">
        <v>59</v>
      </c>
      <c r="BW64" s="460" t="s">
        <v>73</v>
      </c>
      <c r="BX64" s="461" t="s">
        <v>4</v>
      </c>
      <c r="BY64" s="460" t="s">
        <v>59</v>
      </c>
      <c r="BZ64" s="460" t="s">
        <v>73</v>
      </c>
      <c r="CA64" s="461" t="s">
        <v>4</v>
      </c>
      <c r="CB64" s="460" t="s">
        <v>59</v>
      </c>
      <c r="CC64" s="460" t="s">
        <v>73</v>
      </c>
      <c r="CD64" s="461" t="s">
        <v>4</v>
      </c>
      <c r="CE64" s="957"/>
      <c r="CF64" s="823"/>
      <c r="CG64" s="825"/>
    </row>
    <row r="65" spans="1:85" ht="15">
      <c r="A65"/>
      <c r="B65"/>
      <c r="C65"/>
      <c r="D65"/>
      <c r="E65"/>
      <c r="F65"/>
      <c r="G65"/>
      <c r="H65"/>
      <c r="I65"/>
      <c r="R65" s="847"/>
      <c r="S65" s="229">
        <v>4</v>
      </c>
      <c r="T65" s="229">
        <f>((12*2)+(10*1)+(8*1))/4</f>
        <v>10.5</v>
      </c>
      <c r="U65" s="229">
        <f>((6*1)+(13.5*2)+(14.65*1))/4</f>
        <v>11.9125</v>
      </c>
      <c r="V65" s="229">
        <v>4</v>
      </c>
      <c r="W65" s="229">
        <f>((12*2)+(8*2))/4</f>
        <v>10</v>
      </c>
      <c r="X65" s="126">
        <f>((15*1)+(30*2)+(35*1))/4</f>
        <v>27.5</v>
      </c>
      <c r="Y65" s="229">
        <v>4</v>
      </c>
      <c r="Z65" s="229">
        <f>((12*2)+(8*2))/4</f>
        <v>10</v>
      </c>
      <c r="AA65" s="229">
        <f>((23*1)+(50*2)+(54*1))/4</f>
        <v>44.25</v>
      </c>
      <c r="AB65" s="229">
        <v>4</v>
      </c>
      <c r="AC65" s="229">
        <f>((20*3)+(40*1))/4</f>
        <v>25</v>
      </c>
      <c r="AD65" s="229">
        <f>(1/3)*AM63</f>
        <v>25.733333333333334</v>
      </c>
      <c r="AE65" s="233"/>
      <c r="AF65" s="233"/>
      <c r="AG65" s="233"/>
      <c r="AH65" s="233"/>
      <c r="AI65" s="233"/>
      <c r="AJ65" s="233"/>
      <c r="AK65" s="949"/>
      <c r="AL65" s="229">
        <f>(S65*T65*U65)+(V65*W65*X65)+(Y65*Z65*AA65)+(AB65*AC65*AD65)+(AE65*AF65*AG65)+(AH65*AI65*AJ65)</f>
        <v>5943.6583333333328</v>
      </c>
      <c r="AM65" s="826"/>
      <c r="AN65" s="118"/>
      <c r="AO65" s="842"/>
      <c r="AP65" s="233"/>
      <c r="AQ65" s="233"/>
      <c r="AR65" s="233"/>
      <c r="AS65" s="233"/>
      <c r="AT65" s="233"/>
      <c r="AU65" s="233"/>
      <c r="AV65" s="233"/>
      <c r="AW65" s="233"/>
      <c r="AX65" s="233"/>
      <c r="AY65" s="233"/>
      <c r="AZ65" s="233"/>
      <c r="BA65" s="233"/>
      <c r="BB65" s="233"/>
      <c r="BC65" s="233"/>
      <c r="BD65" s="233"/>
      <c r="BE65" s="233"/>
      <c r="BF65" s="233"/>
      <c r="BG65" s="233"/>
      <c r="BH65" s="949"/>
      <c r="BI65" s="229">
        <f>(AP65*AQ65*AR65)+(AS65*AT65*AU65)+(AV65*AW65*AX65)+(AY65*AZ65*BA65)+(BB65*BC65*BD65)+(BE65*BF65*BG65)</f>
        <v>0</v>
      </c>
      <c r="BJ65" s="826"/>
      <c r="BK65" s="118"/>
      <c r="BL65" s="842"/>
      <c r="BM65" s="462"/>
      <c r="BN65" s="462"/>
      <c r="BO65" s="462"/>
      <c r="BP65" s="462"/>
      <c r="BQ65" s="462"/>
      <c r="BR65" s="462"/>
      <c r="BS65" s="462"/>
      <c r="BT65" s="462"/>
      <c r="BU65" s="462"/>
      <c r="BV65" s="462"/>
      <c r="BW65" s="462"/>
      <c r="BX65" s="462"/>
      <c r="BY65" s="462"/>
      <c r="BZ65" s="462"/>
      <c r="CA65" s="462"/>
      <c r="CB65" s="462"/>
      <c r="CC65" s="462"/>
      <c r="CD65" s="462"/>
      <c r="CE65" s="949"/>
      <c r="CF65" s="229">
        <f>(BM65*BN65*BO65)+(BP65*BQ65*BR65)+(BS65*BT65*BU65)+(BV65*BW65*BX65)+(BY65*BZ65*CA65)+(CB65*CC65*CD65)</f>
        <v>0</v>
      </c>
      <c r="CG65" s="826"/>
    </row>
    <row r="66" spans="1:85" ht="15">
      <c r="A66" s="400" t="s">
        <v>611</v>
      </c>
      <c r="B66" s="971" t="s">
        <v>612</v>
      </c>
      <c r="C66" s="729"/>
      <c r="D66" s="729"/>
      <c r="E66" s="729"/>
      <c r="F66"/>
      <c r="G66"/>
      <c r="H66"/>
      <c r="I66"/>
      <c r="R66" s="873">
        <v>46044</v>
      </c>
      <c r="S66" s="973" t="s">
        <v>72</v>
      </c>
      <c r="T66" s="973"/>
      <c r="U66" s="973"/>
      <c r="V66" s="977" t="s">
        <v>102</v>
      </c>
      <c r="W66" s="977"/>
      <c r="X66" s="977"/>
      <c r="Y66" s="977" t="s">
        <v>424</v>
      </c>
      <c r="Z66" s="977"/>
      <c r="AA66" s="977"/>
      <c r="AB66" s="977" t="s">
        <v>380</v>
      </c>
      <c r="AC66" s="977"/>
      <c r="AD66" s="977"/>
      <c r="AE66" s="978" t="s">
        <v>78</v>
      </c>
      <c r="AF66" s="979"/>
      <c r="AG66" s="980"/>
      <c r="AH66" s="834"/>
      <c r="AI66" s="835"/>
      <c r="AJ66" s="836"/>
      <c r="AK66" s="232" t="s">
        <v>425</v>
      </c>
      <c r="AL66" s="823">
        <f>COUNTA(S66:AJ66)</f>
        <v>5</v>
      </c>
      <c r="AM66" s="824">
        <v>77.599999999999994</v>
      </c>
      <c r="AN66" s="118"/>
      <c r="AO66" s="864">
        <v>46075</v>
      </c>
      <c r="AP66" s="849" t="s">
        <v>434</v>
      </c>
      <c r="AQ66" s="849"/>
      <c r="AR66" s="849"/>
      <c r="AS66" s="849" t="s">
        <v>72</v>
      </c>
      <c r="AT66" s="849"/>
      <c r="AU66" s="849"/>
      <c r="AV66" s="890" t="s">
        <v>435</v>
      </c>
      <c r="AW66" s="890"/>
      <c r="AX66" s="890"/>
      <c r="AY66" s="848" t="s">
        <v>68</v>
      </c>
      <c r="AZ66" s="848"/>
      <c r="BA66" s="848"/>
      <c r="BB66" s="972" t="s">
        <v>756</v>
      </c>
      <c r="BC66" s="972"/>
      <c r="BD66" s="972"/>
      <c r="BE66" s="834"/>
      <c r="BF66" s="835"/>
      <c r="BG66" s="836"/>
      <c r="BH66" s="232" t="s">
        <v>425</v>
      </c>
      <c r="BI66" s="823">
        <f>COUNTA(AP66:BG66)</f>
        <v>5</v>
      </c>
      <c r="BJ66" s="824">
        <v>77.75</v>
      </c>
      <c r="BK66" s="118"/>
      <c r="BL66" s="864">
        <v>46103</v>
      </c>
      <c r="BM66" s="960"/>
      <c r="BN66" s="960"/>
      <c r="BO66" s="960"/>
      <c r="BP66" s="960"/>
      <c r="BQ66" s="960"/>
      <c r="BR66" s="960"/>
      <c r="BS66" s="960"/>
      <c r="BT66" s="960"/>
      <c r="BU66" s="960"/>
      <c r="BV66" s="960"/>
      <c r="BW66" s="960"/>
      <c r="BX66" s="960"/>
      <c r="BY66" s="961"/>
      <c r="BZ66" s="962"/>
      <c r="CA66" s="963"/>
      <c r="CB66" s="961"/>
      <c r="CC66" s="962"/>
      <c r="CD66" s="963"/>
      <c r="CE66" s="232" t="s">
        <v>425</v>
      </c>
      <c r="CF66" s="823">
        <f>COUNTA(BM66:CD66)</f>
        <v>0</v>
      </c>
      <c r="CG66" s="824"/>
    </row>
    <row r="67" spans="1:85" ht="15">
      <c r="A67"/>
      <c r="B67" s="729" t="s">
        <v>613</v>
      </c>
      <c r="C67" s="729"/>
      <c r="D67" s="729"/>
      <c r="E67" s="729"/>
      <c r="F67"/>
      <c r="G67"/>
      <c r="H67"/>
      <c r="I67"/>
      <c r="R67" s="874"/>
      <c r="S67" s="303" t="s">
        <v>59</v>
      </c>
      <c r="T67" s="303" t="s">
        <v>73</v>
      </c>
      <c r="U67" s="304" t="s">
        <v>4</v>
      </c>
      <c r="V67" s="303" t="s">
        <v>59</v>
      </c>
      <c r="W67" s="303" t="s">
        <v>73</v>
      </c>
      <c r="X67" s="304" t="s">
        <v>4</v>
      </c>
      <c r="Y67" s="303" t="s">
        <v>59</v>
      </c>
      <c r="Z67" s="303" t="s">
        <v>73</v>
      </c>
      <c r="AA67" s="304" t="s">
        <v>4</v>
      </c>
      <c r="AB67" s="303" t="s">
        <v>59</v>
      </c>
      <c r="AC67" s="303" t="s">
        <v>73</v>
      </c>
      <c r="AD67" s="304" t="s">
        <v>4</v>
      </c>
      <c r="AE67" s="303" t="s">
        <v>59</v>
      </c>
      <c r="AF67" s="303" t="s">
        <v>73</v>
      </c>
      <c r="AG67" s="304" t="s">
        <v>4</v>
      </c>
      <c r="AH67" s="107" t="s">
        <v>59</v>
      </c>
      <c r="AI67" s="107" t="s">
        <v>73</v>
      </c>
      <c r="AJ67" s="108" t="s">
        <v>4</v>
      </c>
      <c r="AK67" s="957">
        <v>62</v>
      </c>
      <c r="AL67" s="823"/>
      <c r="AM67" s="825"/>
      <c r="AN67" s="118"/>
      <c r="AO67" s="865"/>
      <c r="AP67" s="231" t="s">
        <v>59</v>
      </c>
      <c r="AQ67" s="231" t="s">
        <v>73</v>
      </c>
      <c r="AR67" s="102" t="s">
        <v>4</v>
      </c>
      <c r="AS67" s="231" t="s">
        <v>59</v>
      </c>
      <c r="AT67" s="231" t="s">
        <v>73</v>
      </c>
      <c r="AU67" s="102" t="s">
        <v>4</v>
      </c>
      <c r="AV67" s="231" t="s">
        <v>59</v>
      </c>
      <c r="AW67" s="231" t="s">
        <v>73</v>
      </c>
      <c r="AX67" s="102" t="s">
        <v>4</v>
      </c>
      <c r="AY67" s="231" t="s">
        <v>59</v>
      </c>
      <c r="AZ67" s="231" t="s">
        <v>73</v>
      </c>
      <c r="BA67" s="102" t="s">
        <v>4</v>
      </c>
      <c r="BB67" s="231" t="s">
        <v>59</v>
      </c>
      <c r="BC67" s="231" t="s">
        <v>73</v>
      </c>
      <c r="BD67" s="102" t="s">
        <v>4</v>
      </c>
      <c r="BE67" s="107" t="s">
        <v>59</v>
      </c>
      <c r="BF67" s="107" t="s">
        <v>73</v>
      </c>
      <c r="BG67" s="108" t="s">
        <v>4</v>
      </c>
      <c r="BH67" s="957">
        <v>111</v>
      </c>
      <c r="BI67" s="823"/>
      <c r="BJ67" s="825"/>
      <c r="BK67" s="118"/>
      <c r="BL67" s="865"/>
      <c r="BM67" s="460" t="s">
        <v>59</v>
      </c>
      <c r="BN67" s="460" t="s">
        <v>73</v>
      </c>
      <c r="BO67" s="461" t="s">
        <v>4</v>
      </c>
      <c r="BP67" s="460" t="s">
        <v>59</v>
      </c>
      <c r="BQ67" s="460" t="s">
        <v>73</v>
      </c>
      <c r="BR67" s="461" t="s">
        <v>4</v>
      </c>
      <c r="BS67" s="460" t="s">
        <v>59</v>
      </c>
      <c r="BT67" s="460" t="s">
        <v>73</v>
      </c>
      <c r="BU67" s="461" t="s">
        <v>4</v>
      </c>
      <c r="BV67" s="460" t="s">
        <v>59</v>
      </c>
      <c r="BW67" s="460" t="s">
        <v>73</v>
      </c>
      <c r="BX67" s="461" t="s">
        <v>4</v>
      </c>
      <c r="BY67" s="460" t="s">
        <v>59</v>
      </c>
      <c r="BZ67" s="460" t="s">
        <v>73</v>
      </c>
      <c r="CA67" s="461" t="s">
        <v>4</v>
      </c>
      <c r="CB67" s="460" t="s">
        <v>59</v>
      </c>
      <c r="CC67" s="460" t="s">
        <v>73</v>
      </c>
      <c r="CD67" s="461" t="s">
        <v>4</v>
      </c>
      <c r="CE67" s="957"/>
      <c r="CF67" s="823"/>
      <c r="CG67" s="825"/>
    </row>
    <row r="68" spans="1:85" ht="15">
      <c r="A68"/>
      <c r="B68"/>
      <c r="C68"/>
      <c r="D68"/>
      <c r="E68"/>
      <c r="F68"/>
      <c r="G68"/>
      <c r="H68"/>
      <c r="I68"/>
      <c r="R68" s="875"/>
      <c r="S68" s="305">
        <v>4</v>
      </c>
      <c r="T68" s="305">
        <f>((12*2)+(8*1)+(10*1))/4</f>
        <v>10.5</v>
      </c>
      <c r="U68" s="305">
        <f>((23*1)+(50*3))/4</f>
        <v>43.25</v>
      </c>
      <c r="V68" s="305">
        <v>4</v>
      </c>
      <c r="W68" s="306">
        <f>((12*1)+(8*2)+(10*1))/4</f>
        <v>9.5</v>
      </c>
      <c r="X68" s="306">
        <f>((9.1*1)+(18.1*3))/4</f>
        <v>15.850000000000001</v>
      </c>
      <c r="Y68" s="305">
        <v>4</v>
      </c>
      <c r="Z68" s="306">
        <f>((12*3)+(10*1))/4</f>
        <v>11.5</v>
      </c>
      <c r="AA68" s="306">
        <f>((12.5*1)+(22.5*1)+(25*2))/4</f>
        <v>21.25</v>
      </c>
      <c r="AB68" s="305">
        <v>4</v>
      </c>
      <c r="AC68" s="305">
        <f>((12*2)+(8*1)+(10*1))/4</f>
        <v>10.5</v>
      </c>
      <c r="AD68" s="305">
        <f>((15.9*1)+(29.5*3))/4</f>
        <v>26.1</v>
      </c>
      <c r="AE68" s="305">
        <v>4</v>
      </c>
      <c r="AF68" s="305">
        <f>((12*1)+(8*3))/4</f>
        <v>9</v>
      </c>
      <c r="AG68" s="305">
        <f>((10*1)+(17.5*3))/4</f>
        <v>15.625</v>
      </c>
      <c r="AH68" s="233"/>
      <c r="AI68" s="233"/>
      <c r="AJ68" s="233"/>
      <c r="AK68" s="949"/>
      <c r="AL68" s="229">
        <f>(S68*T68*U68)+(V68*W68*X68)+(Y68*Z68*AA68)+(AB68*AC68*AD68)+(AE68*AF68*AG68)+(AH68*AI68*AJ68)</f>
        <v>5055</v>
      </c>
      <c r="AM68" s="826"/>
      <c r="AN68" s="118"/>
      <c r="AO68" s="866"/>
      <c r="AP68" s="229">
        <v>4</v>
      </c>
      <c r="AQ68" s="229">
        <f>((12*3)+(14*1))/4</f>
        <v>12.5</v>
      </c>
      <c r="AR68" s="229">
        <f>((12.5*1)+(25*3))/4</f>
        <v>21.875</v>
      </c>
      <c r="AS68" s="229">
        <v>4</v>
      </c>
      <c r="AT68" s="229">
        <f>((12*1)+(10*3))/4</f>
        <v>10.5</v>
      </c>
      <c r="AU68" s="229">
        <f>((27*1)+(59*3))/4</f>
        <v>51</v>
      </c>
      <c r="AV68" s="229">
        <v>4</v>
      </c>
      <c r="AW68" s="229">
        <f>((12*1)+(8*2)+(9*1))/4</f>
        <v>9.25</v>
      </c>
      <c r="AX68" s="229">
        <f>((12.5*1)+(22.5*3))/4</f>
        <v>20</v>
      </c>
      <c r="AY68" s="229">
        <v>4</v>
      </c>
      <c r="AZ68" s="229">
        <f>((12*1)+(8*3))/4</f>
        <v>9</v>
      </c>
      <c r="BA68" s="126">
        <f>((32*1)+(72*3))/4</f>
        <v>62</v>
      </c>
      <c r="BB68" s="229">
        <v>4</v>
      </c>
      <c r="BC68" s="229">
        <f>((8*2)+(10*1)+(12*1))/4</f>
        <v>9.5</v>
      </c>
      <c r="BD68" s="229">
        <f>((22.5*1)+(25*3))/4</f>
        <v>24.375</v>
      </c>
      <c r="BE68" s="233"/>
      <c r="BF68" s="233"/>
      <c r="BG68" s="233"/>
      <c r="BH68" s="949"/>
      <c r="BI68" s="229">
        <f>(AP68*AQ68*AR68)+(AS68*AT68*AU68)+(AV68*AW68*AX68)+(AY68*AZ68*BA68)+(BB68*BC68*BD68)+(BE68*BF68*BG68)</f>
        <v>7134</v>
      </c>
      <c r="BJ68" s="826"/>
      <c r="BK68" s="118"/>
      <c r="BL68" s="866"/>
      <c r="BM68" s="462"/>
      <c r="BN68" s="462"/>
      <c r="BO68" s="462"/>
      <c r="BP68" s="462"/>
      <c r="BQ68" s="462"/>
      <c r="BR68" s="462"/>
      <c r="BS68" s="462"/>
      <c r="BT68" s="462"/>
      <c r="BU68" s="462"/>
      <c r="BV68" s="462"/>
      <c r="BW68" s="462"/>
      <c r="BX68" s="462"/>
      <c r="BY68" s="462"/>
      <c r="BZ68" s="462"/>
      <c r="CA68" s="462"/>
      <c r="CB68" s="462"/>
      <c r="CC68" s="462"/>
      <c r="CD68" s="463"/>
      <c r="CE68" s="949"/>
      <c r="CF68" s="229">
        <f>(BM68*BN68*BO68)+(BP68*BQ68*BR68)+(BS68*BT68*BU68)+(BV68*BW68*BX68)+(BY68*BZ68*CA68)+(CB68*CC68*CD68)</f>
        <v>0</v>
      </c>
      <c r="CG68" s="826"/>
    </row>
    <row r="69" spans="1:85" ht="15">
      <c r="A69" s="400" t="s">
        <v>614</v>
      </c>
      <c r="B69" s="966" t="s">
        <v>615</v>
      </c>
      <c r="C69" s="729"/>
      <c r="D69" s="729"/>
      <c r="E69" s="729"/>
      <c r="F69"/>
      <c r="G69"/>
      <c r="H69"/>
      <c r="I69"/>
      <c r="R69" s="876">
        <v>46045</v>
      </c>
      <c r="S69" s="849" t="s">
        <v>434</v>
      </c>
      <c r="T69" s="849"/>
      <c r="U69" s="849"/>
      <c r="V69" s="848" t="s">
        <v>68</v>
      </c>
      <c r="W69" s="848"/>
      <c r="X69" s="848"/>
      <c r="Y69" s="848" t="s">
        <v>380</v>
      </c>
      <c r="Z69" s="848"/>
      <c r="AA69" s="848"/>
      <c r="AB69" s="848" t="s">
        <v>391</v>
      </c>
      <c r="AC69" s="848"/>
      <c r="AD69" s="848"/>
      <c r="AE69" s="834"/>
      <c r="AF69" s="835"/>
      <c r="AG69" s="836"/>
      <c r="AH69" s="834"/>
      <c r="AI69" s="835"/>
      <c r="AJ69" s="836"/>
      <c r="AK69" s="232" t="s">
        <v>425</v>
      </c>
      <c r="AL69" s="823">
        <f>COUNTA(S69:AJ69)</f>
        <v>4</v>
      </c>
      <c r="AM69" s="824">
        <v>78.099999999999994</v>
      </c>
      <c r="AN69" s="118"/>
      <c r="AO69" s="870">
        <v>46076</v>
      </c>
      <c r="AP69" s="848" t="s">
        <v>89</v>
      </c>
      <c r="AQ69" s="848"/>
      <c r="AR69" s="848"/>
      <c r="AS69" s="848" t="s">
        <v>380</v>
      </c>
      <c r="AT69" s="848"/>
      <c r="AU69" s="848"/>
      <c r="AV69" s="848" t="s">
        <v>115</v>
      </c>
      <c r="AW69" s="848"/>
      <c r="AX69" s="848"/>
      <c r="AY69" s="849" t="s">
        <v>114</v>
      </c>
      <c r="AZ69" s="849"/>
      <c r="BA69" s="849"/>
      <c r="BB69" s="848" t="s">
        <v>129</v>
      </c>
      <c r="BC69" s="848"/>
      <c r="BD69" s="848"/>
      <c r="BE69" s="834"/>
      <c r="BF69" s="835"/>
      <c r="BG69" s="836"/>
      <c r="BH69" s="232" t="s">
        <v>425</v>
      </c>
      <c r="BI69" s="823">
        <f>COUNTA(AP69:BG69)</f>
        <v>5</v>
      </c>
      <c r="BJ69" s="824">
        <v>77.8</v>
      </c>
      <c r="BK69" s="118"/>
      <c r="BL69" s="870">
        <v>46104</v>
      </c>
      <c r="BM69" s="960"/>
      <c r="BN69" s="960"/>
      <c r="BO69" s="960"/>
      <c r="BP69" s="960"/>
      <c r="BQ69" s="960"/>
      <c r="BR69" s="960"/>
      <c r="BS69" s="960"/>
      <c r="BT69" s="960"/>
      <c r="BU69" s="960"/>
      <c r="BV69" s="960"/>
      <c r="BW69" s="960"/>
      <c r="BX69" s="960"/>
      <c r="BY69" s="961"/>
      <c r="BZ69" s="962"/>
      <c r="CA69" s="963"/>
      <c r="CB69" s="961"/>
      <c r="CC69" s="962"/>
      <c r="CD69" s="963"/>
      <c r="CE69" s="232" t="s">
        <v>425</v>
      </c>
      <c r="CF69" s="823">
        <f>COUNTA(BM69:CD69)</f>
        <v>0</v>
      </c>
      <c r="CG69" s="824"/>
    </row>
    <row r="70" spans="1:85" ht="15">
      <c r="R70" s="877"/>
      <c r="S70" s="231" t="s">
        <v>59</v>
      </c>
      <c r="T70" s="231" t="s">
        <v>73</v>
      </c>
      <c r="U70" s="102" t="s">
        <v>4</v>
      </c>
      <c r="V70" s="231" t="s">
        <v>59</v>
      </c>
      <c r="W70" s="231" t="s">
        <v>73</v>
      </c>
      <c r="X70" s="102" t="s">
        <v>4</v>
      </c>
      <c r="Y70" s="231" t="s">
        <v>59</v>
      </c>
      <c r="Z70" s="231" t="s">
        <v>73</v>
      </c>
      <c r="AA70" s="102" t="s">
        <v>4</v>
      </c>
      <c r="AB70" s="231" t="s">
        <v>59</v>
      </c>
      <c r="AC70" s="231" t="s">
        <v>73</v>
      </c>
      <c r="AD70" s="102" t="s">
        <v>4</v>
      </c>
      <c r="AE70" s="107" t="s">
        <v>59</v>
      </c>
      <c r="AF70" s="107" t="s">
        <v>73</v>
      </c>
      <c r="AG70" s="108" t="s">
        <v>4</v>
      </c>
      <c r="AH70" s="107" t="s">
        <v>59</v>
      </c>
      <c r="AI70" s="107" t="s">
        <v>73</v>
      </c>
      <c r="AJ70" s="108" t="s">
        <v>4</v>
      </c>
      <c r="AK70" s="957">
        <v>39</v>
      </c>
      <c r="AL70" s="823"/>
      <c r="AM70" s="825"/>
      <c r="AN70" s="118"/>
      <c r="AO70" s="871"/>
      <c r="AP70" s="231" t="s">
        <v>59</v>
      </c>
      <c r="AQ70" s="231" t="s">
        <v>73</v>
      </c>
      <c r="AR70" s="102" t="s">
        <v>4</v>
      </c>
      <c r="AS70" s="231" t="s">
        <v>59</v>
      </c>
      <c r="AT70" s="231" t="s">
        <v>73</v>
      </c>
      <c r="AU70" s="102" t="s">
        <v>4</v>
      </c>
      <c r="AV70" s="231" t="s">
        <v>59</v>
      </c>
      <c r="AW70" s="231" t="s">
        <v>73</v>
      </c>
      <c r="AX70" s="102" t="s">
        <v>4</v>
      </c>
      <c r="AY70" s="231" t="s">
        <v>59</v>
      </c>
      <c r="AZ70" s="231" t="s">
        <v>73</v>
      </c>
      <c r="BA70" s="102" t="s">
        <v>4</v>
      </c>
      <c r="BB70" s="231" t="s">
        <v>59</v>
      </c>
      <c r="BC70" s="231" t="s">
        <v>73</v>
      </c>
      <c r="BD70" s="102" t="s">
        <v>4</v>
      </c>
      <c r="BE70" s="107" t="s">
        <v>59</v>
      </c>
      <c r="BF70" s="107" t="s">
        <v>73</v>
      </c>
      <c r="BG70" s="108" t="s">
        <v>4</v>
      </c>
      <c r="BH70" s="957">
        <v>63</v>
      </c>
      <c r="BI70" s="823"/>
      <c r="BJ70" s="825"/>
      <c r="BK70" s="118"/>
      <c r="BL70" s="871"/>
      <c r="BM70" s="460" t="s">
        <v>59</v>
      </c>
      <c r="BN70" s="460" t="s">
        <v>73</v>
      </c>
      <c r="BO70" s="461" t="s">
        <v>4</v>
      </c>
      <c r="BP70" s="460" t="s">
        <v>59</v>
      </c>
      <c r="BQ70" s="460" t="s">
        <v>73</v>
      </c>
      <c r="BR70" s="461" t="s">
        <v>4</v>
      </c>
      <c r="BS70" s="460" t="s">
        <v>59</v>
      </c>
      <c r="BT70" s="460" t="s">
        <v>73</v>
      </c>
      <c r="BU70" s="461" t="s">
        <v>4</v>
      </c>
      <c r="BV70" s="460" t="s">
        <v>59</v>
      </c>
      <c r="BW70" s="460" t="s">
        <v>73</v>
      </c>
      <c r="BX70" s="461" t="s">
        <v>4</v>
      </c>
      <c r="BY70" s="460" t="s">
        <v>59</v>
      </c>
      <c r="BZ70" s="460" t="s">
        <v>73</v>
      </c>
      <c r="CA70" s="461" t="s">
        <v>4</v>
      </c>
      <c r="CB70" s="460" t="s">
        <v>59</v>
      </c>
      <c r="CC70" s="460" t="s">
        <v>73</v>
      </c>
      <c r="CD70" s="461" t="s">
        <v>4</v>
      </c>
      <c r="CE70" s="957"/>
      <c r="CF70" s="823"/>
      <c r="CG70" s="825"/>
    </row>
    <row r="71" spans="1:85" ht="15">
      <c r="R71" s="878"/>
      <c r="S71" s="229">
        <v>4</v>
      </c>
      <c r="T71" s="229">
        <f>((12*1)+(8*3))/4</f>
        <v>9</v>
      </c>
      <c r="U71" s="229">
        <f>((12.5*1)+(25*3))/4</f>
        <v>21.875</v>
      </c>
      <c r="V71" s="229">
        <v>4</v>
      </c>
      <c r="W71" s="229">
        <f>((12*2)+(8*1)+(10*1))/4</f>
        <v>10.5</v>
      </c>
      <c r="X71" s="229">
        <f>((27*1)+(50*3))/4</f>
        <v>44.25</v>
      </c>
      <c r="Y71" s="229">
        <v>4</v>
      </c>
      <c r="Z71" s="229">
        <f>((12*3)+(8*1))/4</f>
        <v>11</v>
      </c>
      <c r="AA71" s="126">
        <f>((15.9*1)+(31.8*2)+(34*2))/4</f>
        <v>36.875</v>
      </c>
      <c r="AB71" s="229">
        <v>4</v>
      </c>
      <c r="AC71" s="229">
        <f>((0.5*1)+(1*3))/4</f>
        <v>0.875</v>
      </c>
      <c r="AD71" s="229">
        <f>AM69*(2/3)</f>
        <v>52.066666666666663</v>
      </c>
      <c r="AE71" s="233"/>
      <c r="AF71" s="233"/>
      <c r="AG71" s="233"/>
      <c r="AH71" s="233"/>
      <c r="AI71" s="233"/>
      <c r="AJ71" s="233"/>
      <c r="AK71" s="949"/>
      <c r="AL71" s="229">
        <f>(S71*T71*U71)+(V71*W71*X71)+(Y71*Z71*AA71)+(AB71*AC71*AD71)+(AE71*AF71*AG71)+(AH71*AI71*AJ71)</f>
        <v>4450.7333333333336</v>
      </c>
      <c r="AM71" s="826"/>
      <c r="AN71" s="118"/>
      <c r="AO71" s="872"/>
      <c r="AP71" s="229">
        <v>4</v>
      </c>
      <c r="AQ71" s="229">
        <f>((12*1)+(10*1)+(9*2))/4</f>
        <v>10</v>
      </c>
      <c r="AR71" s="229">
        <f>((36*1)+(68*3))/4</f>
        <v>60</v>
      </c>
      <c r="AS71" s="229">
        <v>4</v>
      </c>
      <c r="AT71" s="229">
        <v>16</v>
      </c>
      <c r="AU71" s="229">
        <f>((15.9*1)+(34*3))/4</f>
        <v>29.475000000000001</v>
      </c>
      <c r="AV71" s="229">
        <v>4</v>
      </c>
      <c r="AW71" s="229">
        <v>12</v>
      </c>
      <c r="AX71" s="229">
        <f>((13.9*1)+(24.9*3))/4</f>
        <v>22.15</v>
      </c>
      <c r="AY71" s="229">
        <v>4</v>
      </c>
      <c r="AZ71" s="229">
        <f>((12*1)+(10*3))/4</f>
        <v>10.5</v>
      </c>
      <c r="BA71" s="229">
        <f>((2.5*1)+(7.5*3))/4</f>
        <v>6.25</v>
      </c>
      <c r="BB71" s="229">
        <v>4</v>
      </c>
      <c r="BC71" s="126">
        <f>((12*1)+(10*3))/4</f>
        <v>10.5</v>
      </c>
      <c r="BD71" s="229">
        <f>((11.3*1)+(24.9*3))/4</f>
        <v>21.499999999999996</v>
      </c>
      <c r="BE71" s="233"/>
      <c r="BF71" s="233"/>
      <c r="BG71" s="233"/>
      <c r="BH71" s="949"/>
      <c r="BI71" s="229">
        <f>(AP71*AQ71*AR71)+(AS71*AT71*AU71)+(AV71*AW71*AX71)+(AY71*AZ71*BA71)+(BB71*BC71*BD71)+(BE71*BF71*BG71)</f>
        <v>6515.0999999999995</v>
      </c>
      <c r="BJ71" s="826"/>
      <c r="BK71" s="118"/>
      <c r="BL71" s="872"/>
      <c r="BM71" s="462"/>
      <c r="BN71" s="462"/>
      <c r="BO71" s="462"/>
      <c r="BP71" s="462"/>
      <c r="BQ71" s="462"/>
      <c r="BR71" s="462"/>
      <c r="BS71" s="462"/>
      <c r="BT71" s="462"/>
      <c r="BU71" s="462"/>
      <c r="BV71" s="462"/>
      <c r="BW71" s="462"/>
      <c r="BX71" s="462"/>
      <c r="BY71" s="462"/>
      <c r="BZ71" s="462"/>
      <c r="CA71" s="462"/>
      <c r="CB71" s="462"/>
      <c r="CC71" s="462"/>
      <c r="CD71" s="462"/>
      <c r="CE71" s="949"/>
      <c r="CF71" s="229">
        <f>(BM71*BN71*BO71)+(BP71*BQ71*BR71)+(BS71*BT71*BU71)+(BV71*BW71*BX71)+(BY71*BZ71*CA71)+(CB71*CC71*CD71)</f>
        <v>0</v>
      </c>
      <c r="CG71" s="826"/>
    </row>
    <row r="72" spans="1:85" ht="15">
      <c r="R72" s="840">
        <v>46046</v>
      </c>
      <c r="S72" s="844"/>
      <c r="T72" s="844"/>
      <c r="U72" s="844"/>
      <c r="V72" s="844"/>
      <c r="W72" s="844"/>
      <c r="X72" s="844"/>
      <c r="Y72" s="844"/>
      <c r="Z72" s="844"/>
      <c r="AA72" s="844"/>
      <c r="AB72" s="844"/>
      <c r="AC72" s="844"/>
      <c r="AD72" s="844"/>
      <c r="AE72" s="834"/>
      <c r="AF72" s="835"/>
      <c r="AG72" s="836"/>
      <c r="AH72" s="834"/>
      <c r="AI72" s="835"/>
      <c r="AJ72" s="836"/>
      <c r="AK72" s="232" t="s">
        <v>425</v>
      </c>
      <c r="AL72" s="823">
        <f>COUNTA(S72:AJ72)</f>
        <v>0</v>
      </c>
      <c r="AM72" s="824">
        <f>AM69</f>
        <v>78.099999999999994</v>
      </c>
      <c r="AN72" s="118"/>
      <c r="AO72" s="856">
        <v>46077</v>
      </c>
      <c r="AP72" s="848" t="s">
        <v>70</v>
      </c>
      <c r="AQ72" s="848"/>
      <c r="AR72" s="848"/>
      <c r="AS72" s="859"/>
      <c r="AT72" s="859"/>
      <c r="AU72" s="859"/>
      <c r="AV72" s="834"/>
      <c r="AW72" s="835"/>
      <c r="AX72" s="836"/>
      <c r="AY72" s="867"/>
      <c r="AZ72" s="868"/>
      <c r="BA72" s="869"/>
      <c r="BB72" s="834"/>
      <c r="BC72" s="835"/>
      <c r="BD72" s="836"/>
      <c r="BE72" s="834"/>
      <c r="BF72" s="835"/>
      <c r="BG72" s="836"/>
      <c r="BH72" s="232" t="s">
        <v>425</v>
      </c>
      <c r="BI72" s="823">
        <f>COUNTA(AP72:BG72)</f>
        <v>1</v>
      </c>
      <c r="BJ72" s="824">
        <f>BJ69</f>
        <v>77.8</v>
      </c>
      <c r="BK72" s="118"/>
      <c r="BL72" s="856">
        <v>46105</v>
      </c>
      <c r="BM72" s="960"/>
      <c r="BN72" s="960"/>
      <c r="BO72" s="960"/>
      <c r="BP72" s="960"/>
      <c r="BQ72" s="960"/>
      <c r="BR72" s="960"/>
      <c r="BS72" s="960"/>
      <c r="BT72" s="960"/>
      <c r="BU72" s="960"/>
      <c r="BV72" s="960"/>
      <c r="BW72" s="960"/>
      <c r="BX72" s="960"/>
      <c r="BY72" s="961"/>
      <c r="BZ72" s="962"/>
      <c r="CA72" s="963"/>
      <c r="CB72" s="961"/>
      <c r="CC72" s="962"/>
      <c r="CD72" s="963"/>
      <c r="CE72" s="232" t="s">
        <v>425</v>
      </c>
      <c r="CF72" s="823">
        <f>COUNTA(BM72:CD72)</f>
        <v>0</v>
      </c>
      <c r="CG72" s="824"/>
    </row>
    <row r="73" spans="1:85" ht="15">
      <c r="R73" s="841"/>
      <c r="S73" s="107" t="s">
        <v>59</v>
      </c>
      <c r="T73" s="107" t="s">
        <v>73</v>
      </c>
      <c r="U73" s="108" t="s">
        <v>4</v>
      </c>
      <c r="V73" s="107" t="s">
        <v>59</v>
      </c>
      <c r="W73" s="107" t="s">
        <v>73</v>
      </c>
      <c r="X73" s="108" t="s">
        <v>4</v>
      </c>
      <c r="Y73" s="107" t="s">
        <v>59</v>
      </c>
      <c r="Z73" s="107" t="s">
        <v>73</v>
      </c>
      <c r="AA73" s="108" t="s">
        <v>4</v>
      </c>
      <c r="AB73" s="107" t="s">
        <v>59</v>
      </c>
      <c r="AC73" s="107" t="s">
        <v>73</v>
      </c>
      <c r="AD73" s="108" t="s">
        <v>4</v>
      </c>
      <c r="AE73" s="107" t="s">
        <v>59</v>
      </c>
      <c r="AF73" s="107" t="s">
        <v>73</v>
      </c>
      <c r="AG73" s="108" t="s">
        <v>4</v>
      </c>
      <c r="AH73" s="107" t="s">
        <v>59</v>
      </c>
      <c r="AI73" s="107" t="s">
        <v>73</v>
      </c>
      <c r="AJ73" s="108" t="s">
        <v>4</v>
      </c>
      <c r="AK73" s="957">
        <v>0</v>
      </c>
      <c r="AL73" s="823"/>
      <c r="AM73" s="825"/>
      <c r="AN73" s="118"/>
      <c r="AO73" s="857"/>
      <c r="AP73" s="231" t="s">
        <v>59</v>
      </c>
      <c r="AQ73" s="231" t="s">
        <v>73</v>
      </c>
      <c r="AR73" s="102" t="s">
        <v>4</v>
      </c>
      <c r="AS73" s="107" t="s">
        <v>59</v>
      </c>
      <c r="AT73" s="107" t="s">
        <v>73</v>
      </c>
      <c r="AU73" s="108" t="s">
        <v>4</v>
      </c>
      <c r="AV73" s="107" t="s">
        <v>59</v>
      </c>
      <c r="AW73" s="107" t="s">
        <v>73</v>
      </c>
      <c r="AX73" s="108" t="s">
        <v>4</v>
      </c>
      <c r="AY73" s="107" t="s">
        <v>59</v>
      </c>
      <c r="AZ73" s="107" t="s">
        <v>73</v>
      </c>
      <c r="BA73" s="108" t="s">
        <v>4</v>
      </c>
      <c r="BB73" s="107" t="s">
        <v>59</v>
      </c>
      <c r="BC73" s="107" t="s">
        <v>73</v>
      </c>
      <c r="BD73" s="108" t="s">
        <v>4</v>
      </c>
      <c r="BE73" s="107" t="s">
        <v>59</v>
      </c>
      <c r="BF73" s="107" t="s">
        <v>73</v>
      </c>
      <c r="BG73" s="108" t="s">
        <v>4</v>
      </c>
      <c r="BH73" s="957">
        <v>45</v>
      </c>
      <c r="BI73" s="823"/>
      <c r="BJ73" s="825"/>
      <c r="BK73" s="118"/>
      <c r="BL73" s="857"/>
      <c r="BM73" s="460" t="s">
        <v>59</v>
      </c>
      <c r="BN73" s="460" t="s">
        <v>73</v>
      </c>
      <c r="BO73" s="461" t="s">
        <v>4</v>
      </c>
      <c r="BP73" s="460" t="s">
        <v>59</v>
      </c>
      <c r="BQ73" s="460" t="s">
        <v>73</v>
      </c>
      <c r="BR73" s="461" t="s">
        <v>4</v>
      </c>
      <c r="BS73" s="460" t="s">
        <v>59</v>
      </c>
      <c r="BT73" s="460" t="s">
        <v>73</v>
      </c>
      <c r="BU73" s="461" t="s">
        <v>4</v>
      </c>
      <c r="BV73" s="460" t="s">
        <v>59</v>
      </c>
      <c r="BW73" s="460" t="s">
        <v>73</v>
      </c>
      <c r="BX73" s="461" t="s">
        <v>4</v>
      </c>
      <c r="BY73" s="460" t="s">
        <v>59</v>
      </c>
      <c r="BZ73" s="460" t="s">
        <v>73</v>
      </c>
      <c r="CA73" s="461" t="s">
        <v>4</v>
      </c>
      <c r="CB73" s="460" t="s">
        <v>59</v>
      </c>
      <c r="CC73" s="460" t="s">
        <v>73</v>
      </c>
      <c r="CD73" s="461" t="s">
        <v>4</v>
      </c>
      <c r="CE73" s="957"/>
      <c r="CF73" s="823"/>
      <c r="CG73" s="825"/>
    </row>
    <row r="74" spans="1:85" ht="15">
      <c r="R74" s="842"/>
      <c r="S74" s="233"/>
      <c r="T74" s="233"/>
      <c r="U74" s="233"/>
      <c r="V74" s="233"/>
      <c r="W74" s="233"/>
      <c r="X74" s="233"/>
      <c r="Y74" s="233"/>
      <c r="Z74" s="233"/>
      <c r="AA74" s="233"/>
      <c r="AB74" s="233"/>
      <c r="AC74" s="233"/>
      <c r="AD74" s="233"/>
      <c r="AE74" s="233"/>
      <c r="AF74" s="233"/>
      <c r="AG74" s="233"/>
      <c r="AH74" s="233"/>
      <c r="AI74" s="233"/>
      <c r="AJ74" s="233"/>
      <c r="AK74" s="949"/>
      <c r="AL74" s="229">
        <f>(S74*T74*U74)+(V74*W74*X74)+(Y74*Z74*AA74)+(AB74*AC74*AD74)+(AE74*AF74*AG74)+(AH74*AI74*AJ74)</f>
        <v>0</v>
      </c>
      <c r="AM74" s="826"/>
      <c r="AN74" s="118"/>
      <c r="AO74" s="858"/>
      <c r="AP74" s="229">
        <v>1</v>
      </c>
      <c r="AQ74" s="229">
        <v>45</v>
      </c>
      <c r="AR74" s="229">
        <f>BJ72</f>
        <v>77.8</v>
      </c>
      <c r="AS74" s="233"/>
      <c r="AT74" s="233"/>
      <c r="AU74" s="233"/>
      <c r="AV74" s="233"/>
      <c r="AW74" s="233"/>
      <c r="AX74" s="233"/>
      <c r="AY74" s="233"/>
      <c r="AZ74" s="233"/>
      <c r="BA74" s="233"/>
      <c r="BB74" s="233"/>
      <c r="BC74" s="233"/>
      <c r="BD74" s="233"/>
      <c r="BE74" s="233"/>
      <c r="BF74" s="233"/>
      <c r="BG74" s="233"/>
      <c r="BH74" s="949"/>
      <c r="BI74" s="229">
        <f>(AP74*AQ74*AR74)+(AS74*AT74*AU74)+(AV74*AW74*AX74)+(AY74*AZ74*BA74)+(BB74*BC74*BD74)+(BE74*BF74*BG74)</f>
        <v>3501</v>
      </c>
      <c r="BJ74" s="826"/>
      <c r="BK74" s="118"/>
      <c r="BL74" s="858"/>
      <c r="BM74" s="462"/>
      <c r="BN74" s="462"/>
      <c r="BO74" s="462"/>
      <c r="BP74" s="462"/>
      <c r="BQ74" s="462"/>
      <c r="BR74" s="462"/>
      <c r="BS74" s="462"/>
      <c r="BT74" s="462"/>
      <c r="BU74" s="462"/>
      <c r="BV74" s="462"/>
      <c r="BW74" s="462"/>
      <c r="BX74" s="462"/>
      <c r="BY74" s="462"/>
      <c r="BZ74" s="462"/>
      <c r="CA74" s="462"/>
      <c r="CB74" s="462"/>
      <c r="CC74" s="462"/>
      <c r="CD74" s="463"/>
      <c r="CE74" s="949"/>
      <c r="CF74" s="229">
        <f>(BM74*BN74*BO74)+(BP74*BQ74*BR74)+(BS74*BT74*BU74)+(BV74*BW74*BX74)+(BY74*BZ74*CA74)+(CB74*CC74*CD74)</f>
        <v>0</v>
      </c>
      <c r="CG74" s="826"/>
    </row>
    <row r="75" spans="1:85" ht="15">
      <c r="R75" s="864">
        <v>46047</v>
      </c>
      <c r="S75" s="849" t="s">
        <v>434</v>
      </c>
      <c r="T75" s="849"/>
      <c r="U75" s="849"/>
      <c r="V75" s="849" t="s">
        <v>72</v>
      </c>
      <c r="W75" s="849"/>
      <c r="X75" s="849"/>
      <c r="Y75" s="890" t="s">
        <v>435</v>
      </c>
      <c r="Z75" s="890"/>
      <c r="AA75" s="890"/>
      <c r="AB75" s="848" t="s">
        <v>68</v>
      </c>
      <c r="AC75" s="848"/>
      <c r="AD75" s="848"/>
      <c r="AE75" s="882" t="s">
        <v>123</v>
      </c>
      <c r="AF75" s="883"/>
      <c r="AG75" s="884"/>
      <c r="AH75" s="834"/>
      <c r="AI75" s="835"/>
      <c r="AJ75" s="836"/>
      <c r="AK75" s="232" t="s">
        <v>425</v>
      </c>
      <c r="AL75" s="823">
        <f>COUNTA(S75:AJ75)</f>
        <v>5</v>
      </c>
      <c r="AM75" s="824">
        <v>77</v>
      </c>
      <c r="AN75" s="118"/>
      <c r="AO75" s="845">
        <v>46078</v>
      </c>
      <c r="AP75" s="849" t="s">
        <v>156</v>
      </c>
      <c r="AQ75" s="849"/>
      <c r="AR75" s="849"/>
      <c r="AS75" s="848" t="s">
        <v>103</v>
      </c>
      <c r="AT75" s="848"/>
      <c r="AU75" s="848"/>
      <c r="AV75" s="848" t="s">
        <v>68</v>
      </c>
      <c r="AW75" s="848"/>
      <c r="AX75" s="848"/>
      <c r="AY75" s="848" t="s">
        <v>417</v>
      </c>
      <c r="AZ75" s="848"/>
      <c r="BA75" s="848"/>
      <c r="BB75" s="834"/>
      <c r="BC75" s="835"/>
      <c r="BD75" s="836"/>
      <c r="BE75" s="834"/>
      <c r="BF75" s="835"/>
      <c r="BG75" s="836"/>
      <c r="BH75" s="232" t="s">
        <v>425</v>
      </c>
      <c r="BI75" s="823">
        <f>COUNTA(AP75:BG75)</f>
        <v>4</v>
      </c>
      <c r="BJ75" s="824">
        <v>77.55</v>
      </c>
      <c r="BK75" s="118"/>
      <c r="BL75" s="845">
        <v>46106</v>
      </c>
      <c r="BM75" s="960"/>
      <c r="BN75" s="960"/>
      <c r="BO75" s="960"/>
      <c r="BP75" s="960"/>
      <c r="BQ75" s="960"/>
      <c r="BR75" s="960"/>
      <c r="BS75" s="960"/>
      <c r="BT75" s="960"/>
      <c r="BU75" s="960"/>
      <c r="BV75" s="960"/>
      <c r="BW75" s="960"/>
      <c r="BX75" s="960"/>
      <c r="BY75" s="961"/>
      <c r="BZ75" s="962"/>
      <c r="CA75" s="963"/>
      <c r="CB75" s="961"/>
      <c r="CC75" s="962"/>
      <c r="CD75" s="963"/>
      <c r="CE75" s="232" t="s">
        <v>425</v>
      </c>
      <c r="CF75" s="823">
        <f>COUNTA(BM75:CD75)</f>
        <v>0</v>
      </c>
      <c r="CG75" s="824"/>
    </row>
    <row r="76" spans="1:85" ht="15">
      <c r="R76" s="865"/>
      <c r="S76" s="231" t="s">
        <v>59</v>
      </c>
      <c r="T76" s="231" t="s">
        <v>73</v>
      </c>
      <c r="U76" s="102" t="s">
        <v>4</v>
      </c>
      <c r="V76" s="231" t="s">
        <v>59</v>
      </c>
      <c r="W76" s="231" t="s">
        <v>73</v>
      </c>
      <c r="X76" s="102" t="s">
        <v>4</v>
      </c>
      <c r="Y76" s="231" t="s">
        <v>59</v>
      </c>
      <c r="Z76" s="231" t="s">
        <v>73</v>
      </c>
      <c r="AA76" s="102" t="s">
        <v>4</v>
      </c>
      <c r="AB76" s="231" t="s">
        <v>59</v>
      </c>
      <c r="AC76" s="231" t="s">
        <v>73</v>
      </c>
      <c r="AD76" s="102" t="s">
        <v>4</v>
      </c>
      <c r="AE76" s="231" t="s">
        <v>59</v>
      </c>
      <c r="AF76" s="231" t="s">
        <v>73</v>
      </c>
      <c r="AG76" s="102" t="s">
        <v>4</v>
      </c>
      <c r="AH76" s="107" t="s">
        <v>59</v>
      </c>
      <c r="AI76" s="107" t="s">
        <v>73</v>
      </c>
      <c r="AJ76" s="108" t="s">
        <v>4</v>
      </c>
      <c r="AK76" s="957">
        <v>68</v>
      </c>
      <c r="AL76" s="823"/>
      <c r="AM76" s="825"/>
      <c r="AN76" s="118"/>
      <c r="AO76" s="846"/>
      <c r="AP76" s="231" t="s">
        <v>59</v>
      </c>
      <c r="AQ76" s="231" t="s">
        <v>73</v>
      </c>
      <c r="AR76" s="102" t="s">
        <v>4</v>
      </c>
      <c r="AS76" s="231" t="s">
        <v>59</v>
      </c>
      <c r="AT76" s="231" t="s">
        <v>73</v>
      </c>
      <c r="AU76" s="102" t="s">
        <v>4</v>
      </c>
      <c r="AV76" s="231" t="s">
        <v>59</v>
      </c>
      <c r="AW76" s="231" t="s">
        <v>73</v>
      </c>
      <c r="AX76" s="102" t="s">
        <v>4</v>
      </c>
      <c r="AY76" s="231" t="s">
        <v>59</v>
      </c>
      <c r="AZ76" s="231" t="s">
        <v>73</v>
      </c>
      <c r="BA76" s="102" t="s">
        <v>4</v>
      </c>
      <c r="BB76" s="107" t="s">
        <v>59</v>
      </c>
      <c r="BC76" s="107" t="s">
        <v>73</v>
      </c>
      <c r="BD76" s="108" t="s">
        <v>4</v>
      </c>
      <c r="BE76" s="107" t="s">
        <v>59</v>
      </c>
      <c r="BF76" s="107" t="s">
        <v>73</v>
      </c>
      <c r="BG76" s="108" t="s">
        <v>4</v>
      </c>
      <c r="BH76" s="957">
        <v>59</v>
      </c>
      <c r="BI76" s="823"/>
      <c r="BJ76" s="825"/>
      <c r="BK76" s="118"/>
      <c r="BL76" s="846"/>
      <c r="BM76" s="460" t="s">
        <v>59</v>
      </c>
      <c r="BN76" s="460" t="s">
        <v>73</v>
      </c>
      <c r="BO76" s="461" t="s">
        <v>4</v>
      </c>
      <c r="BP76" s="460" t="s">
        <v>59</v>
      </c>
      <c r="BQ76" s="460" t="s">
        <v>73</v>
      </c>
      <c r="BR76" s="461" t="s">
        <v>4</v>
      </c>
      <c r="BS76" s="460" t="s">
        <v>59</v>
      </c>
      <c r="BT76" s="460" t="s">
        <v>73</v>
      </c>
      <c r="BU76" s="461" t="s">
        <v>4</v>
      </c>
      <c r="BV76" s="460" t="s">
        <v>59</v>
      </c>
      <c r="BW76" s="460" t="s">
        <v>73</v>
      </c>
      <c r="BX76" s="461" t="s">
        <v>4</v>
      </c>
      <c r="BY76" s="460" t="s">
        <v>59</v>
      </c>
      <c r="BZ76" s="460" t="s">
        <v>73</v>
      </c>
      <c r="CA76" s="461" t="s">
        <v>4</v>
      </c>
      <c r="CB76" s="460" t="s">
        <v>59</v>
      </c>
      <c r="CC76" s="460" t="s">
        <v>73</v>
      </c>
      <c r="CD76" s="461" t="s">
        <v>4</v>
      </c>
      <c r="CE76" s="957"/>
      <c r="CF76" s="823"/>
      <c r="CG76" s="825"/>
    </row>
    <row r="77" spans="1:85" ht="15">
      <c r="R77" s="866"/>
      <c r="S77" s="229">
        <v>4</v>
      </c>
      <c r="T77" s="229">
        <f>((12*1)+(10*3))/4</f>
        <v>10.5</v>
      </c>
      <c r="U77" s="229">
        <f>((12.5*1)+(25*3))/4</f>
        <v>21.875</v>
      </c>
      <c r="V77" s="229">
        <v>4</v>
      </c>
      <c r="W77" s="229">
        <v>12</v>
      </c>
      <c r="X77" s="229">
        <f>((23*1)+(50*3))/4</f>
        <v>43.25</v>
      </c>
      <c r="Y77" s="229">
        <v>4</v>
      </c>
      <c r="Z77" s="126">
        <f>((12*1)+(10*3))/4</f>
        <v>10.5</v>
      </c>
      <c r="AA77" s="229">
        <f>((10*1)+(20*3))/4</f>
        <v>17.5</v>
      </c>
      <c r="AB77" s="229">
        <v>4</v>
      </c>
      <c r="AC77" s="229">
        <f>((12*2)+(8*1)+(10*1))/4</f>
        <v>10.5</v>
      </c>
      <c r="AD77" s="229">
        <f>((27*1)+(54*1)+(59*2))/4</f>
        <v>49.75</v>
      </c>
      <c r="AE77" s="229">
        <v>4</v>
      </c>
      <c r="AF77" s="229">
        <f>((12*1)+(8*3))/4</f>
        <v>9</v>
      </c>
      <c r="AG77" s="229">
        <f>((13.6*1)+(24.9*3))/4</f>
        <v>22.074999999999996</v>
      </c>
      <c r="AH77" s="233"/>
      <c r="AI77" s="233"/>
      <c r="AJ77" s="233"/>
      <c r="AK77" s="949"/>
      <c r="AL77" s="229">
        <f>(S77*T77*U77)+(V77*W77*X77)+(Y77*Z77*AA77)+(AB77*AC77*AD77)+(AE77*AF77*AG77)+(AH77*AI77*AJ77)</f>
        <v>6613.95</v>
      </c>
      <c r="AM77" s="826"/>
      <c r="AN77" s="118"/>
      <c r="AO77" s="847"/>
      <c r="AP77" s="229">
        <v>4</v>
      </c>
      <c r="AQ77" s="126">
        <f>((12*1)+(10*3))/4</f>
        <v>10.5</v>
      </c>
      <c r="AR77" s="229">
        <f>((20*1)+(40*3))/4</f>
        <v>35</v>
      </c>
      <c r="AS77" s="229">
        <v>4</v>
      </c>
      <c r="AT77" s="126">
        <v>12</v>
      </c>
      <c r="AU77" s="229">
        <f>((20*1)+(40*3))/4</f>
        <v>35</v>
      </c>
      <c r="AV77" s="229">
        <v>4</v>
      </c>
      <c r="AW77" s="229">
        <f>((12*1)+(8*3))/4</f>
        <v>9</v>
      </c>
      <c r="AX77" s="229">
        <f>((32*1)+(72*3))/4</f>
        <v>62</v>
      </c>
      <c r="AY77" s="229">
        <v>4</v>
      </c>
      <c r="AZ77" s="229">
        <f>((12*1)+(24*3))/4</f>
        <v>21</v>
      </c>
      <c r="BA77" s="229">
        <f>(1/3)*BJ75</f>
        <v>25.849999999999998</v>
      </c>
      <c r="BB77" s="233"/>
      <c r="BC77" s="233"/>
      <c r="BD77" s="233"/>
      <c r="BE77" s="233"/>
      <c r="BF77" s="233"/>
      <c r="BG77" s="233"/>
      <c r="BH77" s="949"/>
      <c r="BI77" s="229">
        <f>(AP77*AQ77*AR77)+(AS77*AT77*AU77)+(AV77*AW77*AX77)+(AY77*AZ77*BA77)+(BB77*BC77*BD77)+(BE77*BF77*BG77)</f>
        <v>7553.4</v>
      </c>
      <c r="BJ77" s="826"/>
      <c r="BK77" s="118"/>
      <c r="BL77" s="847"/>
      <c r="BM77" s="462"/>
      <c r="BN77" s="462"/>
      <c r="BO77" s="462"/>
      <c r="BP77" s="462"/>
      <c r="BQ77" s="462"/>
      <c r="BR77" s="462"/>
      <c r="BS77" s="462"/>
      <c r="BT77" s="462"/>
      <c r="BU77" s="462"/>
      <c r="BV77" s="462"/>
      <c r="BW77" s="462"/>
      <c r="BX77" s="462"/>
      <c r="BY77" s="462"/>
      <c r="BZ77" s="462"/>
      <c r="CA77" s="462"/>
      <c r="CB77" s="462"/>
      <c r="CC77" s="462"/>
      <c r="CD77" s="463"/>
      <c r="CE77" s="949"/>
      <c r="CF77" s="229">
        <f>(BM77*BN77*BO77)+(BP77*BQ77*BR77)+(BS77*BT77*BU77)+(BV77*BW77*BX77)+(BY77*BZ77*CA77)+(CB77*CC77*CD77)</f>
        <v>0</v>
      </c>
      <c r="CG77" s="826"/>
    </row>
    <row r="78" spans="1:85" ht="15">
      <c r="R78" s="870">
        <v>46048</v>
      </c>
      <c r="S78" s="848" t="s">
        <v>89</v>
      </c>
      <c r="T78" s="848"/>
      <c r="U78" s="848"/>
      <c r="V78" s="848" t="s">
        <v>380</v>
      </c>
      <c r="W78" s="848"/>
      <c r="X78" s="848"/>
      <c r="Y78" s="848" t="s">
        <v>115</v>
      </c>
      <c r="Z78" s="848"/>
      <c r="AA78" s="848"/>
      <c r="AB78" s="849" t="s">
        <v>114</v>
      </c>
      <c r="AC78" s="849"/>
      <c r="AD78" s="849"/>
      <c r="AE78" s="848" t="s">
        <v>129</v>
      </c>
      <c r="AF78" s="848"/>
      <c r="AG78" s="848"/>
      <c r="AH78" s="834"/>
      <c r="AI78" s="835"/>
      <c r="AJ78" s="836"/>
      <c r="AK78" s="232" t="s">
        <v>425</v>
      </c>
      <c r="AL78" s="823">
        <f>COUNTA(S78:AJ78)</f>
        <v>5</v>
      </c>
      <c r="AM78" s="824">
        <v>77.099999999999994</v>
      </c>
      <c r="AN78" s="118"/>
      <c r="AO78" s="873">
        <v>46079</v>
      </c>
      <c r="AP78" s="973" t="s">
        <v>72</v>
      </c>
      <c r="AQ78" s="973"/>
      <c r="AR78" s="973"/>
      <c r="AS78" s="977" t="s">
        <v>102</v>
      </c>
      <c r="AT78" s="977"/>
      <c r="AU78" s="977"/>
      <c r="AV78" s="977" t="s">
        <v>502</v>
      </c>
      <c r="AW78" s="977"/>
      <c r="AX78" s="977"/>
      <c r="AY78" s="977" t="s">
        <v>380</v>
      </c>
      <c r="AZ78" s="977"/>
      <c r="BA78" s="977"/>
      <c r="BB78" s="981" t="s">
        <v>133</v>
      </c>
      <c r="BC78" s="982"/>
      <c r="BD78" s="983"/>
      <c r="BE78" s="834"/>
      <c r="BF78" s="835"/>
      <c r="BG78" s="836"/>
      <c r="BH78" s="232" t="s">
        <v>425</v>
      </c>
      <c r="BI78" s="823">
        <f>COUNTA(AP78:BG78)</f>
        <v>5</v>
      </c>
      <c r="BJ78" s="824">
        <v>78.5</v>
      </c>
      <c r="BK78" s="118"/>
      <c r="BL78" s="873">
        <v>46107</v>
      </c>
      <c r="BM78" s="960"/>
      <c r="BN78" s="960"/>
      <c r="BO78" s="960"/>
      <c r="BP78" s="960"/>
      <c r="BQ78" s="960"/>
      <c r="BR78" s="960"/>
      <c r="BS78" s="960"/>
      <c r="BT78" s="960"/>
      <c r="BU78" s="960"/>
      <c r="BV78" s="960"/>
      <c r="BW78" s="960"/>
      <c r="BX78" s="960"/>
      <c r="BY78" s="961"/>
      <c r="BZ78" s="962"/>
      <c r="CA78" s="963"/>
      <c r="CB78" s="961"/>
      <c r="CC78" s="962"/>
      <c r="CD78" s="963"/>
      <c r="CE78" s="232" t="s">
        <v>425</v>
      </c>
      <c r="CF78" s="823">
        <f>COUNTA(BM78:CD78)</f>
        <v>0</v>
      </c>
      <c r="CG78" s="824"/>
    </row>
    <row r="79" spans="1:85" ht="15">
      <c r="R79" s="871"/>
      <c r="S79" s="231" t="s">
        <v>59</v>
      </c>
      <c r="T79" s="231" t="s">
        <v>73</v>
      </c>
      <c r="U79" s="102" t="s">
        <v>4</v>
      </c>
      <c r="V79" s="231" t="s">
        <v>59</v>
      </c>
      <c r="W79" s="231" t="s">
        <v>73</v>
      </c>
      <c r="X79" s="102" t="s">
        <v>4</v>
      </c>
      <c r="Y79" s="231" t="s">
        <v>59</v>
      </c>
      <c r="Z79" s="231" t="s">
        <v>73</v>
      </c>
      <c r="AA79" s="102" t="s">
        <v>4</v>
      </c>
      <c r="AB79" s="231" t="s">
        <v>59</v>
      </c>
      <c r="AC79" s="231" t="s">
        <v>73</v>
      </c>
      <c r="AD79" s="102" t="s">
        <v>4</v>
      </c>
      <c r="AE79" s="231" t="s">
        <v>59</v>
      </c>
      <c r="AF79" s="231" t="s">
        <v>73</v>
      </c>
      <c r="AG79" s="102" t="s">
        <v>4</v>
      </c>
      <c r="AH79" s="107" t="s">
        <v>59</v>
      </c>
      <c r="AI79" s="107" t="s">
        <v>73</v>
      </c>
      <c r="AJ79" s="108" t="s">
        <v>4</v>
      </c>
      <c r="AK79" s="957">
        <v>62</v>
      </c>
      <c r="AL79" s="823"/>
      <c r="AM79" s="825"/>
      <c r="AN79" s="118"/>
      <c r="AO79" s="874"/>
      <c r="AP79" s="303" t="s">
        <v>59</v>
      </c>
      <c r="AQ79" s="303" t="s">
        <v>73</v>
      </c>
      <c r="AR79" s="304" t="s">
        <v>4</v>
      </c>
      <c r="AS79" s="303" t="s">
        <v>59</v>
      </c>
      <c r="AT79" s="303" t="s">
        <v>73</v>
      </c>
      <c r="AU79" s="304" t="s">
        <v>4</v>
      </c>
      <c r="AV79" s="303" t="s">
        <v>59</v>
      </c>
      <c r="AW79" s="303" t="s">
        <v>73</v>
      </c>
      <c r="AX79" s="304" t="s">
        <v>4</v>
      </c>
      <c r="AY79" s="303" t="s">
        <v>59</v>
      </c>
      <c r="AZ79" s="303" t="s">
        <v>73</v>
      </c>
      <c r="BA79" s="304" t="s">
        <v>4</v>
      </c>
      <c r="BB79" s="303" t="s">
        <v>59</v>
      </c>
      <c r="BC79" s="303" t="s">
        <v>73</v>
      </c>
      <c r="BD79" s="304" t="s">
        <v>4</v>
      </c>
      <c r="BE79" s="107" t="s">
        <v>59</v>
      </c>
      <c r="BF79" s="107" t="s">
        <v>73</v>
      </c>
      <c r="BG79" s="108" t="s">
        <v>4</v>
      </c>
      <c r="BH79" s="957">
        <v>50</v>
      </c>
      <c r="BI79" s="823"/>
      <c r="BJ79" s="825"/>
      <c r="BK79" s="118"/>
      <c r="BL79" s="874"/>
      <c r="BM79" s="460" t="s">
        <v>59</v>
      </c>
      <c r="BN79" s="460" t="s">
        <v>73</v>
      </c>
      <c r="BO79" s="461" t="s">
        <v>4</v>
      </c>
      <c r="BP79" s="460" t="s">
        <v>59</v>
      </c>
      <c r="BQ79" s="460" t="s">
        <v>73</v>
      </c>
      <c r="BR79" s="461" t="s">
        <v>4</v>
      </c>
      <c r="BS79" s="460" t="s">
        <v>59</v>
      </c>
      <c r="BT79" s="460" t="s">
        <v>73</v>
      </c>
      <c r="BU79" s="461" t="s">
        <v>4</v>
      </c>
      <c r="BV79" s="460" t="s">
        <v>59</v>
      </c>
      <c r="BW79" s="460" t="s">
        <v>73</v>
      </c>
      <c r="BX79" s="461" t="s">
        <v>4</v>
      </c>
      <c r="BY79" s="460" t="s">
        <v>59</v>
      </c>
      <c r="BZ79" s="460" t="s">
        <v>73</v>
      </c>
      <c r="CA79" s="461" t="s">
        <v>4</v>
      </c>
      <c r="CB79" s="460" t="s">
        <v>59</v>
      </c>
      <c r="CC79" s="460" t="s">
        <v>73</v>
      </c>
      <c r="CD79" s="461" t="s">
        <v>4</v>
      </c>
      <c r="CE79" s="957"/>
      <c r="CF79" s="823"/>
      <c r="CG79" s="825"/>
    </row>
    <row r="80" spans="1:85" ht="15">
      <c r="R80" s="872"/>
      <c r="S80" s="229">
        <v>4</v>
      </c>
      <c r="T80" s="229">
        <f>((10*1)+(8*1)+(6*2))/4</f>
        <v>7.5</v>
      </c>
      <c r="U80" s="229">
        <f>((36*1)+(68*3))/4</f>
        <v>60</v>
      </c>
      <c r="V80" s="229">
        <v>4</v>
      </c>
      <c r="W80" s="126">
        <v>12</v>
      </c>
      <c r="X80" s="126">
        <f>((18.1*1)+(34*3))/4</f>
        <v>30.024999999999999</v>
      </c>
      <c r="Y80" s="229">
        <v>4</v>
      </c>
      <c r="Z80" s="229">
        <f>((12*1)+(10*3))/4</f>
        <v>10.5</v>
      </c>
      <c r="AA80" s="229">
        <f>((11.3*1)+(24.9*3))/4</f>
        <v>21.499999999999996</v>
      </c>
      <c r="AB80" s="229">
        <v>4</v>
      </c>
      <c r="AC80" s="229">
        <f>((16*1)+(8*3))/4</f>
        <v>10</v>
      </c>
      <c r="AD80" s="229">
        <f>((2.5*1)+(7.5*3))/4</f>
        <v>6.25</v>
      </c>
      <c r="AE80" s="229">
        <v>4</v>
      </c>
      <c r="AF80" s="229">
        <f>((12*1)+(8*3))/4</f>
        <v>9</v>
      </c>
      <c r="AG80" s="229">
        <f>((11.3*1)+(22.7*3))/4</f>
        <v>19.849999999999998</v>
      </c>
      <c r="AH80" s="233"/>
      <c r="AI80" s="233"/>
      <c r="AJ80" s="233"/>
      <c r="AK80" s="949"/>
      <c r="AL80" s="229">
        <f>(S80*T80*U80)+(V80*W80*X80)+(Y80*Z80*AA80)+(AB80*AC80*AD80)+(AE80*AF80*AG80)+(AH80*AI80*AJ80)</f>
        <v>5108.7999999999993</v>
      </c>
      <c r="AM80" s="826"/>
      <c r="AN80" s="118"/>
      <c r="AO80" s="875"/>
      <c r="AP80" s="305">
        <v>4</v>
      </c>
      <c r="AQ80" s="305">
        <f>((12*1)+(10*3))/4</f>
        <v>10.5</v>
      </c>
      <c r="AR80" s="305">
        <f>((27*1)+(59*3))/4</f>
        <v>51</v>
      </c>
      <c r="AS80" s="305">
        <v>4</v>
      </c>
      <c r="AT80" s="305">
        <f>((12*1)+(10*3))/4</f>
        <v>10.5</v>
      </c>
      <c r="AU80" s="305">
        <f>((11.3*1)+(20.1*3))/4</f>
        <v>17.900000000000002</v>
      </c>
      <c r="AV80" s="305">
        <v>4</v>
      </c>
      <c r="AW80" s="305">
        <f>((12*3)+(8*1))/4</f>
        <v>11</v>
      </c>
      <c r="AX80" s="306">
        <f>((15.9*1)+(31.8*2)+(34*1))/4</f>
        <v>28.375</v>
      </c>
      <c r="AY80" s="305">
        <v>4</v>
      </c>
      <c r="AZ80" s="305">
        <f>((12*1)+(16*3))/4</f>
        <v>15</v>
      </c>
      <c r="BA80" s="305">
        <f>((15.9*1)+(34*3))/4</f>
        <v>29.475000000000001</v>
      </c>
      <c r="BB80" s="305">
        <v>2</v>
      </c>
      <c r="BC80" s="306">
        <f>((12*1)+(8*1))/4</f>
        <v>5</v>
      </c>
      <c r="BD80" s="306">
        <f>((10*1)+(17.5*1))/2</f>
        <v>13.75</v>
      </c>
      <c r="BE80" s="233"/>
      <c r="BF80" s="233"/>
      <c r="BG80" s="233"/>
      <c r="BH80" s="949"/>
      <c r="BI80" s="229">
        <f>(AP80*AQ80*AR80)+(AS80*AT80*AU80)+(AV80*AW80*AX80)+(AY80*AZ80*BA80)+(BB80*BC80*BD80)+(BE80*BF80*BG80)</f>
        <v>6048.3</v>
      </c>
      <c r="BJ80" s="826"/>
      <c r="BK80" s="118"/>
      <c r="BL80" s="875"/>
      <c r="BM80" s="462"/>
      <c r="BN80" s="462"/>
      <c r="BO80" s="462"/>
      <c r="BP80" s="462"/>
      <c r="BQ80" s="462"/>
      <c r="BR80" s="462"/>
      <c r="BS80" s="462"/>
      <c r="BT80" s="462"/>
      <c r="BU80" s="462"/>
      <c r="BV80" s="462"/>
      <c r="BW80" s="462"/>
      <c r="BX80" s="462"/>
      <c r="BY80" s="462"/>
      <c r="BZ80" s="462"/>
      <c r="CA80" s="462"/>
      <c r="CB80" s="462"/>
      <c r="CC80" s="462"/>
      <c r="CD80" s="463"/>
      <c r="CE80" s="949"/>
      <c r="CF80" s="229">
        <f>(BM80*BN80*BO80)+(BP80*BQ80*BR80)+(BS80*BT80*BU80)+(BV80*BW80*BX80)+(BY80*BZ80*CA80)+(CB80*CC80*CD80)</f>
        <v>0</v>
      </c>
      <c r="CG80" s="826"/>
    </row>
    <row r="81" spans="18:85" ht="15">
      <c r="R81" s="856">
        <v>46049</v>
      </c>
      <c r="S81" s="848" t="s">
        <v>70</v>
      </c>
      <c r="T81" s="848"/>
      <c r="U81" s="848"/>
      <c r="V81" s="859"/>
      <c r="W81" s="859"/>
      <c r="X81" s="859"/>
      <c r="Y81" s="834"/>
      <c r="Z81" s="835"/>
      <c r="AA81" s="836"/>
      <c r="AB81" s="867"/>
      <c r="AC81" s="868"/>
      <c r="AD81" s="869"/>
      <c r="AE81" s="834"/>
      <c r="AF81" s="835"/>
      <c r="AG81" s="836"/>
      <c r="AH81" s="834"/>
      <c r="AI81" s="835"/>
      <c r="AJ81" s="836"/>
      <c r="AK81" s="232" t="s">
        <v>425</v>
      </c>
      <c r="AL81" s="823">
        <f>COUNTA(S81:AJ81)</f>
        <v>1</v>
      </c>
      <c r="AM81" s="824">
        <v>77.2</v>
      </c>
      <c r="AN81" s="118"/>
      <c r="AO81" s="876">
        <v>46080</v>
      </c>
      <c r="AP81" s="965" t="s">
        <v>379</v>
      </c>
      <c r="AQ81" s="965"/>
      <c r="AR81" s="965"/>
      <c r="AS81" s="848" t="s">
        <v>68</v>
      </c>
      <c r="AT81" s="848"/>
      <c r="AU81" s="848"/>
      <c r="AV81" s="848" t="s">
        <v>380</v>
      </c>
      <c r="AW81" s="848"/>
      <c r="AX81" s="848"/>
      <c r="AY81" s="848" t="s">
        <v>391</v>
      </c>
      <c r="AZ81" s="848"/>
      <c r="BA81" s="848"/>
      <c r="BB81" s="897" t="s">
        <v>617</v>
      </c>
      <c r="BC81" s="898"/>
      <c r="BD81" s="899"/>
      <c r="BE81" s="834"/>
      <c r="BF81" s="835"/>
      <c r="BG81" s="836"/>
      <c r="BH81" s="232" t="s">
        <v>425</v>
      </c>
      <c r="BI81" s="823">
        <f>COUNTA(AP81:BG81)</f>
        <v>5</v>
      </c>
      <c r="BJ81" s="824">
        <v>78.7</v>
      </c>
      <c r="BK81" s="118"/>
      <c r="BL81" s="876">
        <v>46108</v>
      </c>
      <c r="BM81" s="960"/>
      <c r="BN81" s="960"/>
      <c r="BO81" s="960"/>
      <c r="BP81" s="960"/>
      <c r="BQ81" s="960"/>
      <c r="BR81" s="960"/>
      <c r="BS81" s="960"/>
      <c r="BT81" s="960"/>
      <c r="BU81" s="960"/>
      <c r="BV81" s="960"/>
      <c r="BW81" s="960"/>
      <c r="BX81" s="960"/>
      <c r="BY81" s="961"/>
      <c r="BZ81" s="962"/>
      <c r="CA81" s="963"/>
      <c r="CB81" s="961"/>
      <c r="CC81" s="962"/>
      <c r="CD81" s="963"/>
      <c r="CE81" s="232" t="s">
        <v>425</v>
      </c>
      <c r="CF81" s="823">
        <f>COUNTA(BM81:CD81)</f>
        <v>0</v>
      </c>
      <c r="CG81" s="824"/>
    </row>
    <row r="82" spans="18:85" ht="15">
      <c r="R82" s="857"/>
      <c r="S82" s="231" t="s">
        <v>59</v>
      </c>
      <c r="T82" s="231" t="s">
        <v>73</v>
      </c>
      <c r="U82" s="102" t="s">
        <v>4</v>
      </c>
      <c r="V82" s="107" t="s">
        <v>59</v>
      </c>
      <c r="W82" s="107" t="s">
        <v>73</v>
      </c>
      <c r="X82" s="108" t="s">
        <v>4</v>
      </c>
      <c r="Y82" s="107" t="s">
        <v>59</v>
      </c>
      <c r="Z82" s="107" t="s">
        <v>73</v>
      </c>
      <c r="AA82" s="108" t="s">
        <v>4</v>
      </c>
      <c r="AB82" s="107" t="s">
        <v>59</v>
      </c>
      <c r="AC82" s="107" t="s">
        <v>73</v>
      </c>
      <c r="AD82" s="108" t="s">
        <v>4</v>
      </c>
      <c r="AE82" s="107" t="s">
        <v>59</v>
      </c>
      <c r="AF82" s="107" t="s">
        <v>73</v>
      </c>
      <c r="AG82" s="108" t="s">
        <v>4</v>
      </c>
      <c r="AH82" s="107" t="s">
        <v>59</v>
      </c>
      <c r="AI82" s="107" t="s">
        <v>73</v>
      </c>
      <c r="AJ82" s="108" t="s">
        <v>4</v>
      </c>
      <c r="AK82" s="957">
        <v>45</v>
      </c>
      <c r="AL82" s="823"/>
      <c r="AM82" s="825"/>
      <c r="AN82" s="118"/>
      <c r="AO82" s="877"/>
      <c r="AP82" s="231" t="s">
        <v>59</v>
      </c>
      <c r="AQ82" s="231" t="s">
        <v>73</v>
      </c>
      <c r="AR82" s="102" t="s">
        <v>4</v>
      </c>
      <c r="AS82" s="231" t="s">
        <v>59</v>
      </c>
      <c r="AT82" s="231" t="s">
        <v>73</v>
      </c>
      <c r="AU82" s="102" t="s">
        <v>4</v>
      </c>
      <c r="AV82" s="231" t="s">
        <v>59</v>
      </c>
      <c r="AW82" s="231" t="s">
        <v>73</v>
      </c>
      <c r="AX82" s="102" t="s">
        <v>4</v>
      </c>
      <c r="AY82" s="231" t="s">
        <v>59</v>
      </c>
      <c r="AZ82" s="231" t="s">
        <v>73</v>
      </c>
      <c r="BA82" s="102" t="s">
        <v>4</v>
      </c>
      <c r="BB82" s="231" t="s">
        <v>59</v>
      </c>
      <c r="BC82" s="231" t="s">
        <v>73</v>
      </c>
      <c r="BD82" s="102" t="s">
        <v>4</v>
      </c>
      <c r="BE82" s="107" t="s">
        <v>59</v>
      </c>
      <c r="BF82" s="107" t="s">
        <v>73</v>
      </c>
      <c r="BG82" s="108" t="s">
        <v>4</v>
      </c>
      <c r="BH82" s="957">
        <v>57</v>
      </c>
      <c r="BI82" s="823"/>
      <c r="BJ82" s="825"/>
      <c r="BK82" s="118"/>
      <c r="BL82" s="877"/>
      <c r="BM82" s="460" t="s">
        <v>59</v>
      </c>
      <c r="BN82" s="460" t="s">
        <v>73</v>
      </c>
      <c r="BO82" s="461" t="s">
        <v>4</v>
      </c>
      <c r="BP82" s="460" t="s">
        <v>59</v>
      </c>
      <c r="BQ82" s="460" t="s">
        <v>73</v>
      </c>
      <c r="BR82" s="461" t="s">
        <v>4</v>
      </c>
      <c r="BS82" s="460" t="s">
        <v>59</v>
      </c>
      <c r="BT82" s="460" t="s">
        <v>73</v>
      </c>
      <c r="BU82" s="461" t="s">
        <v>4</v>
      </c>
      <c r="BV82" s="460" t="s">
        <v>59</v>
      </c>
      <c r="BW82" s="460" t="s">
        <v>73</v>
      </c>
      <c r="BX82" s="461" t="s">
        <v>4</v>
      </c>
      <c r="BY82" s="460" t="s">
        <v>59</v>
      </c>
      <c r="BZ82" s="460" t="s">
        <v>73</v>
      </c>
      <c r="CA82" s="461" t="s">
        <v>4</v>
      </c>
      <c r="CB82" s="460" t="s">
        <v>59</v>
      </c>
      <c r="CC82" s="460" t="s">
        <v>73</v>
      </c>
      <c r="CD82" s="461" t="s">
        <v>4</v>
      </c>
      <c r="CE82" s="957"/>
      <c r="CF82" s="823"/>
      <c r="CG82" s="825"/>
    </row>
    <row r="83" spans="18:85" ht="15">
      <c r="R83" s="858"/>
      <c r="S83" s="229">
        <v>1</v>
      </c>
      <c r="T83" s="229">
        <v>45</v>
      </c>
      <c r="U83" s="229">
        <f>AM81</f>
        <v>77.2</v>
      </c>
      <c r="V83" s="233"/>
      <c r="W83" s="233"/>
      <c r="X83" s="233"/>
      <c r="Y83" s="233"/>
      <c r="Z83" s="233"/>
      <c r="AA83" s="233"/>
      <c r="AB83" s="233"/>
      <c r="AC83" s="233"/>
      <c r="AD83" s="233"/>
      <c r="AE83" s="233"/>
      <c r="AF83" s="233"/>
      <c r="AG83" s="233"/>
      <c r="AH83" s="233"/>
      <c r="AI83" s="233"/>
      <c r="AJ83" s="233"/>
      <c r="AK83" s="949"/>
      <c r="AL83" s="229">
        <f>(S83*T83*U83)+(V83*W83*X83)+(Y83*Z83*AA83)+(AB83*AC83*AD83)+(AE83*AF83*AG83)+(AH83*AI83*AJ83)</f>
        <v>3474</v>
      </c>
      <c r="AM83" s="826"/>
      <c r="AN83" s="118"/>
      <c r="AO83" s="878"/>
      <c r="AP83" s="229">
        <v>4</v>
      </c>
      <c r="AQ83" s="126">
        <f>((12*2)+(8*1)+(10*1))/4</f>
        <v>10.5</v>
      </c>
      <c r="AR83" s="126">
        <f>((12.5*1)+(40*1)+(45*2))/4</f>
        <v>35.625</v>
      </c>
      <c r="AS83" s="229">
        <v>4</v>
      </c>
      <c r="AT83" s="126">
        <f>((12*1)+(10*3))/4</f>
        <v>10.5</v>
      </c>
      <c r="AU83" s="229">
        <f>((36*1)+(72*3))/4</f>
        <v>63</v>
      </c>
      <c r="AV83" s="229">
        <v>4</v>
      </c>
      <c r="AW83" s="229">
        <f>((12*1)+(16*3))/4</f>
        <v>15</v>
      </c>
      <c r="AX83" s="229">
        <f>((18.1*1)+(34*3))/4</f>
        <v>30.024999999999999</v>
      </c>
      <c r="AY83" s="229">
        <v>4</v>
      </c>
      <c r="AZ83" s="229">
        <f>((((0.38/0.3)*0.5)*1)+(((1.15/1)*1)*3))/4</f>
        <v>1.0208333333333333</v>
      </c>
      <c r="BA83" s="229">
        <f>BJ81*(2/3)</f>
        <v>52.466666666666669</v>
      </c>
      <c r="BB83" s="229">
        <v>4</v>
      </c>
      <c r="BC83" s="126">
        <f>((12*3)+(8*1))/4</f>
        <v>11</v>
      </c>
      <c r="BD83" s="126">
        <f>((9.1*2)+(13.6*2)+(15.9*1))/4</f>
        <v>15.324999999999999</v>
      </c>
      <c r="BE83" s="233"/>
      <c r="BF83" s="233"/>
      <c r="BG83" s="233"/>
      <c r="BH83" s="949"/>
      <c r="BI83" s="229">
        <f>(AP83*AQ83*AR83)+(AS83*AT83*AU83)+(AV83*AW83*AX83)+(AY83*AZ83*BA83)+(BB83*BC83*BD83)+(BE83*BF83*BG83)</f>
        <v>6832.2888888888892</v>
      </c>
      <c r="BJ83" s="826"/>
      <c r="BK83" s="118"/>
      <c r="BL83" s="878"/>
      <c r="BM83" s="462"/>
      <c r="BN83" s="462"/>
      <c r="BO83" s="462"/>
      <c r="BP83" s="462"/>
      <c r="BQ83" s="462"/>
      <c r="BR83" s="462"/>
      <c r="BS83" s="462"/>
      <c r="BT83" s="462"/>
      <c r="BU83" s="462"/>
      <c r="BV83" s="462"/>
      <c r="BW83" s="462"/>
      <c r="BX83" s="462"/>
      <c r="BY83" s="462"/>
      <c r="BZ83" s="462"/>
      <c r="CA83" s="462"/>
      <c r="CB83" s="462"/>
      <c r="CC83" s="462"/>
      <c r="CD83" s="462"/>
      <c r="CE83" s="949"/>
      <c r="CF83" s="229">
        <f>(BM83*BN83*BO83)+(BP83*BQ83*BR83)+(BS83*BT83*BU83)+(BV83*BW83*BX83)+(BY83*BZ83*CA83)+(CB83*CC83*CD83)</f>
        <v>0</v>
      </c>
      <c r="CG83" s="826"/>
    </row>
    <row r="84" spans="18:85" ht="15">
      <c r="R84" s="845">
        <v>46050</v>
      </c>
      <c r="S84" s="849" t="s">
        <v>156</v>
      </c>
      <c r="T84" s="849"/>
      <c r="U84" s="849"/>
      <c r="V84" s="848" t="s">
        <v>103</v>
      </c>
      <c r="W84" s="848"/>
      <c r="X84" s="848"/>
      <c r="Y84" s="848" t="s">
        <v>68</v>
      </c>
      <c r="Z84" s="848"/>
      <c r="AA84" s="848"/>
      <c r="AB84" s="848" t="s">
        <v>417</v>
      </c>
      <c r="AC84" s="848"/>
      <c r="AD84" s="848"/>
      <c r="AE84" s="834"/>
      <c r="AF84" s="835"/>
      <c r="AG84" s="836"/>
      <c r="AH84" s="834"/>
      <c r="AI84" s="835"/>
      <c r="AJ84" s="836"/>
      <c r="AK84" s="232" t="s">
        <v>425</v>
      </c>
      <c r="AL84" s="823">
        <f>COUNTA(S84:AJ84)</f>
        <v>4</v>
      </c>
      <c r="AM84" s="824">
        <v>77.3</v>
      </c>
      <c r="AN84" s="118"/>
      <c r="AO84" s="840">
        <v>46081</v>
      </c>
      <c r="AP84" s="844"/>
      <c r="AQ84" s="844"/>
      <c r="AR84" s="844"/>
      <c r="AS84" s="844"/>
      <c r="AT84" s="844"/>
      <c r="AU84" s="844"/>
      <c r="AV84" s="844"/>
      <c r="AW84" s="844"/>
      <c r="AX84" s="844"/>
      <c r="AY84" s="844"/>
      <c r="AZ84" s="844"/>
      <c r="BA84" s="844"/>
      <c r="BB84" s="834"/>
      <c r="BC84" s="835"/>
      <c r="BD84" s="836"/>
      <c r="BE84" s="834"/>
      <c r="BF84" s="835"/>
      <c r="BG84" s="836"/>
      <c r="BH84" s="232" t="s">
        <v>425</v>
      </c>
      <c r="BI84" s="823">
        <f>COUNTA(AP84:BG84)</f>
        <v>0</v>
      </c>
      <c r="BJ84" s="824">
        <f>BJ81</f>
        <v>78.7</v>
      </c>
      <c r="BK84" s="118"/>
      <c r="BL84" s="840">
        <v>46109</v>
      </c>
      <c r="BM84" s="960"/>
      <c r="BN84" s="960"/>
      <c r="BO84" s="960"/>
      <c r="BP84" s="960"/>
      <c r="BQ84" s="960"/>
      <c r="BR84" s="960"/>
      <c r="BS84" s="960"/>
      <c r="BT84" s="960"/>
      <c r="BU84" s="960"/>
      <c r="BV84" s="960"/>
      <c r="BW84" s="960"/>
      <c r="BX84" s="960"/>
      <c r="BY84" s="961"/>
      <c r="BZ84" s="962"/>
      <c r="CA84" s="963"/>
      <c r="CB84" s="961"/>
      <c r="CC84" s="962"/>
      <c r="CD84" s="963"/>
      <c r="CE84" s="232" t="s">
        <v>425</v>
      </c>
      <c r="CF84" s="823">
        <f>COUNTA(BM84:CD84)</f>
        <v>0</v>
      </c>
      <c r="CG84" s="824"/>
    </row>
    <row r="85" spans="18:85" ht="15">
      <c r="R85" s="846"/>
      <c r="S85" s="231" t="s">
        <v>59</v>
      </c>
      <c r="T85" s="231" t="s">
        <v>73</v>
      </c>
      <c r="U85" s="102" t="s">
        <v>4</v>
      </c>
      <c r="V85" s="231" t="s">
        <v>59</v>
      </c>
      <c r="W85" s="231" t="s">
        <v>73</v>
      </c>
      <c r="X85" s="102" t="s">
        <v>4</v>
      </c>
      <c r="Y85" s="231" t="s">
        <v>59</v>
      </c>
      <c r="Z85" s="231" t="s">
        <v>73</v>
      </c>
      <c r="AA85" s="102" t="s">
        <v>4</v>
      </c>
      <c r="AB85" s="231" t="s">
        <v>59</v>
      </c>
      <c r="AC85" s="231" t="s">
        <v>73</v>
      </c>
      <c r="AD85" s="102" t="s">
        <v>4</v>
      </c>
      <c r="AE85" s="107" t="s">
        <v>59</v>
      </c>
      <c r="AF85" s="107" t="s">
        <v>73</v>
      </c>
      <c r="AG85" s="108" t="s">
        <v>4</v>
      </c>
      <c r="AH85" s="107" t="s">
        <v>59</v>
      </c>
      <c r="AI85" s="107" t="s">
        <v>73</v>
      </c>
      <c r="AJ85" s="108" t="s">
        <v>4</v>
      </c>
      <c r="AK85" s="957">
        <v>49</v>
      </c>
      <c r="AL85" s="823"/>
      <c r="AM85" s="825"/>
      <c r="AN85" s="118"/>
      <c r="AO85" s="841"/>
      <c r="AP85" s="107" t="s">
        <v>59</v>
      </c>
      <c r="AQ85" s="107" t="s">
        <v>73</v>
      </c>
      <c r="AR85" s="108" t="s">
        <v>4</v>
      </c>
      <c r="AS85" s="107" t="s">
        <v>59</v>
      </c>
      <c r="AT85" s="107" t="s">
        <v>73</v>
      </c>
      <c r="AU85" s="108" t="s">
        <v>4</v>
      </c>
      <c r="AV85" s="107" t="s">
        <v>59</v>
      </c>
      <c r="AW85" s="107" t="s">
        <v>73</v>
      </c>
      <c r="AX85" s="108" t="s">
        <v>4</v>
      </c>
      <c r="AY85" s="107" t="s">
        <v>59</v>
      </c>
      <c r="AZ85" s="107" t="s">
        <v>73</v>
      </c>
      <c r="BA85" s="108" t="s">
        <v>4</v>
      </c>
      <c r="BB85" s="107" t="s">
        <v>59</v>
      </c>
      <c r="BC85" s="107" t="s">
        <v>73</v>
      </c>
      <c r="BD85" s="108" t="s">
        <v>4</v>
      </c>
      <c r="BE85" s="107" t="s">
        <v>59</v>
      </c>
      <c r="BF85" s="107" t="s">
        <v>73</v>
      </c>
      <c r="BG85" s="108" t="s">
        <v>4</v>
      </c>
      <c r="BH85" s="957">
        <v>0</v>
      </c>
      <c r="BI85" s="823"/>
      <c r="BJ85" s="825"/>
      <c r="BK85" s="118"/>
      <c r="BL85" s="841"/>
      <c r="BM85" s="460" t="s">
        <v>59</v>
      </c>
      <c r="BN85" s="460" t="s">
        <v>73</v>
      </c>
      <c r="BO85" s="461" t="s">
        <v>4</v>
      </c>
      <c r="BP85" s="460" t="s">
        <v>59</v>
      </c>
      <c r="BQ85" s="460" t="s">
        <v>73</v>
      </c>
      <c r="BR85" s="461" t="s">
        <v>4</v>
      </c>
      <c r="BS85" s="460" t="s">
        <v>59</v>
      </c>
      <c r="BT85" s="460" t="s">
        <v>73</v>
      </c>
      <c r="BU85" s="461" t="s">
        <v>4</v>
      </c>
      <c r="BV85" s="460" t="s">
        <v>59</v>
      </c>
      <c r="BW85" s="460" t="s">
        <v>73</v>
      </c>
      <c r="BX85" s="461" t="s">
        <v>4</v>
      </c>
      <c r="BY85" s="460" t="s">
        <v>59</v>
      </c>
      <c r="BZ85" s="460" t="s">
        <v>73</v>
      </c>
      <c r="CA85" s="461" t="s">
        <v>4</v>
      </c>
      <c r="CB85" s="460" t="s">
        <v>59</v>
      </c>
      <c r="CC85" s="460" t="s">
        <v>73</v>
      </c>
      <c r="CD85" s="461" t="s">
        <v>4</v>
      </c>
      <c r="CE85" s="957"/>
      <c r="CF85" s="823"/>
      <c r="CG85" s="825"/>
    </row>
    <row r="86" spans="18:85" ht="15">
      <c r="R86" s="847"/>
      <c r="S86" s="229">
        <v>4</v>
      </c>
      <c r="T86" s="229">
        <f>((12*2)+(10*2))/4</f>
        <v>11</v>
      </c>
      <c r="U86" s="229">
        <f>((7.25*1)+(14.75*3))/4</f>
        <v>12.875</v>
      </c>
      <c r="V86" s="229">
        <v>4</v>
      </c>
      <c r="W86" s="126">
        <f>((12*2)+(10*2))/4</f>
        <v>11</v>
      </c>
      <c r="X86" s="229">
        <f>((15*1)+(35*3))/4</f>
        <v>30</v>
      </c>
      <c r="Y86" s="229">
        <v>4</v>
      </c>
      <c r="Z86" s="229">
        <f>((12*2)+(8*2))/4</f>
        <v>10</v>
      </c>
      <c r="AA86" s="229">
        <f>((23*1)+(50*2)+(54*1))/4</f>
        <v>44.25</v>
      </c>
      <c r="AB86" s="229">
        <v>4</v>
      </c>
      <c r="AC86" s="229">
        <f>((20*3)+(40*1))/4</f>
        <v>25</v>
      </c>
      <c r="AD86" s="229">
        <f>(1/3)*AM84</f>
        <v>25.766666666666666</v>
      </c>
      <c r="AE86" s="233"/>
      <c r="AF86" s="233"/>
      <c r="AG86" s="233"/>
      <c r="AH86" s="233"/>
      <c r="AI86" s="233"/>
      <c r="AJ86" s="233"/>
      <c r="AK86" s="949"/>
      <c r="AL86" s="229">
        <f>(S86*T86*U86)+(V86*W86*X86)+(Y86*Z86*AA86)+(AB86*AC86*AD86)+(AE86*AF86*AG86)+(AH86*AI86*AJ86)</f>
        <v>6233.1666666666661</v>
      </c>
      <c r="AM86" s="826"/>
      <c r="AN86" s="118"/>
      <c r="AO86" s="842"/>
      <c r="AP86" s="233"/>
      <c r="AQ86" s="233"/>
      <c r="AR86" s="233"/>
      <c r="AS86" s="233"/>
      <c r="AT86" s="233"/>
      <c r="AU86" s="233"/>
      <c r="AV86" s="233"/>
      <c r="AW86" s="233"/>
      <c r="AX86" s="233"/>
      <c r="AY86" s="233"/>
      <c r="AZ86" s="233"/>
      <c r="BA86" s="233"/>
      <c r="BB86" s="233"/>
      <c r="BC86" s="233"/>
      <c r="BD86" s="233"/>
      <c r="BE86" s="233"/>
      <c r="BF86" s="233"/>
      <c r="BG86" s="233"/>
      <c r="BH86" s="949"/>
      <c r="BI86" s="229">
        <f>(AP86*AQ86*AR86)+(AS86*AT86*AU86)+(AV86*AW86*AX86)+(AY86*AZ86*BA86)+(BB86*BC86*BD86)+(BE86*BF86*BG86)</f>
        <v>0</v>
      </c>
      <c r="BJ86" s="826"/>
      <c r="BK86" s="118"/>
      <c r="BL86" s="842"/>
      <c r="BM86" s="462"/>
      <c r="BN86" s="462"/>
      <c r="BO86" s="462"/>
      <c r="BP86" s="462"/>
      <c r="BQ86" s="462"/>
      <c r="BR86" s="462"/>
      <c r="BS86" s="462"/>
      <c r="BT86" s="462"/>
      <c r="BU86" s="462"/>
      <c r="BV86" s="462"/>
      <c r="BW86" s="462"/>
      <c r="BX86" s="462"/>
      <c r="BY86" s="462"/>
      <c r="BZ86" s="462"/>
      <c r="CA86" s="462"/>
      <c r="CB86" s="462"/>
      <c r="CC86" s="462"/>
      <c r="CD86" s="463"/>
      <c r="CE86" s="949"/>
      <c r="CF86" s="229">
        <f>(BM86*BN86*BO86)+(BP86*BQ86*BR86)+(BS86*BT86*BU86)+(BV86*BW86*BX86)+(BY86*BZ86*CA86)+(CB86*CC86*CD86)</f>
        <v>0</v>
      </c>
      <c r="CG86" s="826"/>
    </row>
    <row r="87" spans="18:85" ht="15">
      <c r="R87" s="873">
        <v>46051</v>
      </c>
      <c r="S87" s="973" t="s">
        <v>72</v>
      </c>
      <c r="T87" s="973"/>
      <c r="U87" s="973"/>
      <c r="V87" s="977" t="s">
        <v>102</v>
      </c>
      <c r="W87" s="977"/>
      <c r="X87" s="977"/>
      <c r="Y87" s="977" t="s">
        <v>424</v>
      </c>
      <c r="Z87" s="977"/>
      <c r="AA87" s="977"/>
      <c r="AB87" s="977" t="s">
        <v>380</v>
      </c>
      <c r="AC87" s="977"/>
      <c r="AD87" s="977"/>
      <c r="AE87" s="978" t="s">
        <v>78</v>
      </c>
      <c r="AF87" s="979"/>
      <c r="AG87" s="980"/>
      <c r="AH87" s="834"/>
      <c r="AI87" s="835"/>
      <c r="AJ87" s="836"/>
      <c r="AK87" s="232" t="s">
        <v>425</v>
      </c>
      <c r="AL87" s="823">
        <f>COUNTA(S87:AJ87)</f>
        <v>5</v>
      </c>
      <c r="AM87" s="824">
        <v>78.099999999999994</v>
      </c>
      <c r="AN87" s="118"/>
      <c r="AO87" s="974"/>
      <c r="AP87" s="844"/>
      <c r="AQ87" s="844"/>
      <c r="AR87" s="844"/>
      <c r="AS87" s="844"/>
      <c r="AT87" s="844"/>
      <c r="AU87" s="844"/>
      <c r="AV87" s="844"/>
      <c r="AW87" s="844"/>
      <c r="AX87" s="844"/>
      <c r="AY87" s="844"/>
      <c r="AZ87" s="844"/>
      <c r="BA87" s="844"/>
      <c r="BB87" s="834"/>
      <c r="BC87" s="835"/>
      <c r="BD87" s="836"/>
      <c r="BE87" s="834"/>
      <c r="BF87" s="835"/>
      <c r="BG87" s="836"/>
      <c r="BH87" s="232" t="s">
        <v>425</v>
      </c>
      <c r="BI87" s="823">
        <f>COUNTA(AP87:BG87)</f>
        <v>0</v>
      </c>
      <c r="BJ87" s="824"/>
      <c r="BK87" s="118"/>
      <c r="BL87" s="864">
        <v>46110</v>
      </c>
      <c r="BM87" s="960"/>
      <c r="BN87" s="960"/>
      <c r="BO87" s="960"/>
      <c r="BP87" s="960"/>
      <c r="BQ87" s="960"/>
      <c r="BR87" s="960"/>
      <c r="BS87" s="960"/>
      <c r="BT87" s="960"/>
      <c r="BU87" s="960"/>
      <c r="BV87" s="960"/>
      <c r="BW87" s="960"/>
      <c r="BX87" s="960"/>
      <c r="BY87" s="961"/>
      <c r="BZ87" s="962"/>
      <c r="CA87" s="963"/>
      <c r="CB87" s="961"/>
      <c r="CC87" s="962"/>
      <c r="CD87" s="963"/>
      <c r="CE87" s="232" t="s">
        <v>425</v>
      </c>
      <c r="CF87" s="823">
        <f>COUNTA(BM87:CD87)</f>
        <v>0</v>
      </c>
      <c r="CG87" s="824"/>
    </row>
    <row r="88" spans="18:85" ht="15">
      <c r="R88" s="874"/>
      <c r="S88" s="303" t="s">
        <v>59</v>
      </c>
      <c r="T88" s="303" t="s">
        <v>73</v>
      </c>
      <c r="U88" s="304" t="s">
        <v>4</v>
      </c>
      <c r="V88" s="303" t="s">
        <v>59</v>
      </c>
      <c r="W88" s="303" t="s">
        <v>73</v>
      </c>
      <c r="X88" s="304" t="s">
        <v>4</v>
      </c>
      <c r="Y88" s="303" t="s">
        <v>59</v>
      </c>
      <c r="Z88" s="303" t="s">
        <v>73</v>
      </c>
      <c r="AA88" s="304" t="s">
        <v>4</v>
      </c>
      <c r="AB88" s="303" t="s">
        <v>59</v>
      </c>
      <c r="AC88" s="303" t="s">
        <v>73</v>
      </c>
      <c r="AD88" s="304" t="s">
        <v>4</v>
      </c>
      <c r="AE88" s="303" t="s">
        <v>59</v>
      </c>
      <c r="AF88" s="303" t="s">
        <v>73</v>
      </c>
      <c r="AG88" s="304" t="s">
        <v>4</v>
      </c>
      <c r="AH88" s="107" t="s">
        <v>59</v>
      </c>
      <c r="AI88" s="107" t="s">
        <v>73</v>
      </c>
      <c r="AJ88" s="108" t="s">
        <v>4</v>
      </c>
      <c r="AK88" s="957">
        <v>61</v>
      </c>
      <c r="AL88" s="823"/>
      <c r="AM88" s="825"/>
      <c r="AN88" s="118"/>
      <c r="AO88" s="975"/>
      <c r="AP88" s="107" t="s">
        <v>59</v>
      </c>
      <c r="AQ88" s="107" t="s">
        <v>73</v>
      </c>
      <c r="AR88" s="108" t="s">
        <v>4</v>
      </c>
      <c r="AS88" s="107" t="s">
        <v>59</v>
      </c>
      <c r="AT88" s="107" t="s">
        <v>73</v>
      </c>
      <c r="AU88" s="108" t="s">
        <v>4</v>
      </c>
      <c r="AV88" s="107" t="s">
        <v>59</v>
      </c>
      <c r="AW88" s="107" t="s">
        <v>73</v>
      </c>
      <c r="AX88" s="108" t="s">
        <v>4</v>
      </c>
      <c r="AY88" s="107" t="s">
        <v>59</v>
      </c>
      <c r="AZ88" s="107" t="s">
        <v>73</v>
      </c>
      <c r="BA88" s="108" t="s">
        <v>4</v>
      </c>
      <c r="BB88" s="107" t="s">
        <v>59</v>
      </c>
      <c r="BC88" s="107" t="s">
        <v>73</v>
      </c>
      <c r="BD88" s="108" t="s">
        <v>4</v>
      </c>
      <c r="BE88" s="107" t="s">
        <v>59</v>
      </c>
      <c r="BF88" s="107" t="s">
        <v>73</v>
      </c>
      <c r="BG88" s="108" t="s">
        <v>4</v>
      </c>
      <c r="BH88" s="957"/>
      <c r="BI88" s="823"/>
      <c r="BJ88" s="825"/>
      <c r="BK88" s="118"/>
      <c r="BL88" s="865"/>
      <c r="BM88" s="460" t="s">
        <v>59</v>
      </c>
      <c r="BN88" s="460" t="s">
        <v>73</v>
      </c>
      <c r="BO88" s="461" t="s">
        <v>4</v>
      </c>
      <c r="BP88" s="460" t="s">
        <v>59</v>
      </c>
      <c r="BQ88" s="460" t="s">
        <v>73</v>
      </c>
      <c r="BR88" s="461" t="s">
        <v>4</v>
      </c>
      <c r="BS88" s="460" t="s">
        <v>59</v>
      </c>
      <c r="BT88" s="460" t="s">
        <v>73</v>
      </c>
      <c r="BU88" s="461" t="s">
        <v>4</v>
      </c>
      <c r="BV88" s="460" t="s">
        <v>59</v>
      </c>
      <c r="BW88" s="460" t="s">
        <v>73</v>
      </c>
      <c r="BX88" s="461" t="s">
        <v>4</v>
      </c>
      <c r="BY88" s="460" t="s">
        <v>59</v>
      </c>
      <c r="BZ88" s="460" t="s">
        <v>73</v>
      </c>
      <c r="CA88" s="461" t="s">
        <v>4</v>
      </c>
      <c r="CB88" s="460" t="s">
        <v>59</v>
      </c>
      <c r="CC88" s="460" t="s">
        <v>73</v>
      </c>
      <c r="CD88" s="461" t="s">
        <v>4</v>
      </c>
      <c r="CE88" s="957"/>
      <c r="CF88" s="823"/>
      <c r="CG88" s="825"/>
    </row>
    <row r="89" spans="18:85" ht="15">
      <c r="R89" s="875"/>
      <c r="S89" s="305">
        <v>4</v>
      </c>
      <c r="T89" s="305">
        <f>((12*2)+(8*1)+(10*1))/4</f>
        <v>10.5</v>
      </c>
      <c r="U89" s="305">
        <f>((23*1)+(50*3))/4</f>
        <v>43.25</v>
      </c>
      <c r="V89" s="305">
        <v>4</v>
      </c>
      <c r="W89" s="306">
        <f>((12*1)+(8*2)+(10*1))/4</f>
        <v>9.5</v>
      </c>
      <c r="X89" s="306">
        <f>((9.1*1)+(18.1*3))/4</f>
        <v>15.850000000000001</v>
      </c>
      <c r="Y89" s="305">
        <v>4</v>
      </c>
      <c r="Z89" s="306">
        <f>((12*3)+(10*1))/4</f>
        <v>11.5</v>
      </c>
      <c r="AA89" s="306">
        <f>((12.5*1)+(22.5*1)+(25*2))/4</f>
        <v>21.25</v>
      </c>
      <c r="AB89" s="305">
        <v>4</v>
      </c>
      <c r="AC89" s="305">
        <f>((12*2)+(8*1)+(10*1))/4</f>
        <v>10.5</v>
      </c>
      <c r="AD89" s="305">
        <f>((15.9*1)+(29.5*3))/4</f>
        <v>26.1</v>
      </c>
      <c r="AE89" s="305">
        <v>4</v>
      </c>
      <c r="AF89" s="305">
        <f>((12*1)+(8*3))/4</f>
        <v>9</v>
      </c>
      <c r="AG89" s="305">
        <f>((10*1)+(17.5*3))/4</f>
        <v>15.625</v>
      </c>
      <c r="AH89" s="233"/>
      <c r="AI89" s="233"/>
      <c r="AJ89" s="233"/>
      <c r="AK89" s="949"/>
      <c r="AL89" s="229">
        <f>(S89*T89*U89)+(V89*W89*X89)+(Y89*Z89*AA89)+(AB89*AC89*AD89)+(AE89*AF89*AG89)+(AH89*AI89*AJ89)</f>
        <v>5055</v>
      </c>
      <c r="AM89" s="826"/>
      <c r="AN89" s="118"/>
      <c r="AO89" s="976"/>
      <c r="AP89" s="233"/>
      <c r="AQ89" s="233"/>
      <c r="AR89" s="233"/>
      <c r="AS89" s="233"/>
      <c r="AT89" s="233"/>
      <c r="AU89" s="233"/>
      <c r="AV89" s="233"/>
      <c r="AW89" s="233"/>
      <c r="AX89" s="233"/>
      <c r="AY89" s="233"/>
      <c r="AZ89" s="233"/>
      <c r="BA89" s="233"/>
      <c r="BB89" s="233"/>
      <c r="BC89" s="233"/>
      <c r="BD89" s="233"/>
      <c r="BE89" s="233"/>
      <c r="BF89" s="233"/>
      <c r="BG89" s="328"/>
      <c r="BH89" s="949"/>
      <c r="BI89" s="229">
        <f>(AP89*AQ89*AR89)+(AS89*AT89*AU89)+(AV89*AW89*AX89)+(AY89*AZ89*BA89)+(BB89*BC89*BD89)+(BE89*BF89*BG89)</f>
        <v>0</v>
      </c>
      <c r="BJ89" s="826"/>
      <c r="BK89" s="118"/>
      <c r="BL89" s="866"/>
      <c r="BM89" s="462"/>
      <c r="BN89" s="462"/>
      <c r="BO89" s="462"/>
      <c r="BP89" s="462"/>
      <c r="BQ89" s="462"/>
      <c r="BR89" s="462"/>
      <c r="BS89" s="462"/>
      <c r="BT89" s="462"/>
      <c r="BU89" s="462"/>
      <c r="BV89" s="462"/>
      <c r="BW89" s="462"/>
      <c r="BX89" s="462"/>
      <c r="BY89" s="462"/>
      <c r="BZ89" s="462"/>
      <c r="CA89" s="462"/>
      <c r="CB89" s="462"/>
      <c r="CC89" s="462"/>
      <c r="CD89" s="463"/>
      <c r="CE89" s="949"/>
      <c r="CF89" s="229">
        <f>(BM89*BN89*BO89)+(BP89*BQ89*BR89)+(BS89*BT89*BU89)+(BV89*BW89*BX89)+(BY89*BZ89*CA89)+(CB89*CC89*CD89)</f>
        <v>0</v>
      </c>
      <c r="CG89" s="826"/>
    </row>
    <row r="90" spans="18:85" ht="15">
      <c r="R90" s="876">
        <v>46052</v>
      </c>
      <c r="S90" s="849" t="s">
        <v>434</v>
      </c>
      <c r="T90" s="849"/>
      <c r="U90" s="849"/>
      <c r="V90" s="848" t="s">
        <v>68</v>
      </c>
      <c r="W90" s="848"/>
      <c r="X90" s="848"/>
      <c r="Y90" s="848" t="s">
        <v>380</v>
      </c>
      <c r="Z90" s="848"/>
      <c r="AA90" s="848"/>
      <c r="AB90" s="848" t="s">
        <v>391</v>
      </c>
      <c r="AC90" s="848"/>
      <c r="AD90" s="848"/>
      <c r="AE90" s="834"/>
      <c r="AF90" s="835"/>
      <c r="AG90" s="836"/>
      <c r="AH90" s="834"/>
      <c r="AI90" s="835"/>
      <c r="AJ90" s="836"/>
      <c r="AK90" s="232" t="s">
        <v>425</v>
      </c>
      <c r="AL90" s="823">
        <f>COUNTA(S90:AJ90)</f>
        <v>4</v>
      </c>
      <c r="AM90" s="824">
        <v>78.599999999999994</v>
      </c>
      <c r="AN90" s="118"/>
      <c r="AO90" s="894"/>
      <c r="AP90" s="844"/>
      <c r="AQ90" s="844"/>
      <c r="AR90" s="844"/>
      <c r="AS90" s="844"/>
      <c r="AT90" s="844"/>
      <c r="AU90" s="844"/>
      <c r="AV90" s="844"/>
      <c r="AW90" s="844"/>
      <c r="AX90" s="844"/>
      <c r="AY90" s="844"/>
      <c r="AZ90" s="844"/>
      <c r="BA90" s="844"/>
      <c r="BB90" s="834"/>
      <c r="BC90" s="835"/>
      <c r="BD90" s="836"/>
      <c r="BE90" s="834"/>
      <c r="BF90" s="835"/>
      <c r="BG90" s="836"/>
      <c r="BH90" s="232" t="s">
        <v>425</v>
      </c>
      <c r="BI90" s="823">
        <f>COUNTA(AP90:BG90)</f>
        <v>0</v>
      </c>
      <c r="BJ90" s="824"/>
      <c r="BK90" s="118"/>
      <c r="BL90" s="870">
        <v>46111</v>
      </c>
      <c r="BM90" s="960"/>
      <c r="BN90" s="960"/>
      <c r="BO90" s="960"/>
      <c r="BP90" s="960"/>
      <c r="BQ90" s="960"/>
      <c r="BR90" s="960"/>
      <c r="BS90" s="960"/>
      <c r="BT90" s="960"/>
      <c r="BU90" s="960"/>
      <c r="BV90" s="960"/>
      <c r="BW90" s="960"/>
      <c r="BX90" s="960"/>
      <c r="BY90" s="961"/>
      <c r="BZ90" s="962"/>
      <c r="CA90" s="963"/>
      <c r="CB90" s="961"/>
      <c r="CC90" s="962"/>
      <c r="CD90" s="963"/>
      <c r="CE90" s="232" t="s">
        <v>425</v>
      </c>
      <c r="CF90" s="823">
        <f>COUNTA(BM90:CD90)</f>
        <v>0</v>
      </c>
      <c r="CG90" s="824"/>
    </row>
    <row r="91" spans="18:85" ht="15">
      <c r="R91" s="877"/>
      <c r="S91" s="231" t="s">
        <v>59</v>
      </c>
      <c r="T91" s="231" t="s">
        <v>73</v>
      </c>
      <c r="U91" s="102" t="s">
        <v>4</v>
      </c>
      <c r="V91" s="231" t="s">
        <v>59</v>
      </c>
      <c r="W91" s="231" t="s">
        <v>73</v>
      </c>
      <c r="X91" s="102" t="s">
        <v>4</v>
      </c>
      <c r="Y91" s="231" t="s">
        <v>59</v>
      </c>
      <c r="Z91" s="231" t="s">
        <v>73</v>
      </c>
      <c r="AA91" s="102" t="s">
        <v>4</v>
      </c>
      <c r="AB91" s="231" t="s">
        <v>59</v>
      </c>
      <c r="AC91" s="231" t="s">
        <v>73</v>
      </c>
      <c r="AD91" s="102" t="s">
        <v>4</v>
      </c>
      <c r="AE91" s="107" t="s">
        <v>59</v>
      </c>
      <c r="AF91" s="107" t="s">
        <v>73</v>
      </c>
      <c r="AG91" s="108" t="s">
        <v>4</v>
      </c>
      <c r="AH91" s="107" t="s">
        <v>59</v>
      </c>
      <c r="AI91" s="107" t="s">
        <v>73</v>
      </c>
      <c r="AJ91" s="108" t="s">
        <v>4</v>
      </c>
      <c r="AK91" s="957">
        <v>49</v>
      </c>
      <c r="AL91" s="823"/>
      <c r="AM91" s="825"/>
      <c r="AN91" s="118"/>
      <c r="AO91" s="895"/>
      <c r="AP91" s="107" t="s">
        <v>59</v>
      </c>
      <c r="AQ91" s="107" t="s">
        <v>73</v>
      </c>
      <c r="AR91" s="108" t="s">
        <v>4</v>
      </c>
      <c r="AS91" s="107" t="s">
        <v>59</v>
      </c>
      <c r="AT91" s="107" t="s">
        <v>73</v>
      </c>
      <c r="AU91" s="108" t="s">
        <v>4</v>
      </c>
      <c r="AV91" s="107" t="s">
        <v>59</v>
      </c>
      <c r="AW91" s="107" t="s">
        <v>73</v>
      </c>
      <c r="AX91" s="108" t="s">
        <v>4</v>
      </c>
      <c r="AY91" s="107" t="s">
        <v>59</v>
      </c>
      <c r="AZ91" s="107" t="s">
        <v>73</v>
      </c>
      <c r="BA91" s="108" t="s">
        <v>4</v>
      </c>
      <c r="BB91" s="107" t="s">
        <v>59</v>
      </c>
      <c r="BC91" s="107" t="s">
        <v>73</v>
      </c>
      <c r="BD91" s="108" t="s">
        <v>4</v>
      </c>
      <c r="BE91" s="107" t="s">
        <v>59</v>
      </c>
      <c r="BF91" s="107" t="s">
        <v>73</v>
      </c>
      <c r="BG91" s="108" t="s">
        <v>4</v>
      </c>
      <c r="BH91" s="957"/>
      <c r="BI91" s="823"/>
      <c r="BJ91" s="825"/>
      <c r="BK91" s="118"/>
      <c r="BL91" s="871"/>
      <c r="BM91" s="460" t="s">
        <v>59</v>
      </c>
      <c r="BN91" s="460" t="s">
        <v>73</v>
      </c>
      <c r="BO91" s="461" t="s">
        <v>4</v>
      </c>
      <c r="BP91" s="460" t="s">
        <v>59</v>
      </c>
      <c r="BQ91" s="460" t="s">
        <v>73</v>
      </c>
      <c r="BR91" s="461" t="s">
        <v>4</v>
      </c>
      <c r="BS91" s="460" t="s">
        <v>59</v>
      </c>
      <c r="BT91" s="460" t="s">
        <v>73</v>
      </c>
      <c r="BU91" s="461" t="s">
        <v>4</v>
      </c>
      <c r="BV91" s="460" t="s">
        <v>59</v>
      </c>
      <c r="BW91" s="460" t="s">
        <v>73</v>
      </c>
      <c r="BX91" s="461" t="s">
        <v>4</v>
      </c>
      <c r="BY91" s="460" t="s">
        <v>59</v>
      </c>
      <c r="BZ91" s="460" t="s">
        <v>73</v>
      </c>
      <c r="CA91" s="461" t="s">
        <v>4</v>
      </c>
      <c r="CB91" s="460" t="s">
        <v>59</v>
      </c>
      <c r="CC91" s="460" t="s">
        <v>73</v>
      </c>
      <c r="CD91" s="461" t="s">
        <v>4</v>
      </c>
      <c r="CE91" s="957"/>
      <c r="CF91" s="823"/>
      <c r="CG91" s="825"/>
    </row>
    <row r="92" spans="18:85" ht="15">
      <c r="R92" s="878"/>
      <c r="S92" s="229">
        <v>4</v>
      </c>
      <c r="T92" s="229">
        <f>((12*1)+(10*3))/4</f>
        <v>10.5</v>
      </c>
      <c r="U92" s="229">
        <f>((12.5*1)+(25*3))/4</f>
        <v>21.875</v>
      </c>
      <c r="V92" s="229">
        <v>4</v>
      </c>
      <c r="W92" s="229">
        <f>((12*3)+(8*1))/4</f>
        <v>11</v>
      </c>
      <c r="X92" s="229">
        <f>((27*1)+(54*2)+(59*1))/4</f>
        <v>48.5</v>
      </c>
      <c r="Y92" s="229">
        <v>4</v>
      </c>
      <c r="Z92" s="229">
        <v>12</v>
      </c>
      <c r="AA92" s="229">
        <f>((15.9*1)+(34*3))/4</f>
        <v>29.475000000000001</v>
      </c>
      <c r="AB92" s="229">
        <v>4</v>
      </c>
      <c r="AC92" s="229">
        <f>((0.5*1)+(1*3))/4</f>
        <v>0.875</v>
      </c>
      <c r="AD92" s="229">
        <f>AM90*(2/3)</f>
        <v>52.399999999999991</v>
      </c>
      <c r="AE92" s="233"/>
      <c r="AF92" s="233"/>
      <c r="AG92" s="233"/>
      <c r="AH92" s="233"/>
      <c r="AI92" s="233"/>
      <c r="AJ92" s="233"/>
      <c r="AK92" s="949"/>
      <c r="AL92" s="229">
        <f>(S92*T92*U92)+(V92*W92*X92)+(Y92*Z92*AA92)+(AB92*AC92*AD92)+(AE92*AF92*AG92)+(AH92*AI92*AJ92)</f>
        <v>4650.95</v>
      </c>
      <c r="AM92" s="826"/>
      <c r="AN92" s="118"/>
      <c r="AO92" s="896"/>
      <c r="AP92" s="233"/>
      <c r="AQ92" s="233"/>
      <c r="AR92" s="233"/>
      <c r="AS92" s="233"/>
      <c r="AT92" s="233"/>
      <c r="AU92" s="233"/>
      <c r="AV92" s="233"/>
      <c r="AW92" s="233"/>
      <c r="AX92" s="233"/>
      <c r="AY92" s="233"/>
      <c r="AZ92" s="233"/>
      <c r="BA92" s="233"/>
      <c r="BB92" s="233"/>
      <c r="BC92" s="233"/>
      <c r="BD92" s="233"/>
      <c r="BE92" s="233"/>
      <c r="BF92" s="233"/>
      <c r="BG92" s="328"/>
      <c r="BH92" s="949"/>
      <c r="BI92" s="229">
        <f>(AP92*AQ92*AR92)+(AS92*AT92*AU92)+(AV92*AW92*AX92)+(AY92*AZ92*BA92)+(BB92*BC92*BD92)+(BE92*BF92*BG92)</f>
        <v>0</v>
      </c>
      <c r="BJ92" s="826"/>
      <c r="BK92" s="118"/>
      <c r="BL92" s="872"/>
      <c r="BM92" s="462"/>
      <c r="BN92" s="462"/>
      <c r="BO92" s="462"/>
      <c r="BP92" s="462"/>
      <c r="BQ92" s="462"/>
      <c r="BR92" s="462"/>
      <c r="BS92" s="462"/>
      <c r="BT92" s="462"/>
      <c r="BU92" s="462"/>
      <c r="BV92" s="462"/>
      <c r="BW92" s="462"/>
      <c r="BX92" s="462"/>
      <c r="BY92" s="462"/>
      <c r="BZ92" s="462"/>
      <c r="CA92" s="462"/>
      <c r="CB92" s="462"/>
      <c r="CC92" s="462"/>
      <c r="CD92" s="463"/>
      <c r="CE92" s="949"/>
      <c r="CF92" s="229">
        <f>(BM92*BN92*BO92)+(BP92*BQ92*BR92)+(BS92*BT92*BU92)+(BV92*BW92*BX92)+(BY92*BZ92*CA92)+(CB92*CC92*CD92)</f>
        <v>0</v>
      </c>
      <c r="CG92" s="826"/>
    </row>
    <row r="93" spans="18:85" ht="15">
      <c r="R93" s="840">
        <v>46053</v>
      </c>
      <c r="S93" s="844"/>
      <c r="T93" s="844"/>
      <c r="U93" s="844"/>
      <c r="V93" s="844"/>
      <c r="W93" s="844"/>
      <c r="X93" s="844"/>
      <c r="Y93" s="844"/>
      <c r="Z93" s="844"/>
      <c r="AA93" s="844"/>
      <c r="AB93" s="844"/>
      <c r="AC93" s="844"/>
      <c r="AD93" s="844"/>
      <c r="AE93" s="834"/>
      <c r="AF93" s="835"/>
      <c r="AG93" s="836"/>
      <c r="AH93" s="834"/>
      <c r="AI93" s="835"/>
      <c r="AJ93" s="836"/>
      <c r="AK93" s="232" t="s">
        <v>425</v>
      </c>
      <c r="AL93" s="823">
        <f>COUNTA(S93:AJ93)</f>
        <v>0</v>
      </c>
      <c r="AM93" s="824">
        <f>AM90</f>
        <v>78.599999999999994</v>
      </c>
      <c r="AN93" s="118"/>
      <c r="AO93" s="902"/>
      <c r="AP93" s="844"/>
      <c r="AQ93" s="844"/>
      <c r="AR93" s="844"/>
      <c r="AS93" s="844"/>
      <c r="AT93" s="844"/>
      <c r="AU93" s="844"/>
      <c r="AV93" s="844"/>
      <c r="AW93" s="844"/>
      <c r="AX93" s="844"/>
      <c r="AY93" s="844"/>
      <c r="AZ93" s="844"/>
      <c r="BA93" s="844"/>
      <c r="BB93" s="834"/>
      <c r="BC93" s="835"/>
      <c r="BD93" s="836"/>
      <c r="BE93" s="834"/>
      <c r="BF93" s="835"/>
      <c r="BG93" s="836"/>
      <c r="BH93" s="232" t="s">
        <v>425</v>
      </c>
      <c r="BI93" s="823">
        <f>COUNTA(AP93:BG93)</f>
        <v>0</v>
      </c>
      <c r="BJ93" s="824"/>
      <c r="BK93" s="118"/>
      <c r="BL93" s="856">
        <v>46112</v>
      </c>
      <c r="BM93" s="960"/>
      <c r="BN93" s="960"/>
      <c r="BO93" s="960"/>
      <c r="BP93" s="960"/>
      <c r="BQ93" s="960"/>
      <c r="BR93" s="960"/>
      <c r="BS93" s="960"/>
      <c r="BT93" s="960"/>
      <c r="BU93" s="960"/>
      <c r="BV93" s="960"/>
      <c r="BW93" s="960"/>
      <c r="BX93" s="960"/>
      <c r="BY93" s="961"/>
      <c r="BZ93" s="962"/>
      <c r="CA93" s="963"/>
      <c r="CB93" s="961"/>
      <c r="CC93" s="962"/>
      <c r="CD93" s="963"/>
      <c r="CE93" s="232" t="s">
        <v>425</v>
      </c>
      <c r="CF93" s="823">
        <f>COUNTA(BM93:CD93)</f>
        <v>0</v>
      </c>
      <c r="CG93" s="824"/>
    </row>
    <row r="94" spans="18:85" ht="15">
      <c r="R94" s="841"/>
      <c r="S94" s="107" t="s">
        <v>59</v>
      </c>
      <c r="T94" s="107" t="s">
        <v>73</v>
      </c>
      <c r="U94" s="108" t="s">
        <v>4</v>
      </c>
      <c r="V94" s="107" t="s">
        <v>59</v>
      </c>
      <c r="W94" s="107" t="s">
        <v>73</v>
      </c>
      <c r="X94" s="108" t="s">
        <v>4</v>
      </c>
      <c r="Y94" s="107" t="s">
        <v>59</v>
      </c>
      <c r="Z94" s="107" t="s">
        <v>73</v>
      </c>
      <c r="AA94" s="108" t="s">
        <v>4</v>
      </c>
      <c r="AB94" s="107" t="s">
        <v>59</v>
      </c>
      <c r="AC94" s="107" t="s">
        <v>73</v>
      </c>
      <c r="AD94" s="108" t="s">
        <v>4</v>
      </c>
      <c r="AE94" s="107" t="s">
        <v>59</v>
      </c>
      <c r="AF94" s="107" t="s">
        <v>73</v>
      </c>
      <c r="AG94" s="108" t="s">
        <v>4</v>
      </c>
      <c r="AH94" s="107" t="s">
        <v>59</v>
      </c>
      <c r="AI94" s="107" t="s">
        <v>73</v>
      </c>
      <c r="AJ94" s="108" t="s">
        <v>4</v>
      </c>
      <c r="AK94" s="957">
        <v>0</v>
      </c>
      <c r="AL94" s="823"/>
      <c r="AM94" s="825"/>
      <c r="AN94" s="118"/>
      <c r="AO94" s="903"/>
      <c r="AP94" s="107" t="s">
        <v>59</v>
      </c>
      <c r="AQ94" s="107" t="s">
        <v>73</v>
      </c>
      <c r="AR94" s="108" t="s">
        <v>4</v>
      </c>
      <c r="AS94" s="107" t="s">
        <v>59</v>
      </c>
      <c r="AT94" s="107" t="s">
        <v>73</v>
      </c>
      <c r="AU94" s="108" t="s">
        <v>4</v>
      </c>
      <c r="AV94" s="107" t="s">
        <v>59</v>
      </c>
      <c r="AW94" s="107" t="s">
        <v>73</v>
      </c>
      <c r="AX94" s="108" t="s">
        <v>4</v>
      </c>
      <c r="AY94" s="107" t="s">
        <v>59</v>
      </c>
      <c r="AZ94" s="107" t="s">
        <v>73</v>
      </c>
      <c r="BA94" s="108" t="s">
        <v>4</v>
      </c>
      <c r="BB94" s="107" t="s">
        <v>59</v>
      </c>
      <c r="BC94" s="107" t="s">
        <v>73</v>
      </c>
      <c r="BD94" s="108" t="s">
        <v>4</v>
      </c>
      <c r="BE94" s="107" t="s">
        <v>59</v>
      </c>
      <c r="BF94" s="107" t="s">
        <v>73</v>
      </c>
      <c r="BG94" s="108" t="s">
        <v>4</v>
      </c>
      <c r="BH94" s="957"/>
      <c r="BI94" s="823"/>
      <c r="BJ94" s="825"/>
      <c r="BK94" s="118"/>
      <c r="BL94" s="857"/>
      <c r="BM94" s="460" t="s">
        <v>59</v>
      </c>
      <c r="BN94" s="460" t="s">
        <v>73</v>
      </c>
      <c r="BO94" s="461" t="s">
        <v>4</v>
      </c>
      <c r="BP94" s="460" t="s">
        <v>59</v>
      </c>
      <c r="BQ94" s="460" t="s">
        <v>73</v>
      </c>
      <c r="BR94" s="461" t="s">
        <v>4</v>
      </c>
      <c r="BS94" s="460" t="s">
        <v>59</v>
      </c>
      <c r="BT94" s="460" t="s">
        <v>73</v>
      </c>
      <c r="BU94" s="461" t="s">
        <v>4</v>
      </c>
      <c r="BV94" s="460" t="s">
        <v>59</v>
      </c>
      <c r="BW94" s="460" t="s">
        <v>73</v>
      </c>
      <c r="BX94" s="461" t="s">
        <v>4</v>
      </c>
      <c r="BY94" s="460" t="s">
        <v>59</v>
      </c>
      <c r="BZ94" s="460" t="s">
        <v>73</v>
      </c>
      <c r="CA94" s="461" t="s">
        <v>4</v>
      </c>
      <c r="CB94" s="460" t="s">
        <v>59</v>
      </c>
      <c r="CC94" s="460" t="s">
        <v>73</v>
      </c>
      <c r="CD94" s="461" t="s">
        <v>4</v>
      </c>
      <c r="CE94" s="957"/>
      <c r="CF94" s="823"/>
      <c r="CG94" s="825"/>
    </row>
    <row r="95" spans="18:85" ht="15">
      <c r="R95" s="842"/>
      <c r="S95" s="233"/>
      <c r="T95" s="233"/>
      <c r="U95" s="233"/>
      <c r="V95" s="233"/>
      <c r="W95" s="233"/>
      <c r="X95" s="233"/>
      <c r="Y95" s="233"/>
      <c r="Z95" s="233"/>
      <c r="AA95" s="233"/>
      <c r="AB95" s="233"/>
      <c r="AC95" s="233"/>
      <c r="AD95" s="233"/>
      <c r="AE95" s="233"/>
      <c r="AF95" s="233"/>
      <c r="AG95" s="233"/>
      <c r="AH95" s="233"/>
      <c r="AI95" s="233"/>
      <c r="AJ95" s="328"/>
      <c r="AK95" s="964"/>
      <c r="AL95" s="229">
        <f>(S95*T95*U95)+(V95*W95*X95)+(Y95*Z95*AA95)+(AB95*AC95*AD95)+(AE95*AF95*AG95)+(AH95*AI95*AJ95)</f>
        <v>0</v>
      </c>
      <c r="AM95" s="826"/>
      <c r="AN95" s="118"/>
      <c r="AO95" s="904"/>
      <c r="AP95" s="233"/>
      <c r="AQ95" s="233"/>
      <c r="AR95" s="233"/>
      <c r="AS95" s="233"/>
      <c r="AT95" s="233"/>
      <c r="AU95" s="233"/>
      <c r="AV95" s="233"/>
      <c r="AW95" s="233"/>
      <c r="AX95" s="233"/>
      <c r="AY95" s="233"/>
      <c r="AZ95" s="233"/>
      <c r="BA95" s="233"/>
      <c r="BB95" s="233"/>
      <c r="BC95" s="233"/>
      <c r="BD95" s="233"/>
      <c r="BE95" s="233"/>
      <c r="BF95" s="233"/>
      <c r="BG95" s="328"/>
      <c r="BH95" s="964"/>
      <c r="BI95" s="229">
        <f>(AP95*AQ95*AR95)+(AS95*AT95*AU95)+(AV95*AW95*AX95)+(AY95*AZ95*BA95)+(BB95*BC95*BD95)+(BE95*BF95*BG95)</f>
        <v>0</v>
      </c>
      <c r="BJ95" s="826"/>
      <c r="BK95" s="118"/>
      <c r="BL95" s="858"/>
      <c r="BM95" s="462"/>
      <c r="BN95" s="462"/>
      <c r="BO95" s="462"/>
      <c r="BP95" s="462"/>
      <c r="BQ95" s="462"/>
      <c r="BR95" s="462"/>
      <c r="BS95" s="462"/>
      <c r="BT95" s="462"/>
      <c r="BU95" s="462"/>
      <c r="BV95" s="462"/>
      <c r="BW95" s="462"/>
      <c r="BX95" s="462"/>
      <c r="BY95" s="462"/>
      <c r="BZ95" s="462"/>
      <c r="CA95" s="462"/>
      <c r="CB95" s="462"/>
      <c r="CC95" s="462"/>
      <c r="CD95" s="463"/>
      <c r="CE95" s="964"/>
      <c r="CF95" s="229">
        <f>(BM95*BN95*BO95)+(BP95*BQ95*BR95)+(BS95*BT95*BU95)+(BV95*BW95*BX95)+(BY95*BZ95*CA95)+(CB95*CC95*CD95)</f>
        <v>0</v>
      </c>
      <c r="CG95" s="826"/>
    </row>
    <row r="96" spans="18:85" ht="15">
      <c r="AH96" s="298"/>
      <c r="AI96" s="298"/>
      <c r="AJ96" s="465" t="s">
        <v>55</v>
      </c>
      <c r="AK96" s="464" cm="1">
        <f t="array" ref="AK96">SUMPRODUCT((MOD(ROW(AK4:AK94)-4,3)=0)*IFERROR(--AK4:AK94,0))</f>
        <v>1119</v>
      </c>
      <c r="AL96" s="106" cm="1">
        <f t="array" ref="AL96">SUMPRODUCT((MOD(ROW(AL3:AL93)-ROW(AL3), 3)=0) * AL3:AL93)</f>
        <v>84</v>
      </c>
      <c r="AM96" s="956" cm="1">
        <f t="array" ref="AM96">LOOKUP(2, 1/(AM3:AM95&lt;&gt;""), AM3:AM86) - AM3</f>
        <v>1.6999999999999886</v>
      </c>
      <c r="AN96" s="114"/>
      <c r="BE96" s="298"/>
      <c r="BF96" s="298"/>
      <c r="BG96" s="465" t="s">
        <v>55</v>
      </c>
      <c r="BH96" s="464" cm="1">
        <f t="array" ref="BH96">SUMPRODUCT((MOD(ROW(BH4:BH94)-4,3)=0)*IFERROR(--BH4:BH94,0))</f>
        <v>1557</v>
      </c>
      <c r="BI96" s="106" cm="1">
        <f t="array" ref="BI96">SUMPRODUCT((MOD(ROW(BI3:BI93)-ROW(BI3), 3)=0) * BI3:BI93)</f>
        <v>98</v>
      </c>
      <c r="BJ96" s="956" cm="1">
        <f t="array" ref="BJ96">LOOKUP(2, 1/(BJ3:BJ95&lt;&gt;""), BJ3:BJ86) - BJ3</f>
        <v>1</v>
      </c>
      <c r="BK96" s="114"/>
      <c r="CB96" s="298"/>
      <c r="CC96" s="298"/>
      <c r="CD96" s="465" t="s">
        <v>55</v>
      </c>
      <c r="CE96" s="464" cm="1">
        <f t="array" ref="CE96">SUMPRODUCT((MOD(ROW(CE4:CE94)-4,3)=0)*IFERROR(--CE4:CE94,0))</f>
        <v>145</v>
      </c>
      <c r="CF96" s="106" cm="1">
        <f t="array" ref="CF96">SUMPRODUCT((MOD(ROW(CF3:CF93)-ROW(CF3), 3)=0) * CF3:CF93)</f>
        <v>6</v>
      </c>
      <c r="CG96" s="956" cm="1">
        <f t="array" ref="CG96">LOOKUP(2, 1/(CG3:CG95&lt;&gt;""), CG3:CG86) - CG3</f>
        <v>0.10000000000000853</v>
      </c>
    </row>
    <row r="97" spans="34:85" ht="15">
      <c r="AH97" s="297"/>
      <c r="AI97" s="297"/>
      <c r="AJ97" s="466" t="s">
        <v>780</v>
      </c>
      <c r="AK97" s="468" cm="1">
        <f t="array" ref="AK97">SUMPRODUCT((MOD(ROW(AK4:AK94)-4,3)=0)*(AK4:AK94&gt;0))</f>
        <v>21</v>
      </c>
      <c r="AL97" s="467" cm="1">
        <f t="array" ref="AL97">SUMPRODUCT((MOD(ROW(AL3:AL95)-ROW(AL5), 3)=0) * AL3:AL95)</f>
        <v>96927.231666666659</v>
      </c>
      <c r="AM97" s="830"/>
      <c r="AN97" s="39"/>
      <c r="BE97" s="297"/>
      <c r="BF97" s="297"/>
      <c r="BG97" s="466" t="s">
        <v>780</v>
      </c>
      <c r="BH97" s="468" cm="1">
        <f t="array" ref="BH97">SUMPRODUCT((MOD(ROW(BH4:BH94)-4,3)=0)*(BH4:BH94&gt;0))</f>
        <v>25</v>
      </c>
      <c r="BI97" s="467" cm="1">
        <f t="array" ref="BI97">SUMPRODUCT((MOD(ROW(BI3:BI95)-ROW(BI5), 3)=0) * BI3:BI95)</f>
        <v>142728.40555555557</v>
      </c>
      <c r="BJ97" s="830"/>
      <c r="BK97" s="39"/>
      <c r="CB97" s="297"/>
      <c r="CC97" s="297"/>
      <c r="CD97" s="466" t="s">
        <v>780</v>
      </c>
      <c r="CE97" s="468" cm="1">
        <f t="array" ref="CE97">SUMPRODUCT((MOD(ROW(CE4:CE94)-4,3)=0)*(CE4:CE94&gt;0))</f>
        <v>2</v>
      </c>
      <c r="CF97" s="467" cm="1">
        <f t="array" ref="CF97">SUMPRODUCT((MOD(ROW(CF3:CF95)-ROW(CF5), 3)=0) * CF3:CF95)</f>
        <v>12413.6</v>
      </c>
      <c r="CG97" s="830"/>
    </row>
    <row r="98" spans="34:85" ht="18.75" customHeight="1">
      <c r="AJ98" s="466" t="s">
        <v>781</v>
      </c>
      <c r="AK98" s="469">
        <f>IFERROR(AK96/AK97,0)</f>
        <v>53.285714285714285</v>
      </c>
      <c r="BG98" s="466" t="s">
        <v>781</v>
      </c>
      <c r="BH98" s="469">
        <f>IFERROR(BH96/BH97,0)</f>
        <v>62.28</v>
      </c>
      <c r="CD98" s="466" t="s">
        <v>781</v>
      </c>
      <c r="CE98" s="469">
        <f>IFERROR(CE96/CE97,0)</f>
        <v>72.5</v>
      </c>
    </row>
    <row r="99" spans="34:85" ht="18.75" customHeight="1">
      <c r="AL99" s="232" t="s">
        <v>137</v>
      </c>
      <c r="AM99" s="232" t="s">
        <v>1</v>
      </c>
      <c r="AN99" s="41"/>
      <c r="BI99" s="232" t="s">
        <v>137</v>
      </c>
      <c r="BJ99" s="232" t="s">
        <v>1</v>
      </c>
      <c r="BK99" s="41"/>
      <c r="CF99" s="232" t="s">
        <v>137</v>
      </c>
      <c r="CG99" s="232" t="s">
        <v>1</v>
      </c>
    </row>
    <row r="100" spans="34:85" ht="18.75" customHeight="1">
      <c r="AL100" s="230" cm="1">
        <f t="array" ref="AL100">INDEX(AM:AM, (ROW()-ROW(AL$100)+1)*3)</f>
        <v>76.900000000000006</v>
      </c>
      <c r="AM100" s="113" cm="1">
        <f t="array" ref="AM100">INDEX(R:R, (ROW()-ROW(AM$100)+1)*3)</f>
        <v>46023</v>
      </c>
      <c r="AN100" s="115"/>
      <c r="BI100" s="230" cm="1">
        <f t="array" ref="BI100">INDEX(BJ:BJ, (ROW()-ROW(BI$100)+1)*3)</f>
        <v>77.7</v>
      </c>
      <c r="BJ100" s="113" cm="1">
        <f t="array" ref="BJ100">INDEX(AO:AO, (ROW()-ROW(BJ$100)+1)*3)</f>
        <v>46054</v>
      </c>
      <c r="BK100" s="115"/>
      <c r="CF100" s="230" cm="1">
        <f t="array" ref="CF100">INDEX(CG:CG, (ROW()-ROW(CF$100)+1)*3)</f>
        <v>77.8</v>
      </c>
      <c r="CG100" s="113" cm="1">
        <f t="array" ref="CG100">INDEX(BL:BL, (ROW()-ROW(CG$100)+1)*3)</f>
        <v>46082</v>
      </c>
    </row>
    <row r="101" spans="34:85" ht="18.75" customHeight="1">
      <c r="AL101" s="230" cm="1">
        <f t="array" ref="AL101">INDEX(AM:AM, (ROW()-ROW(AL$100)+1)*3)</f>
        <v>76.900000000000006</v>
      </c>
      <c r="AM101" s="113" cm="1">
        <f t="array" ref="AM101">INDEX(R:R, (ROW()-ROW(AM$100)+1)*3)</f>
        <v>46024</v>
      </c>
      <c r="AN101" s="115"/>
      <c r="BI101" s="230" cm="1">
        <f t="array" ref="BI101">INDEX(BJ:BJ, (ROW()-ROW(BI$100)+1)*3)</f>
        <v>77.7</v>
      </c>
      <c r="BJ101" s="113" cm="1">
        <f t="array" ref="BJ101">INDEX(AO:AO, (ROW()-ROW(BJ$100)+1)*3)</f>
        <v>46055</v>
      </c>
      <c r="BK101" s="115"/>
      <c r="CF101" s="230" cm="1">
        <f t="array" ref="CF101">INDEX(CG:CG, (ROW()-ROW(CF$100)+1)*3)</f>
        <v>77.900000000000006</v>
      </c>
      <c r="CG101" s="113" cm="1">
        <f t="array" ref="CG101">INDEX(BL:BL, (ROW()-ROW(CG$100)+1)*3)</f>
        <v>46083</v>
      </c>
    </row>
    <row r="102" spans="34:85" ht="18.75" customHeight="1">
      <c r="AL102" s="230" cm="1">
        <f t="array" ref="AL102">INDEX(AM:AM, (ROW()-ROW(AL$100)+1)*3)</f>
        <v>76.900000000000006</v>
      </c>
      <c r="AM102" s="113" cm="1">
        <f t="array" ref="AM102">INDEX(R:R, (ROW()-ROW(AM$100)+1)*3)</f>
        <v>46025</v>
      </c>
      <c r="AN102" s="115"/>
      <c r="BI102" s="230" cm="1">
        <f t="array" ref="BI102">INDEX(BJ:BJ, (ROW()-ROW(BI$100)+1)*3)</f>
        <v>77.5</v>
      </c>
      <c r="BJ102" s="113" cm="1">
        <f t="array" ref="BJ102">INDEX(AO:AO, (ROW()-ROW(BJ$100)+1)*3)</f>
        <v>46056</v>
      </c>
      <c r="BK102" s="115"/>
      <c r="CF102" s="230"/>
      <c r="CG102" s="113" cm="1">
        <f t="array" ref="CG102">INDEX(BL:BL, (ROW()-ROW(CG$100)+1)*3)</f>
        <v>46084</v>
      </c>
    </row>
    <row r="103" spans="34:85" ht="18.75" customHeight="1">
      <c r="AL103" s="230" cm="1">
        <f t="array" ref="AL103">INDEX(AM:AM, (ROW()-ROW(AL$100)+1)*3)</f>
        <v>76.900000000000006</v>
      </c>
      <c r="AM103" s="113" cm="1">
        <f t="array" ref="AM103">INDEX(R:R, (ROW()-ROW(AM$100)+1)*3)</f>
        <v>46026</v>
      </c>
      <c r="AN103" s="115"/>
      <c r="BI103" s="230" cm="1">
        <f t="array" ref="BI103">INDEX(BJ:BJ, (ROW()-ROW(BI$100)+1)*3)</f>
        <v>78.7</v>
      </c>
      <c r="BJ103" s="113" cm="1">
        <f t="array" ref="BJ103">INDEX(AO:AO, (ROW()-ROW(BJ$100)+1)*3)</f>
        <v>46057</v>
      </c>
      <c r="BK103" s="115"/>
      <c r="CF103" s="230"/>
      <c r="CG103" s="113" cm="1">
        <f t="array" ref="CG103">INDEX(BL:BL, (ROW()-ROW(CG$100)+1)*3)</f>
        <v>46085</v>
      </c>
    </row>
    <row r="104" spans="34:85" ht="18.75" customHeight="1">
      <c r="AL104" s="230" cm="1">
        <f t="array" ref="AL104">INDEX(AM:AM, (ROW()-ROW(AL$100)+1)*3)</f>
        <v>77.400000000000006</v>
      </c>
      <c r="AM104" s="113" cm="1">
        <f t="array" ref="AM104">INDEX(R:R, (ROW()-ROW(AM$100)+1)*3)</f>
        <v>46027</v>
      </c>
      <c r="AN104" s="115"/>
      <c r="BI104" s="230" cm="1">
        <f t="array" ref="BI104">INDEX(BJ:BJ, (ROW()-ROW(BI$100)+1)*3)</f>
        <v>78.8</v>
      </c>
      <c r="BJ104" s="113" cm="1">
        <f t="array" ref="BJ104">INDEX(AO:AO, (ROW()-ROW(BJ$100)+1)*3)</f>
        <v>46058</v>
      </c>
      <c r="BK104" s="115"/>
      <c r="CF104" s="230"/>
      <c r="CG104" s="113" cm="1">
        <f t="array" ref="CG104">INDEX(BL:BL, (ROW()-ROW(CG$100)+1)*3)</f>
        <v>46086</v>
      </c>
    </row>
    <row r="105" spans="34:85" ht="18.75" customHeight="1">
      <c r="AL105" s="230" cm="1">
        <f t="array" ref="AL105">INDEX(AM:AM, (ROW()-ROW(AL$100)+1)*3)</f>
        <v>77.400000000000006</v>
      </c>
      <c r="AM105" s="113" cm="1">
        <f t="array" ref="AM105">INDEX(R:R, (ROW()-ROW(AM$100)+1)*3)</f>
        <v>46028</v>
      </c>
      <c r="AN105" s="115"/>
      <c r="BI105" s="230" cm="1">
        <f t="array" ref="BI105">INDEX(BJ:BJ, (ROW()-ROW(BI$100)+1)*3)</f>
        <v>79</v>
      </c>
      <c r="BJ105" s="113" cm="1">
        <f t="array" ref="BJ105">INDEX(AO:AO, (ROW()-ROW(BJ$100)+1)*3)</f>
        <v>46059</v>
      </c>
      <c r="BK105" s="115"/>
      <c r="CF105" s="230"/>
      <c r="CG105" s="113" cm="1">
        <f t="array" ref="CG105">INDEX(BL:BL, (ROW()-ROW(CG$100)+1)*3)</f>
        <v>46087</v>
      </c>
    </row>
    <row r="106" spans="34:85" ht="18.75" customHeight="1">
      <c r="AL106" s="230" cm="1">
        <f t="array" ref="AL106">INDEX(AM:AM, (ROW()-ROW(AL$100)+1)*3)</f>
        <v>77.099999999999994</v>
      </c>
      <c r="AM106" s="113" cm="1">
        <f t="array" ref="AM106">INDEX(R:R, (ROW()-ROW(AM$100)+1)*3)</f>
        <v>46029</v>
      </c>
      <c r="AN106" s="115"/>
      <c r="BI106" s="230" cm="1">
        <f t="array" ref="BI106">INDEX(BJ:BJ, (ROW()-ROW(BI$100)+1)*3)</f>
        <v>79</v>
      </c>
      <c r="BJ106" s="113" cm="1">
        <f t="array" ref="BJ106">INDEX(AO:AO, (ROW()-ROW(BJ$100)+1)*3)</f>
        <v>46060</v>
      </c>
      <c r="BK106" s="115"/>
      <c r="CF106" s="230"/>
      <c r="CG106" s="113" cm="1">
        <f t="array" ref="CG106">INDEX(BL:BL, (ROW()-ROW(CG$100)+1)*3)</f>
        <v>46088</v>
      </c>
    </row>
    <row r="107" spans="34:85" ht="18.75" customHeight="1">
      <c r="AL107" s="230" cm="1">
        <f t="array" ref="AL107">INDEX(AM:AM, (ROW()-ROW(AL$100)+1)*3)</f>
        <v>77.099999999999994</v>
      </c>
      <c r="AM107" s="113" cm="1">
        <f t="array" ref="AM107">INDEX(R:R, (ROW()-ROW(AM$100)+1)*3)</f>
        <v>46030</v>
      </c>
      <c r="AN107" s="115"/>
      <c r="BI107" s="230" cm="1">
        <f t="array" ref="BI107">INDEX(BJ:BJ, (ROW()-ROW(BI$100)+1)*3)</f>
        <v>77.849999999999994</v>
      </c>
      <c r="BJ107" s="113" cm="1">
        <f t="array" ref="BJ107">INDEX(AO:AO, (ROW()-ROW(BJ$100)+1)*3)</f>
        <v>46061</v>
      </c>
      <c r="BK107" s="115"/>
      <c r="CF107" s="230"/>
      <c r="CG107" s="113" cm="1">
        <f t="array" ref="CG107">INDEX(BL:BL, (ROW()-ROW(CG$100)+1)*3)</f>
        <v>46089</v>
      </c>
    </row>
    <row r="108" spans="34:85" ht="18.75" customHeight="1">
      <c r="AL108" s="230" cm="1">
        <f t="array" ref="AL108">INDEX(AM:AM, (ROW()-ROW(AL$100)+1)*3)</f>
        <v>76.7</v>
      </c>
      <c r="AM108" s="113" cm="1">
        <f t="array" ref="AM108">INDEX(R:R, (ROW()-ROW(AM$100)+1)*3)</f>
        <v>46031</v>
      </c>
      <c r="AN108" s="115"/>
      <c r="BI108" s="230" cm="1">
        <f t="array" ref="BI108">INDEX(BJ:BJ, (ROW()-ROW(BI$100)+1)*3)</f>
        <v>77.650000000000006</v>
      </c>
      <c r="BJ108" s="113" cm="1">
        <f t="array" ref="BJ108">INDEX(AO:AO, (ROW()-ROW(BJ$100)+1)*3)</f>
        <v>46062</v>
      </c>
      <c r="BK108" s="115"/>
      <c r="CF108" s="230"/>
      <c r="CG108" s="113" cm="1">
        <f t="array" ref="CG108">INDEX(BL:BL, (ROW()-ROW(CG$100)+1)*3)</f>
        <v>46090</v>
      </c>
    </row>
    <row r="109" spans="34:85" ht="18.75" customHeight="1">
      <c r="AL109" s="230" cm="1">
        <f t="array" ref="AL109">INDEX(AM:AM, (ROW()-ROW(AL$100)+1)*3)</f>
        <v>76.7</v>
      </c>
      <c r="AM109" s="113" cm="1">
        <f t="array" ref="AM109">INDEX(R:R, (ROW()-ROW(AM$100)+1)*3)</f>
        <v>46032</v>
      </c>
      <c r="AN109" s="115"/>
      <c r="BI109" s="230" cm="1">
        <f t="array" ref="BI109">INDEX(BJ:BJ, (ROW()-ROW(BI$100)+1)*3)</f>
        <v>77.150000000000006</v>
      </c>
      <c r="BJ109" s="113" cm="1">
        <f t="array" ref="BJ109">INDEX(AO:AO, (ROW()-ROW(BJ$100)+1)*3)</f>
        <v>46063</v>
      </c>
      <c r="BK109" s="115"/>
      <c r="CF109" s="230"/>
      <c r="CG109" s="113" cm="1">
        <f t="array" ref="CG109">INDEX(BL:BL, (ROW()-ROW(CG$100)+1)*3)</f>
        <v>46091</v>
      </c>
    </row>
    <row r="110" spans="34:85" ht="18.75" customHeight="1">
      <c r="AL110" s="230" cm="1">
        <f t="array" ref="AL110">INDEX(AM:AM, (ROW()-ROW(AL$100)+1)*3)</f>
        <v>77</v>
      </c>
      <c r="AM110" s="113" cm="1">
        <f t="array" ref="AM110">INDEX(R:R, (ROW()-ROW(AM$100)+1)*3)</f>
        <v>46033</v>
      </c>
      <c r="AN110" s="115"/>
      <c r="BI110" s="230" cm="1">
        <f t="array" ref="BI110">INDEX(BJ:BJ, (ROW()-ROW(BI$100)+1)*3)</f>
        <v>77.2</v>
      </c>
      <c r="BJ110" s="113" cm="1">
        <f t="array" ref="BJ110">INDEX(AO:AO, (ROW()-ROW(BJ$100)+1)*3)</f>
        <v>46064</v>
      </c>
      <c r="BK110" s="115"/>
      <c r="CF110" s="230"/>
      <c r="CG110" s="113" cm="1">
        <f t="array" ref="CG110">INDEX(BL:BL, (ROW()-ROW(CG$100)+1)*3)</f>
        <v>46092</v>
      </c>
    </row>
    <row r="111" spans="34:85" ht="18.75" customHeight="1">
      <c r="AL111" s="230" cm="1">
        <f t="array" ref="AL111">INDEX(AM:AM, (ROW()-ROW(AL$100)+1)*3)</f>
        <v>76.5</v>
      </c>
      <c r="AM111" s="113" cm="1">
        <f t="array" ref="AM111">INDEX(R:R, (ROW()-ROW(AM$100)+1)*3)</f>
        <v>46034</v>
      </c>
      <c r="AN111" s="115"/>
      <c r="BI111" s="230" cm="1">
        <f t="array" ref="BI111">INDEX(BJ:BJ, (ROW()-ROW(BI$100)+1)*3)</f>
        <v>77.099999999999994</v>
      </c>
      <c r="BJ111" s="113" cm="1">
        <f t="array" ref="BJ111">INDEX(AO:AO, (ROW()-ROW(BJ$100)+1)*3)</f>
        <v>46065</v>
      </c>
      <c r="BK111" s="115"/>
      <c r="CF111" s="230"/>
      <c r="CG111" s="113" cm="1">
        <f t="array" ref="CG111">INDEX(BL:BL, (ROW()-ROW(CG$100)+1)*3)</f>
        <v>46093</v>
      </c>
    </row>
    <row r="112" spans="34:85" ht="18.75" customHeight="1">
      <c r="AL112" s="230" cm="1">
        <f t="array" ref="AL112">INDEX(AM:AM, (ROW()-ROW(AL$100)+1)*3)</f>
        <v>76.5</v>
      </c>
      <c r="AM112" s="113" cm="1">
        <f t="array" ref="AM112">INDEX(R:R, (ROW()-ROW(AM$100)+1)*3)</f>
        <v>46035</v>
      </c>
      <c r="AN112" s="115"/>
      <c r="BI112" s="230" cm="1">
        <f t="array" ref="BI112">INDEX(BJ:BJ, (ROW()-ROW(BI$100)+1)*3)</f>
        <v>76.900000000000006</v>
      </c>
      <c r="BJ112" s="113" cm="1">
        <f t="array" ref="BJ112">INDEX(AO:AO, (ROW()-ROW(BJ$100)+1)*3)</f>
        <v>46066</v>
      </c>
      <c r="BK112" s="115"/>
      <c r="CF112" s="230"/>
      <c r="CG112" s="113" cm="1">
        <f t="array" ref="CG112">INDEX(BL:BL, (ROW()-ROW(CG$100)+1)*3)</f>
        <v>46094</v>
      </c>
    </row>
    <row r="113" spans="38:85" ht="18.75" customHeight="1">
      <c r="AL113" s="230" cm="1">
        <f t="array" ref="AL113">INDEX(AM:AM, (ROW()-ROW(AL$100)+1)*3)</f>
        <v>77</v>
      </c>
      <c r="AM113" s="113" cm="1">
        <f t="array" ref="AM113">INDEX(R:R, (ROW()-ROW(AM$100)+1)*3)</f>
        <v>46036</v>
      </c>
      <c r="AN113" s="115"/>
      <c r="BI113" s="230" cm="1">
        <f t="array" ref="BI113">INDEX(BJ:BJ, (ROW()-ROW(BI$100)+1)*3)</f>
        <v>76.900000000000006</v>
      </c>
      <c r="BJ113" s="113" cm="1">
        <f t="array" ref="BJ113">INDEX(AO:AO, (ROW()-ROW(BJ$100)+1)*3)</f>
        <v>46067</v>
      </c>
      <c r="BK113" s="115"/>
      <c r="CF113" s="230"/>
      <c r="CG113" s="113" cm="1">
        <f t="array" ref="CG113">INDEX(BL:BL, (ROW()-ROW(CG$100)+1)*3)</f>
        <v>46095</v>
      </c>
    </row>
    <row r="114" spans="38:85" ht="18.75" customHeight="1">
      <c r="AL114" s="230" cm="1">
        <f t="array" ref="AL114">INDEX(AM:AM, (ROW()-ROW(AL$100)+1)*3)</f>
        <v>77.3</v>
      </c>
      <c r="AM114" s="113" cm="1">
        <f t="array" ref="AM114">INDEX(R:R, (ROW()-ROW(AM$100)+1)*3)</f>
        <v>46037</v>
      </c>
      <c r="AN114" s="115"/>
      <c r="BI114" s="230" cm="1">
        <f t="array" ref="BI114">INDEX(BJ:BJ, (ROW()-ROW(BI$100)+1)*3)</f>
        <v>76.8</v>
      </c>
      <c r="BJ114" s="113" cm="1">
        <f t="array" ref="BJ114">INDEX(AO:AO, (ROW()-ROW(BJ$100)+1)*3)</f>
        <v>46068</v>
      </c>
      <c r="BK114" s="115"/>
      <c r="CF114" s="230"/>
      <c r="CG114" s="113" cm="1">
        <f t="array" ref="CG114">INDEX(BL:BL, (ROW()-ROW(CG$100)+1)*3)</f>
        <v>46096</v>
      </c>
    </row>
    <row r="115" spans="38:85" ht="18.75" customHeight="1">
      <c r="AL115" s="230" cm="1">
        <f t="array" ref="AL115">INDEX(AM:AM, (ROW()-ROW(AL$100)+1)*3)</f>
        <v>77.5</v>
      </c>
      <c r="AM115" s="113" cm="1">
        <f t="array" ref="AM115">INDEX(R:R, (ROW()-ROW(AM$100)+1)*3)</f>
        <v>46038</v>
      </c>
      <c r="AN115" s="115"/>
      <c r="BI115" s="230" cm="1">
        <f t="array" ref="BI115">INDEX(BJ:BJ, (ROW()-ROW(BI$100)+1)*3)</f>
        <v>77</v>
      </c>
      <c r="BJ115" s="113" cm="1">
        <f t="array" ref="BJ115">INDEX(AO:AO, (ROW()-ROW(BJ$100)+1)*3)</f>
        <v>46069</v>
      </c>
      <c r="BK115" s="115"/>
      <c r="CF115" s="230"/>
      <c r="CG115" s="113" cm="1">
        <f t="array" ref="CG115">INDEX(BL:BL, (ROW()-ROW(CG$100)+1)*3)</f>
        <v>46097</v>
      </c>
    </row>
    <row r="116" spans="38:85" ht="18.75" customHeight="1">
      <c r="AL116" s="230" cm="1">
        <f t="array" ref="AL116">INDEX(AM:AM, (ROW()-ROW(AL$100)+1)*3)</f>
        <v>77.5</v>
      </c>
      <c r="AM116" s="113" cm="1">
        <f t="array" ref="AM116">INDEX(R:R, (ROW()-ROW(AM$100)+1)*3)</f>
        <v>46039</v>
      </c>
      <c r="AN116" s="115"/>
      <c r="BI116" s="230" cm="1">
        <f t="array" ref="BI116">INDEX(BJ:BJ, (ROW()-ROW(BI$100)+1)*3)</f>
        <v>78.599999999999994</v>
      </c>
      <c r="BJ116" s="113" cm="1">
        <f t="array" ref="BJ116">INDEX(AO:AO, (ROW()-ROW(BJ$100)+1)*3)</f>
        <v>46070</v>
      </c>
      <c r="BK116" s="115"/>
      <c r="CF116" s="230"/>
      <c r="CG116" s="113" cm="1">
        <f t="array" ref="CG116">INDEX(BL:BL, (ROW()-ROW(CG$100)+1)*3)</f>
        <v>46098</v>
      </c>
    </row>
    <row r="117" spans="38:85" ht="18.75" customHeight="1">
      <c r="AL117" s="230" cm="1">
        <f t="array" ref="AL117">INDEX(AM:AM, (ROW()-ROW(AL$100)+1)*3)</f>
        <v>77.400000000000006</v>
      </c>
      <c r="AM117" s="113" cm="1">
        <f t="array" ref="AM117">INDEX(R:R, (ROW()-ROW(AM$100)+1)*3)</f>
        <v>46040</v>
      </c>
      <c r="AN117" s="115"/>
      <c r="BI117" s="230" cm="1">
        <f t="array" ref="BI117">INDEX(BJ:BJ, (ROW()-ROW(BI$100)+1)*3)</f>
        <v>77.7</v>
      </c>
      <c r="BJ117" s="113" cm="1">
        <f t="array" ref="BJ117">INDEX(AO:AO, (ROW()-ROW(BJ$100)+1)*3)</f>
        <v>46071</v>
      </c>
      <c r="BK117" s="115"/>
      <c r="CF117" s="230"/>
      <c r="CG117" s="113" cm="1">
        <f t="array" ref="CG117">INDEX(BL:BL, (ROW()-ROW(CG$100)+1)*3)</f>
        <v>46099</v>
      </c>
    </row>
    <row r="118" spans="38:85" ht="18.75" customHeight="1">
      <c r="AL118" s="230" cm="1">
        <f t="array" ref="AL118">INDEX(AM:AM, (ROW()-ROW(AL$100)+1)*3)</f>
        <v>77.3</v>
      </c>
      <c r="AM118" s="113" cm="1">
        <f t="array" ref="AM118">INDEX(R:R, (ROW()-ROW(AM$100)+1)*3)</f>
        <v>46041</v>
      </c>
      <c r="AN118" s="115"/>
      <c r="BI118" s="230" cm="1">
        <f t="array" ref="BI118">INDEX(BJ:BJ, (ROW()-ROW(BI$100)+1)*3)</f>
        <v>77.5</v>
      </c>
      <c r="BJ118" s="113" cm="1">
        <f t="array" ref="BJ118">INDEX(AO:AO, (ROW()-ROW(BJ$100)+1)*3)</f>
        <v>46072</v>
      </c>
      <c r="BK118" s="115"/>
      <c r="CF118" s="230"/>
      <c r="CG118" s="113" cm="1">
        <f t="array" ref="CG118">INDEX(BL:BL, (ROW()-ROW(CG$100)+1)*3)</f>
        <v>46100</v>
      </c>
    </row>
    <row r="119" spans="38:85" ht="18.75" customHeight="1">
      <c r="AL119" s="230" cm="1">
        <f t="array" ref="AL119">INDEX(AM:AM, (ROW()-ROW(AL$100)+1)*3)</f>
        <v>77.3</v>
      </c>
      <c r="AM119" s="113" cm="1">
        <f t="array" ref="AM119">INDEX(R:R, (ROW()-ROW(AM$100)+1)*3)</f>
        <v>46042</v>
      </c>
      <c r="AN119" s="115"/>
      <c r="BI119" s="230" cm="1">
        <f t="array" ref="BI119">INDEX(BJ:BJ, (ROW()-ROW(BI$100)+1)*3)</f>
        <v>78.400000000000006</v>
      </c>
      <c r="BJ119" s="113" cm="1">
        <f t="array" ref="BJ119">INDEX(AO:AO, (ROW()-ROW(BJ$100)+1)*3)</f>
        <v>46073</v>
      </c>
      <c r="BK119" s="115"/>
      <c r="CF119" s="230"/>
      <c r="CG119" s="113" cm="1">
        <f t="array" ref="CG119">INDEX(BL:BL, (ROW()-ROW(CG$100)+1)*3)</f>
        <v>46101</v>
      </c>
    </row>
    <row r="120" spans="38:85" ht="18.75" customHeight="1">
      <c r="AL120" s="230" cm="1">
        <f t="array" ref="AL120">INDEX(AM:AM, (ROW()-ROW(AL$100)+1)*3)</f>
        <v>77.2</v>
      </c>
      <c r="AM120" s="113" cm="1">
        <f t="array" ref="AM120">INDEX(R:R, (ROW()-ROW(AM$100)+1)*3)</f>
        <v>46043</v>
      </c>
      <c r="AN120" s="115"/>
      <c r="BI120" s="230" cm="1">
        <f t="array" ref="BI120">INDEX(BJ:BJ, (ROW()-ROW(BI$100)+1)*3)</f>
        <v>78.400000000000006</v>
      </c>
      <c r="BJ120" s="113" cm="1">
        <f t="array" ref="BJ120">INDEX(AO:AO, (ROW()-ROW(BJ$100)+1)*3)</f>
        <v>46074</v>
      </c>
      <c r="BK120" s="115"/>
      <c r="CF120" s="230"/>
      <c r="CG120" s="113" cm="1">
        <f t="array" ref="CG120">INDEX(BL:BL, (ROW()-ROW(CG$100)+1)*3)</f>
        <v>46102</v>
      </c>
    </row>
    <row r="121" spans="38:85" ht="18.75" customHeight="1">
      <c r="AL121" s="230" cm="1">
        <f t="array" ref="AL121">INDEX(AM:AM, (ROW()-ROW(AL$100)+1)*3)</f>
        <v>77.599999999999994</v>
      </c>
      <c r="AM121" s="113" cm="1">
        <f t="array" ref="AM121">INDEX(R:R, (ROW()-ROW(AM$100)+1)*3)</f>
        <v>46044</v>
      </c>
      <c r="AN121" s="115"/>
      <c r="BI121" s="230" cm="1">
        <f t="array" ref="BI121">INDEX(BJ:BJ, (ROW()-ROW(BI$100)+1)*3)</f>
        <v>77.75</v>
      </c>
      <c r="BJ121" s="113" cm="1">
        <f t="array" ref="BJ121">INDEX(AO:AO, (ROW()-ROW(BJ$100)+1)*3)</f>
        <v>46075</v>
      </c>
      <c r="BK121" s="115"/>
      <c r="CF121" s="230"/>
      <c r="CG121" s="113" cm="1">
        <f t="array" ref="CG121">INDEX(BL:BL, (ROW()-ROW(CG$100)+1)*3)</f>
        <v>46103</v>
      </c>
    </row>
    <row r="122" spans="38:85" ht="18.75" customHeight="1">
      <c r="AL122" s="230" cm="1">
        <f t="array" ref="AL122">INDEX(AM:AM, (ROW()-ROW(AL$100)+1)*3)</f>
        <v>78.099999999999994</v>
      </c>
      <c r="AM122" s="113" cm="1">
        <f t="array" ref="AM122">INDEX(R:R, (ROW()-ROW(AM$100)+1)*3)</f>
        <v>46045</v>
      </c>
      <c r="AN122" s="115"/>
      <c r="BI122" s="230" cm="1">
        <f t="array" ref="BI122">INDEX(BJ:BJ, (ROW()-ROW(BI$100)+1)*3)</f>
        <v>77.8</v>
      </c>
      <c r="BJ122" s="113" cm="1">
        <f t="array" ref="BJ122">INDEX(AO:AO, (ROW()-ROW(BJ$100)+1)*3)</f>
        <v>46076</v>
      </c>
      <c r="BK122" s="115"/>
      <c r="CF122" s="230"/>
      <c r="CG122" s="113" cm="1">
        <f t="array" ref="CG122">INDEX(BL:BL, (ROW()-ROW(CG$100)+1)*3)</f>
        <v>46104</v>
      </c>
    </row>
    <row r="123" spans="38:85" ht="18.75" customHeight="1">
      <c r="AL123" s="230" cm="1">
        <f t="array" ref="AL123">INDEX(AM:AM, (ROW()-ROW(AL$100)+1)*3)</f>
        <v>78.099999999999994</v>
      </c>
      <c r="AM123" s="113" cm="1">
        <f t="array" ref="AM123">INDEX(R:R, (ROW()-ROW(AM$100)+1)*3)</f>
        <v>46046</v>
      </c>
      <c r="AN123" s="115"/>
      <c r="BI123" s="230" cm="1">
        <f t="array" ref="BI123">INDEX(BJ:BJ, (ROW()-ROW(BI$100)+1)*3)</f>
        <v>77.8</v>
      </c>
      <c r="BJ123" s="113" cm="1">
        <f t="array" ref="BJ123">INDEX(AO:AO, (ROW()-ROW(BJ$100)+1)*3)</f>
        <v>46077</v>
      </c>
      <c r="BK123" s="115"/>
      <c r="CF123" s="230"/>
      <c r="CG123" s="113" cm="1">
        <f t="array" ref="CG123">INDEX(BL:BL, (ROW()-ROW(CG$100)+1)*3)</f>
        <v>46105</v>
      </c>
    </row>
    <row r="124" spans="38:85" ht="18.75" customHeight="1">
      <c r="AL124" s="230" cm="1">
        <f t="array" ref="AL124">INDEX(AM:AM, (ROW()-ROW(AL$100)+1)*3)</f>
        <v>77</v>
      </c>
      <c r="AM124" s="113" cm="1">
        <f t="array" ref="AM124">INDEX(R:R, (ROW()-ROW(AM$100)+1)*3)</f>
        <v>46047</v>
      </c>
      <c r="AN124" s="115"/>
      <c r="BI124" s="230" cm="1">
        <f t="array" ref="BI124">INDEX(BJ:BJ, (ROW()-ROW(BI$100)+1)*3)</f>
        <v>77.55</v>
      </c>
      <c r="BJ124" s="113" cm="1">
        <f t="array" ref="BJ124">INDEX(AO:AO, (ROW()-ROW(BJ$100)+1)*3)</f>
        <v>46078</v>
      </c>
      <c r="BK124" s="115"/>
      <c r="CF124" s="230"/>
      <c r="CG124" s="113" cm="1">
        <f t="array" ref="CG124">INDEX(BL:BL, (ROW()-ROW(CG$100)+1)*3)</f>
        <v>46106</v>
      </c>
    </row>
    <row r="125" spans="38:85" ht="18.75" customHeight="1">
      <c r="AL125" s="230" cm="1">
        <f t="array" ref="AL125">INDEX(AM:AM, (ROW()-ROW(AL$100)+1)*3)</f>
        <v>77.099999999999994</v>
      </c>
      <c r="AM125" s="113" cm="1">
        <f t="array" ref="AM125">INDEX(R:R, (ROW()-ROW(AM$100)+1)*3)</f>
        <v>46048</v>
      </c>
      <c r="AN125" s="115"/>
      <c r="BI125" s="230" cm="1">
        <f t="array" ref="BI125">INDEX(BJ:BJ, (ROW()-ROW(BI$100)+1)*3)</f>
        <v>78.5</v>
      </c>
      <c r="BJ125" s="113" cm="1">
        <f t="array" ref="BJ125">INDEX(AO:AO, (ROW()-ROW(BJ$100)+1)*3)</f>
        <v>46079</v>
      </c>
      <c r="BK125" s="115"/>
      <c r="CF125" s="230"/>
      <c r="CG125" s="113" cm="1">
        <f t="array" ref="CG125">INDEX(BL:BL, (ROW()-ROW(CG$100)+1)*3)</f>
        <v>46107</v>
      </c>
    </row>
    <row r="126" spans="38:85" ht="18.75" customHeight="1">
      <c r="AL126" s="230" cm="1">
        <f t="array" ref="AL126">INDEX(AM:AM, (ROW()-ROW(AL$100)+1)*3)</f>
        <v>77.2</v>
      </c>
      <c r="AM126" s="113" cm="1">
        <f t="array" ref="AM126">INDEX(R:R, (ROW()-ROW(AM$100)+1)*3)</f>
        <v>46049</v>
      </c>
      <c r="AN126" s="115"/>
      <c r="BI126" s="230" cm="1">
        <f t="array" ref="BI126">INDEX(BJ:BJ, (ROW()-ROW(BI$100)+1)*3)</f>
        <v>78.7</v>
      </c>
      <c r="BJ126" s="113" cm="1">
        <f t="array" ref="BJ126">INDEX(AO:AO, (ROW()-ROW(BJ$100)+1)*3)</f>
        <v>46080</v>
      </c>
      <c r="BK126" s="115"/>
      <c r="CF126" s="230"/>
      <c r="CG126" s="113" cm="1">
        <f t="array" ref="CG126">INDEX(BL:BL, (ROW()-ROW(CG$100)+1)*3)</f>
        <v>46108</v>
      </c>
    </row>
    <row r="127" spans="38:85" ht="18.75" customHeight="1">
      <c r="AL127" s="230" cm="1">
        <f t="array" ref="AL127">INDEX(AM:AM, (ROW()-ROW(AL$100)+1)*3)</f>
        <v>77.3</v>
      </c>
      <c r="AM127" s="113" cm="1">
        <f t="array" ref="AM127">INDEX(R:R, (ROW()-ROW(AM$100)+1)*3)</f>
        <v>46050</v>
      </c>
      <c r="AN127" s="115"/>
      <c r="BI127" s="230"/>
      <c r="BJ127" s="113" cm="1">
        <f t="array" ref="BJ127">INDEX(AO:AO, (ROW()-ROW(BJ$100)+1)*3)</f>
        <v>46081</v>
      </c>
      <c r="BK127" s="115"/>
      <c r="CF127" s="230"/>
      <c r="CG127" s="113" cm="1">
        <f t="array" ref="CG127">INDEX(BL:BL, (ROW()-ROW(CG$100)+1)*3)</f>
        <v>46109</v>
      </c>
    </row>
    <row r="128" spans="38:85" ht="18.75" customHeight="1">
      <c r="AL128" s="230" cm="1">
        <f t="array" ref="AL128">INDEX(AM:AM, (ROW()-ROW(AL$100)+1)*3)</f>
        <v>78.099999999999994</v>
      </c>
      <c r="AM128" s="113" cm="1">
        <f t="array" ref="AM128">INDEX(R:R, (ROW()-ROW(AM$100)+1)*3)</f>
        <v>46051</v>
      </c>
      <c r="AN128" s="115"/>
      <c r="BI128" s="119"/>
      <c r="BJ128" s="120"/>
      <c r="BK128" s="115"/>
      <c r="CF128" s="230"/>
      <c r="CG128" s="113" cm="1">
        <f t="array" ref="CG128">INDEX(BL:BL, (ROW()-ROW(CG$100)+1)*3)</f>
        <v>46110</v>
      </c>
    </row>
    <row r="129" spans="38:85" ht="18.75" customHeight="1">
      <c r="AL129" s="230" cm="1">
        <f t="array" ref="AL129">INDEX(AM:AM, (ROW()-ROW(AL$100)+1)*3)</f>
        <v>78.599999999999994</v>
      </c>
      <c r="AM129" s="113" cm="1">
        <f t="array" ref="AM129">INDEX(R:R, (ROW()-ROW(AM$100)+1)*3)</f>
        <v>46052</v>
      </c>
      <c r="AN129" s="115"/>
      <c r="BI129" s="119"/>
      <c r="BJ129" s="120"/>
      <c r="BK129" s="115"/>
      <c r="CF129" s="230"/>
      <c r="CG129" s="113" cm="1">
        <f t="array" ref="CG129">INDEX(BL:BL, (ROW()-ROW(CG$100)+1)*3)</f>
        <v>46111</v>
      </c>
    </row>
    <row r="130" spans="38:85" ht="18.75" customHeight="1">
      <c r="AL130" s="230" cm="1">
        <f t="array" ref="AL130">INDEX(AM:AM, (ROW()-ROW(AL$100)+1)*3)</f>
        <v>78.599999999999994</v>
      </c>
      <c r="AM130" s="113" cm="1">
        <f t="array" ref="AM130">INDEX(R:R, (ROW()-ROW(AM$100)+1)*3)</f>
        <v>46053</v>
      </c>
      <c r="AN130" s="115"/>
      <c r="BI130" s="119"/>
      <c r="BJ130" s="120"/>
      <c r="BK130" s="115"/>
      <c r="CF130" s="230"/>
      <c r="CG130" s="113" cm="1">
        <f t="array" ref="CG130">INDEX(BL:BL, (ROW()-ROW(CG$100)+1)*3)</f>
        <v>46112</v>
      </c>
    </row>
    <row r="131" spans="38:85" ht="18.75" customHeight="1">
      <c r="AL131" s="111"/>
      <c r="AM131" s="112"/>
      <c r="AN131" s="112"/>
      <c r="BI131" s="111"/>
      <c r="BJ131" s="112"/>
      <c r="BK131" s="115"/>
      <c r="CF131" s="111"/>
      <c r="CG131" s="112"/>
    </row>
    <row r="132" spans="38:85" ht="18.75" customHeight="1">
      <c r="AL132" s="111"/>
      <c r="AM132" s="112"/>
      <c r="AN132" s="112"/>
      <c r="BI132" s="111"/>
      <c r="BJ132" s="112"/>
      <c r="BK132" s="112"/>
      <c r="CF132" s="111"/>
      <c r="CG132" s="112"/>
    </row>
    <row r="133" spans="38:85" ht="18.75" customHeight="1">
      <c r="AL133" s="111"/>
      <c r="AM133" s="112"/>
      <c r="AN133" s="112"/>
      <c r="BI133" s="111"/>
      <c r="BJ133" s="112"/>
      <c r="BK133" s="112"/>
      <c r="CF133" s="111"/>
      <c r="CG133" s="112"/>
    </row>
    <row r="134" spans="38:85" ht="18.75" customHeight="1">
      <c r="AL134" s="111"/>
      <c r="AM134" s="112"/>
      <c r="AN134" s="112"/>
      <c r="BI134" s="111"/>
      <c r="BJ134" s="112"/>
      <c r="BK134" s="112"/>
      <c r="CF134" s="111"/>
      <c r="CG134" s="112"/>
    </row>
    <row r="135" spans="38:85" ht="18.75" customHeight="1">
      <c r="AL135" s="111"/>
      <c r="AM135" s="112"/>
      <c r="AN135" s="112"/>
      <c r="BI135" s="111"/>
      <c r="BJ135" s="112"/>
      <c r="BK135" s="112"/>
      <c r="CF135" s="111"/>
      <c r="CG135" s="112"/>
    </row>
    <row r="136" spans="38:85" ht="18.75" customHeight="1">
      <c r="AL136" s="111"/>
      <c r="AM136" s="112"/>
      <c r="AN136" s="112"/>
      <c r="BI136" s="111"/>
      <c r="BJ136" s="112"/>
      <c r="BK136" s="112"/>
      <c r="CF136" s="111"/>
      <c r="CG136" s="112"/>
    </row>
    <row r="137" spans="38:85" ht="18.75" customHeight="1">
      <c r="AL137" s="111"/>
      <c r="AM137" s="112"/>
      <c r="AN137" s="112"/>
      <c r="BI137" s="111"/>
      <c r="BJ137" s="112"/>
      <c r="BK137" s="112"/>
      <c r="CF137" s="111"/>
      <c r="CG137" s="112"/>
    </row>
    <row r="138" spans="38:85" ht="18.75" customHeight="1">
      <c r="AL138" s="111"/>
      <c r="AM138" s="112"/>
      <c r="AN138" s="112"/>
      <c r="BI138" s="111"/>
      <c r="BJ138" s="112"/>
      <c r="BK138" s="112"/>
      <c r="CF138" s="111"/>
      <c r="CG138" s="112"/>
    </row>
    <row r="139" spans="38:85" ht="18.75" customHeight="1">
      <c r="AL139" s="111"/>
      <c r="AM139" s="112"/>
      <c r="AN139" s="112"/>
      <c r="BI139" s="111"/>
      <c r="BJ139" s="112"/>
      <c r="BK139" s="112"/>
      <c r="CF139" s="111"/>
      <c r="CG139" s="112"/>
    </row>
    <row r="140" spans="38:85" ht="18.75" customHeight="1">
      <c r="AL140" s="111"/>
      <c r="AM140" s="112"/>
      <c r="AN140" s="112"/>
      <c r="BI140" s="111"/>
      <c r="BJ140" s="112"/>
      <c r="BK140" s="112"/>
      <c r="CF140" s="111"/>
      <c r="CG140" s="112"/>
    </row>
    <row r="141" spans="38:85" ht="18.75" customHeight="1">
      <c r="AL141" s="111"/>
      <c r="AM141" s="112"/>
      <c r="AN141" s="112"/>
      <c r="BI141" s="111"/>
      <c r="BJ141" s="112"/>
      <c r="BK141" s="112"/>
      <c r="CF141" s="111"/>
      <c r="CG141" s="112"/>
    </row>
    <row r="142" spans="38:85" ht="18.75" customHeight="1">
      <c r="AL142" s="111"/>
      <c r="AM142" s="112"/>
      <c r="AN142" s="112"/>
      <c r="BI142" s="111"/>
      <c r="BJ142" s="112"/>
      <c r="BK142" s="112"/>
      <c r="CF142" s="111"/>
      <c r="CG142" s="112"/>
    </row>
    <row r="143" spans="38:85" ht="18.75" customHeight="1">
      <c r="AL143" s="111"/>
      <c r="AM143" s="112"/>
      <c r="AN143" s="112"/>
      <c r="BI143" s="111"/>
      <c r="BJ143" s="112"/>
      <c r="BK143" s="112"/>
      <c r="CF143" s="111"/>
      <c r="CG143" s="112"/>
    </row>
    <row r="144" spans="38:85" ht="18.75" customHeight="1">
      <c r="AL144" s="111"/>
      <c r="AM144" s="112"/>
      <c r="AN144" s="112"/>
      <c r="BI144" s="111"/>
      <c r="BJ144" s="112"/>
      <c r="BK144" s="112"/>
      <c r="CF144" s="111"/>
      <c r="CG144" s="112"/>
    </row>
    <row r="145" spans="38:85" ht="18.75" customHeight="1">
      <c r="AL145" s="111"/>
      <c r="AM145" s="112"/>
      <c r="AN145" s="112"/>
      <c r="BI145" s="111"/>
      <c r="BJ145" s="112"/>
      <c r="BK145" s="112"/>
      <c r="CF145" s="111"/>
      <c r="CG145" s="112"/>
    </row>
    <row r="146" spans="38:85" ht="18.75" customHeight="1">
      <c r="AL146" s="111"/>
      <c r="AM146" s="112"/>
      <c r="AN146" s="112"/>
      <c r="BI146" s="111"/>
      <c r="BJ146" s="112"/>
      <c r="BK146" s="112"/>
      <c r="CF146" s="111"/>
      <c r="CG146" s="112"/>
    </row>
    <row r="147" spans="38:85" ht="18.75" customHeight="1">
      <c r="AL147" s="111"/>
      <c r="AM147" s="112"/>
      <c r="AN147" s="112"/>
      <c r="BI147" s="111"/>
      <c r="BJ147" s="112"/>
      <c r="BK147" s="112"/>
      <c r="CF147" s="111"/>
      <c r="CG147" s="112"/>
    </row>
    <row r="148" spans="38:85" ht="18.75" customHeight="1">
      <c r="AL148" s="111"/>
      <c r="AM148" s="112"/>
      <c r="AN148" s="112"/>
      <c r="BI148" s="111"/>
      <c r="BJ148" s="112"/>
      <c r="BK148" s="112"/>
      <c r="CF148" s="111"/>
      <c r="CG148" s="112"/>
    </row>
    <row r="149" spans="38:85" ht="18.75" customHeight="1">
      <c r="AL149" s="111"/>
      <c r="AM149" s="112"/>
      <c r="AN149" s="112"/>
      <c r="BI149" s="111"/>
      <c r="BJ149" s="112"/>
      <c r="BK149" s="112"/>
      <c r="CF149" s="111"/>
      <c r="CG149" s="112"/>
    </row>
    <row r="150" spans="38:85" ht="18.75" customHeight="1">
      <c r="AL150" s="111"/>
      <c r="AM150" s="112"/>
      <c r="AN150" s="112"/>
      <c r="BI150" s="111"/>
      <c r="BJ150" s="112"/>
      <c r="BK150" s="112"/>
      <c r="CF150" s="111"/>
      <c r="CG150" s="112"/>
    </row>
    <row r="151" spans="38:85" ht="18.75" customHeight="1">
      <c r="AL151" s="111"/>
      <c r="AM151" s="112"/>
      <c r="AN151" s="112"/>
      <c r="BI151" s="111"/>
      <c r="BJ151" s="112"/>
      <c r="BK151" s="112"/>
      <c r="CF151" s="111"/>
      <c r="CG151" s="112"/>
    </row>
    <row r="152" spans="38:85" ht="18.75" customHeight="1">
      <c r="AL152" s="111"/>
      <c r="AM152" s="112"/>
      <c r="AN152" s="112"/>
      <c r="BI152" s="111"/>
      <c r="BJ152" s="112"/>
      <c r="BK152" s="112"/>
      <c r="CF152" s="111"/>
      <c r="CG152" s="112"/>
    </row>
    <row r="153" spans="38:85" ht="18.75" customHeight="1">
      <c r="AL153" s="111"/>
      <c r="AM153" s="112"/>
      <c r="AN153" s="112"/>
      <c r="BI153" s="111"/>
      <c r="BJ153" s="112"/>
      <c r="BK153" s="112"/>
      <c r="CF153" s="111"/>
      <c r="CG153" s="112"/>
    </row>
    <row r="154" spans="38:85" ht="18.75" customHeight="1">
      <c r="AL154" s="111"/>
      <c r="AM154" s="112"/>
      <c r="AN154" s="112"/>
      <c r="BI154" s="111"/>
      <c r="BJ154" s="112"/>
      <c r="BK154" s="112"/>
      <c r="CF154" s="111"/>
      <c r="CG154" s="112"/>
    </row>
    <row r="155" spans="38:85" ht="18.75" customHeight="1">
      <c r="AL155" s="111"/>
      <c r="AM155" s="112"/>
      <c r="AN155" s="112"/>
      <c r="BI155" s="111"/>
      <c r="BJ155" s="112"/>
      <c r="BK155" s="112"/>
      <c r="CF155" s="111"/>
      <c r="CG155" s="112"/>
    </row>
    <row r="156" spans="38:85" ht="18.75" customHeight="1">
      <c r="AL156" s="111"/>
      <c r="AM156" s="112"/>
      <c r="AN156" s="112"/>
      <c r="BI156" s="111"/>
      <c r="BJ156" s="112"/>
      <c r="BK156" s="112"/>
      <c r="CF156" s="111"/>
      <c r="CG156" s="112"/>
    </row>
    <row r="157" spans="38:85" ht="18.75" customHeight="1">
      <c r="AL157" s="111"/>
      <c r="AM157" s="112"/>
      <c r="AN157" s="112"/>
      <c r="BI157" s="111"/>
      <c r="BJ157" s="112"/>
      <c r="BK157" s="112"/>
      <c r="CF157" s="111"/>
      <c r="CG157" s="112"/>
    </row>
    <row r="158" spans="38:85" ht="18.75" customHeight="1">
      <c r="AL158" s="111"/>
      <c r="AM158" s="112"/>
      <c r="AN158" s="112"/>
      <c r="BI158" s="111"/>
      <c r="BJ158" s="112"/>
      <c r="BK158" s="112"/>
      <c r="CF158" s="111"/>
      <c r="CG158" s="112"/>
    </row>
    <row r="159" spans="38:85" ht="18.75" customHeight="1">
      <c r="AL159" s="111"/>
      <c r="AM159" s="112"/>
      <c r="AN159" s="112"/>
      <c r="BI159" s="111"/>
      <c r="BJ159" s="112"/>
      <c r="BK159" s="112"/>
      <c r="CF159" s="111"/>
      <c r="CG159" s="112"/>
    </row>
    <row r="160" spans="38:85" ht="18.75" customHeight="1">
      <c r="AL160" s="111"/>
      <c r="AM160" s="112"/>
      <c r="AN160" s="112"/>
      <c r="BI160" s="111"/>
      <c r="BJ160" s="112"/>
      <c r="BK160" s="112"/>
      <c r="CF160" s="111"/>
      <c r="CG160" s="112"/>
    </row>
    <row r="161" spans="38:85" ht="18.75" customHeight="1">
      <c r="AL161" s="111"/>
      <c r="AM161" s="112"/>
      <c r="AN161" s="112"/>
      <c r="BI161" s="111"/>
      <c r="BJ161" s="112"/>
      <c r="BK161" s="112"/>
      <c r="CF161" s="111"/>
      <c r="CG161" s="112"/>
    </row>
    <row r="162" spans="38:85" ht="18.75" customHeight="1">
      <c r="AL162" s="111"/>
      <c r="AM162" s="112"/>
      <c r="AN162" s="112"/>
      <c r="BI162" s="111"/>
      <c r="BJ162" s="112"/>
      <c r="BK162" s="112"/>
      <c r="CF162" s="111"/>
      <c r="CG162" s="112"/>
    </row>
    <row r="163" spans="38:85" ht="18.75" customHeight="1">
      <c r="AL163" s="111"/>
      <c r="AM163" s="112"/>
      <c r="AN163" s="112"/>
      <c r="BI163" s="111"/>
      <c r="BJ163" s="112"/>
      <c r="BK163" s="112"/>
      <c r="CF163" s="111"/>
      <c r="CG163" s="112"/>
    </row>
    <row r="164" spans="38:85" ht="18.75" customHeight="1">
      <c r="AL164" s="111"/>
      <c r="AM164" s="112"/>
      <c r="AN164" s="112"/>
      <c r="BI164" s="111"/>
      <c r="BJ164" s="112"/>
      <c r="BK164" s="112"/>
      <c r="CF164" s="111"/>
      <c r="CG164" s="112"/>
    </row>
    <row r="165" spans="38:85" ht="18.75" customHeight="1">
      <c r="AL165" s="111"/>
      <c r="AM165" s="112"/>
      <c r="AN165" s="112"/>
      <c r="BI165" s="111"/>
      <c r="BJ165" s="112"/>
      <c r="BK165" s="112"/>
      <c r="CF165" s="111"/>
      <c r="CG165" s="112"/>
    </row>
    <row r="166" spans="38:85" ht="18.75" customHeight="1">
      <c r="AL166" s="111"/>
      <c r="AM166" s="112"/>
      <c r="AN166" s="112"/>
      <c r="BI166" s="111"/>
      <c r="BJ166" s="112"/>
      <c r="BK166" s="112"/>
      <c r="CF166" s="111"/>
      <c r="CG166" s="112"/>
    </row>
    <row r="167" spans="38:85" ht="18.75" customHeight="1">
      <c r="AL167" s="111"/>
      <c r="AM167" s="112"/>
      <c r="AN167" s="112"/>
      <c r="BI167" s="111"/>
      <c r="BJ167" s="112"/>
      <c r="BK167" s="112"/>
      <c r="CF167" s="111"/>
      <c r="CG167" s="112"/>
    </row>
    <row r="168" spans="38:85" ht="18.75" customHeight="1">
      <c r="AL168" s="111"/>
      <c r="AM168" s="112"/>
      <c r="AN168" s="112"/>
      <c r="BI168" s="111"/>
      <c r="BJ168" s="112"/>
      <c r="BK168" s="112"/>
      <c r="CF168" s="111"/>
      <c r="CG168" s="112"/>
    </row>
    <row r="169" spans="38:85" ht="18.75" customHeight="1">
      <c r="AL169" s="111"/>
      <c r="AM169" s="112"/>
      <c r="AN169" s="112"/>
      <c r="BI169" s="111"/>
      <c r="BJ169" s="112"/>
      <c r="BK169" s="112"/>
      <c r="CF169" s="111"/>
      <c r="CG169" s="112"/>
    </row>
    <row r="170" spans="38:85" ht="18.75" customHeight="1">
      <c r="AL170" s="111"/>
      <c r="AM170" s="112"/>
      <c r="AN170" s="112"/>
      <c r="BI170" s="111"/>
      <c r="BJ170" s="112"/>
      <c r="BK170" s="112"/>
      <c r="CF170" s="111"/>
      <c r="CG170" s="112"/>
    </row>
    <row r="171" spans="38:85" ht="18.75" customHeight="1">
      <c r="AL171" s="111"/>
      <c r="AM171" s="112"/>
      <c r="AN171" s="112"/>
      <c r="BI171" s="111"/>
      <c r="BJ171" s="112"/>
      <c r="BK171" s="112"/>
      <c r="CF171" s="111"/>
      <c r="CG171" s="112"/>
    </row>
    <row r="172" spans="38:85" ht="18.75" customHeight="1">
      <c r="AL172" s="111"/>
      <c r="AM172" s="112"/>
      <c r="AN172" s="112"/>
      <c r="BI172" s="111"/>
      <c r="BJ172" s="112"/>
      <c r="BK172" s="112"/>
      <c r="CF172" s="111"/>
      <c r="CG172" s="112"/>
    </row>
    <row r="173" spans="38:85" ht="18.75" customHeight="1">
      <c r="AL173" s="111"/>
      <c r="AM173" s="112"/>
      <c r="AN173" s="112"/>
      <c r="BI173" s="111"/>
      <c r="BJ173" s="112"/>
      <c r="BK173" s="112"/>
      <c r="CF173" s="111"/>
      <c r="CG173" s="112"/>
    </row>
    <row r="174" spans="38:85" ht="18.75" customHeight="1">
      <c r="AL174" s="111"/>
      <c r="AM174" s="112"/>
      <c r="AN174" s="112"/>
      <c r="BI174" s="111"/>
      <c r="BJ174" s="112"/>
      <c r="BK174" s="112"/>
      <c r="CF174" s="111"/>
      <c r="CG174" s="112"/>
    </row>
    <row r="175" spans="38:85" ht="18.75" customHeight="1">
      <c r="AL175" s="111"/>
      <c r="AM175" s="112"/>
      <c r="AN175" s="112"/>
      <c r="BI175" s="111"/>
      <c r="BJ175" s="112"/>
      <c r="BK175" s="112"/>
      <c r="CF175" s="111"/>
      <c r="CG175" s="112"/>
    </row>
    <row r="176" spans="38:85" ht="18.75" customHeight="1">
      <c r="AL176" s="111"/>
      <c r="AM176" s="112"/>
      <c r="AN176" s="112"/>
      <c r="BI176" s="111"/>
      <c r="BJ176" s="112"/>
      <c r="BK176" s="112"/>
      <c r="CF176" s="111"/>
      <c r="CG176" s="112"/>
    </row>
    <row r="177" spans="38:85" ht="18.75" customHeight="1">
      <c r="AL177" s="111"/>
      <c r="AM177" s="112"/>
      <c r="AN177" s="112"/>
      <c r="BI177" s="111"/>
      <c r="BJ177" s="112"/>
      <c r="BK177" s="112"/>
      <c r="CF177" s="111"/>
      <c r="CG177" s="112"/>
    </row>
    <row r="178" spans="38:85" ht="18.75" customHeight="1">
      <c r="AL178" s="111"/>
      <c r="AM178" s="112"/>
      <c r="AN178" s="112"/>
      <c r="BI178" s="111"/>
      <c r="BJ178" s="112"/>
      <c r="BK178" s="112"/>
      <c r="CF178" s="111"/>
      <c r="CG178" s="112"/>
    </row>
    <row r="179" spans="38:85" ht="18.75" customHeight="1">
      <c r="AL179" s="111"/>
      <c r="AM179" s="112"/>
      <c r="AN179" s="112"/>
      <c r="BI179" s="111"/>
      <c r="BJ179" s="112"/>
      <c r="BK179" s="112"/>
      <c r="CF179" s="111"/>
      <c r="CG179" s="112"/>
    </row>
    <row r="180" spans="38:85" ht="18.75" customHeight="1">
      <c r="AL180" s="111"/>
      <c r="AM180" s="112"/>
      <c r="AN180" s="112"/>
      <c r="BI180" s="111"/>
      <c r="BJ180" s="112"/>
      <c r="BK180" s="112"/>
      <c r="CF180" s="111"/>
      <c r="CG180" s="112"/>
    </row>
    <row r="181" spans="38:85" ht="18.75" customHeight="1">
      <c r="AL181" s="111"/>
      <c r="AM181" s="112"/>
      <c r="AN181" s="112"/>
      <c r="BI181" s="111"/>
      <c r="BJ181" s="112"/>
      <c r="BK181" s="112"/>
      <c r="CF181" s="111"/>
      <c r="CG181" s="112"/>
    </row>
    <row r="182" spans="38:85" ht="18.75" customHeight="1">
      <c r="AL182" s="111"/>
      <c r="AM182" s="112"/>
      <c r="AN182" s="112"/>
      <c r="BI182" s="111"/>
      <c r="BJ182" s="112"/>
      <c r="BK182" s="112"/>
      <c r="CF182" s="111"/>
      <c r="CG182" s="112"/>
    </row>
    <row r="183" spans="38:85" ht="18.75" customHeight="1">
      <c r="AL183" s="111"/>
      <c r="AM183" s="112"/>
      <c r="AN183" s="112"/>
      <c r="BI183" s="111"/>
      <c r="BJ183" s="112"/>
      <c r="BK183" s="112"/>
      <c r="CF183" s="111"/>
      <c r="CG183" s="112"/>
    </row>
    <row r="184" spans="38:85" ht="18.75" customHeight="1">
      <c r="AL184" s="111"/>
      <c r="AM184" s="112"/>
      <c r="AN184" s="112"/>
      <c r="BI184" s="111"/>
      <c r="BJ184" s="112"/>
      <c r="BK184" s="112"/>
      <c r="CF184" s="111"/>
      <c r="CG184" s="112"/>
    </row>
    <row r="185" spans="38:85" ht="18.75" customHeight="1">
      <c r="AL185" s="111"/>
      <c r="AM185" s="112"/>
      <c r="AN185" s="112"/>
      <c r="BI185" s="111"/>
      <c r="BJ185" s="112"/>
      <c r="BK185" s="112"/>
      <c r="CF185" s="111"/>
      <c r="CG185" s="112"/>
    </row>
    <row r="186" spans="38:85" ht="18.75" customHeight="1">
      <c r="AL186" s="111"/>
      <c r="AM186" s="112"/>
      <c r="AN186" s="112"/>
      <c r="BI186" s="111"/>
      <c r="BJ186" s="112"/>
      <c r="BK186" s="112"/>
      <c r="CF186" s="111"/>
      <c r="CG186" s="112"/>
    </row>
    <row r="187" spans="38:85" ht="18.75" customHeight="1">
      <c r="AL187" s="111"/>
      <c r="AM187" s="112"/>
      <c r="AN187" s="112"/>
      <c r="BI187" s="111"/>
      <c r="BJ187" s="112"/>
      <c r="BK187" s="112"/>
      <c r="CF187" s="111"/>
      <c r="CG187" s="112"/>
    </row>
    <row r="188" spans="38:85" ht="18.75" customHeight="1">
      <c r="AL188" s="111"/>
      <c r="AM188" s="112"/>
      <c r="AN188" s="112"/>
      <c r="BI188" s="111"/>
      <c r="BJ188" s="112"/>
      <c r="BK188" s="112"/>
      <c r="CF188" s="111"/>
      <c r="CG188" s="112"/>
    </row>
    <row r="189" spans="38:85" ht="18.75" customHeight="1">
      <c r="AL189" s="111"/>
      <c r="AM189" s="112"/>
      <c r="AN189" s="112"/>
      <c r="BI189" s="111"/>
      <c r="BJ189" s="112"/>
      <c r="BK189" s="112"/>
      <c r="CF189" s="111"/>
      <c r="CG189" s="112"/>
    </row>
    <row r="190" spans="38:85" ht="18.75" customHeight="1">
      <c r="AL190" s="111"/>
      <c r="AM190" s="112"/>
      <c r="AN190" s="112"/>
      <c r="BI190" s="111"/>
      <c r="BJ190" s="112"/>
      <c r="BK190" s="112"/>
      <c r="CF190" s="111"/>
      <c r="CG190" s="112"/>
    </row>
    <row r="191" spans="38:85" ht="18.75" customHeight="1">
      <c r="AL191" s="111"/>
      <c r="AM191" s="112"/>
      <c r="AN191" s="112"/>
      <c r="BI191" s="111"/>
      <c r="BJ191" s="112"/>
      <c r="BK191" s="112"/>
      <c r="CF191" s="111"/>
      <c r="CG191" s="112"/>
    </row>
    <row r="192" spans="38:85" ht="18.75" customHeight="1">
      <c r="AL192" s="111"/>
      <c r="AM192" s="112"/>
      <c r="AN192" s="112"/>
      <c r="BI192" s="111"/>
      <c r="BJ192" s="112"/>
      <c r="BK192" s="112"/>
      <c r="CF192" s="111"/>
      <c r="CG192" s="112"/>
    </row>
    <row r="193" spans="39:85" ht="18.75" customHeight="1">
      <c r="AM193" s="112"/>
      <c r="AN193" s="112"/>
      <c r="BJ193" s="112"/>
      <c r="BK193" s="112"/>
      <c r="CG193" s="112"/>
    </row>
    <row r="194" spans="39:85" ht="18.75" customHeight="1">
      <c r="AM194" s="112"/>
      <c r="AN194" s="112"/>
      <c r="BJ194" s="112"/>
      <c r="BK194" s="112"/>
      <c r="CG194" s="112"/>
    </row>
    <row r="195" spans="39:85" ht="18.75" customHeight="1">
      <c r="AM195" s="112"/>
      <c r="AN195" s="112"/>
      <c r="BJ195" s="112"/>
      <c r="BK195" s="112"/>
      <c r="CG195" s="112"/>
    </row>
    <row r="196" spans="39:85" ht="18.75" customHeight="1">
      <c r="AM196" s="112"/>
      <c r="AN196" s="112"/>
      <c r="BJ196" s="112"/>
      <c r="BK196" s="112"/>
      <c r="CG196" s="112"/>
    </row>
    <row r="197" spans="39:85" ht="18.75" customHeight="1">
      <c r="AM197" s="112"/>
      <c r="AN197" s="112"/>
      <c r="BJ197" s="112"/>
      <c r="BK197" s="112"/>
      <c r="CG197" s="112"/>
    </row>
    <row r="198" spans="39:85" ht="18.75" customHeight="1">
      <c r="AM198" s="112"/>
      <c r="AN198" s="112"/>
      <c r="BJ198" s="112"/>
      <c r="BK198" s="112"/>
      <c r="CG198" s="112"/>
    </row>
    <row r="199" spans="39:85" ht="18.75" customHeight="1">
      <c r="AM199" s="112"/>
      <c r="AN199" s="112"/>
      <c r="BJ199" s="112"/>
      <c r="BK199" s="112"/>
      <c r="CG199" s="112"/>
    </row>
    <row r="200" spans="39:85" ht="18.75" customHeight="1">
      <c r="AM200" s="112"/>
      <c r="AN200" s="112"/>
      <c r="BJ200" s="112"/>
      <c r="BK200" s="112"/>
      <c r="CG200" s="112"/>
    </row>
    <row r="201" spans="39:85" ht="18.75" customHeight="1">
      <c r="AM201" s="112"/>
      <c r="AN201" s="112"/>
      <c r="BJ201" s="112"/>
      <c r="BK201" s="112"/>
      <c r="CG201" s="112"/>
    </row>
    <row r="202" spans="39:85" ht="18.75" customHeight="1">
      <c r="AM202" s="112"/>
      <c r="AN202" s="112"/>
      <c r="BJ202" s="112"/>
      <c r="BK202" s="112"/>
      <c r="CG202" s="112"/>
    </row>
    <row r="203" spans="39:85" ht="18.75" customHeight="1">
      <c r="AM203" s="112"/>
      <c r="AN203" s="112"/>
      <c r="BJ203" s="112"/>
      <c r="BK203" s="112"/>
      <c r="CG203" s="112"/>
    </row>
    <row r="204" spans="39:85" ht="18.75" customHeight="1">
      <c r="AM204" s="112"/>
      <c r="AN204" s="112"/>
      <c r="BJ204" s="112"/>
      <c r="BK204" s="112"/>
      <c r="CG204" s="112"/>
    </row>
    <row r="205" spans="39:85" ht="18.75" customHeight="1">
      <c r="AM205" s="112"/>
      <c r="AN205" s="112"/>
      <c r="BJ205" s="112"/>
      <c r="BK205" s="112"/>
      <c r="CG205" s="112"/>
    </row>
    <row r="206" spans="39:85" ht="18.75" customHeight="1">
      <c r="AM206" s="112"/>
      <c r="AN206" s="112"/>
      <c r="BJ206" s="112"/>
      <c r="BK206" s="112"/>
      <c r="CG206" s="112"/>
    </row>
    <row r="207" spans="39:85" ht="18.75" customHeight="1">
      <c r="AM207" s="112"/>
      <c r="AN207" s="112"/>
      <c r="BJ207" s="112"/>
      <c r="BK207" s="112"/>
      <c r="CG207" s="112"/>
    </row>
    <row r="208" spans="39:85" ht="18.75" customHeight="1">
      <c r="AM208" s="112"/>
      <c r="AN208" s="112"/>
      <c r="BJ208" s="112"/>
      <c r="BK208" s="112"/>
      <c r="CG208" s="112"/>
    </row>
    <row r="209" spans="39:85" ht="18.75" customHeight="1">
      <c r="AM209" s="112"/>
      <c r="AN209" s="112"/>
      <c r="BJ209" s="112"/>
      <c r="BK209" s="112"/>
      <c r="CG209" s="112"/>
    </row>
    <row r="210" spans="39:85" ht="18.75" customHeight="1">
      <c r="AM210" s="112"/>
      <c r="AN210" s="112"/>
      <c r="BJ210" s="112"/>
      <c r="BK210" s="112"/>
      <c r="CG210" s="112"/>
    </row>
    <row r="211" spans="39:85" ht="18.75" customHeight="1">
      <c r="AM211" s="112"/>
      <c r="AN211" s="112"/>
      <c r="BJ211" s="112"/>
      <c r="BK211" s="112"/>
      <c r="CG211" s="112"/>
    </row>
    <row r="212" spans="39:85" ht="18.75" customHeight="1">
      <c r="AM212" s="112"/>
      <c r="AN212" s="112"/>
      <c r="BJ212" s="112"/>
      <c r="BK212" s="112"/>
      <c r="CG212" s="112"/>
    </row>
    <row r="213" spans="39:85" ht="18.75" customHeight="1">
      <c r="AM213" s="112"/>
      <c r="AN213" s="112"/>
      <c r="BJ213" s="112"/>
      <c r="BK213" s="112"/>
      <c r="CG213" s="112"/>
    </row>
    <row r="214" spans="39:85" ht="18.75" customHeight="1">
      <c r="AM214" s="112"/>
      <c r="AN214" s="112"/>
      <c r="BJ214" s="112"/>
      <c r="BK214" s="112"/>
      <c r="CG214" s="112"/>
    </row>
    <row r="215" spans="39:85" ht="18.75" customHeight="1">
      <c r="AM215" s="112"/>
      <c r="AN215" s="112"/>
      <c r="BJ215" s="112"/>
      <c r="BK215" s="112"/>
      <c r="CG215" s="112"/>
    </row>
    <row r="216" spans="39:85" ht="18.75" customHeight="1">
      <c r="AM216" s="112"/>
      <c r="AN216" s="112"/>
      <c r="BJ216" s="112"/>
      <c r="BK216" s="112"/>
      <c r="CG216" s="112"/>
    </row>
    <row r="217" spans="39:85" ht="18.75" customHeight="1">
      <c r="AM217" s="112"/>
      <c r="AN217" s="112"/>
      <c r="BJ217" s="112"/>
      <c r="BK217" s="112"/>
      <c r="CG217" s="112"/>
    </row>
    <row r="218" spans="39:85" ht="18.75" customHeight="1">
      <c r="AM218" s="112"/>
      <c r="AN218" s="112"/>
      <c r="BJ218" s="112"/>
      <c r="BK218" s="112"/>
      <c r="CG218" s="112"/>
    </row>
    <row r="219" spans="39:85" ht="18.75" customHeight="1">
      <c r="AM219" s="112"/>
      <c r="AN219" s="112"/>
      <c r="BJ219" s="112"/>
      <c r="BK219" s="112"/>
      <c r="CG219" s="112"/>
    </row>
    <row r="220" spans="39:85" ht="18.75" customHeight="1">
      <c r="AM220" s="112"/>
      <c r="AN220" s="112"/>
      <c r="BJ220" s="112"/>
      <c r="BK220" s="112"/>
      <c r="CG220" s="112"/>
    </row>
    <row r="221" spans="39:85" ht="18.75" customHeight="1">
      <c r="AM221" s="112"/>
      <c r="AN221" s="112"/>
      <c r="BJ221" s="112"/>
      <c r="BK221" s="112"/>
      <c r="CG221" s="112"/>
    </row>
    <row r="222" spans="39:85" ht="18.75" customHeight="1">
      <c r="AM222" s="112"/>
      <c r="AN222" s="112"/>
      <c r="BJ222" s="112"/>
      <c r="BK222" s="112"/>
      <c r="CG222" s="112"/>
    </row>
    <row r="223" spans="39:85" ht="18.75" customHeight="1">
      <c r="AM223" s="112"/>
      <c r="AN223" s="112"/>
      <c r="BJ223" s="112"/>
      <c r="BK223" s="112"/>
      <c r="CG223" s="112"/>
    </row>
    <row r="224" spans="39:85" ht="18.75" customHeight="1">
      <c r="AM224" s="112"/>
      <c r="AN224" s="112"/>
      <c r="BJ224" s="112"/>
      <c r="BK224" s="112"/>
      <c r="CG224" s="112"/>
    </row>
    <row r="225" spans="39:85" ht="18.75" customHeight="1">
      <c r="AM225" s="112"/>
      <c r="AN225" s="112"/>
      <c r="BJ225" s="112"/>
      <c r="BK225" s="112"/>
      <c r="CG225" s="112"/>
    </row>
    <row r="226" spans="39:85" ht="18.75" customHeight="1">
      <c r="AM226" s="112"/>
      <c r="AN226" s="112"/>
      <c r="BJ226" s="112"/>
      <c r="BK226" s="112"/>
      <c r="CG226" s="112"/>
    </row>
    <row r="227" spans="39:85" ht="18.75" customHeight="1">
      <c r="AM227" s="112"/>
      <c r="AN227" s="112"/>
      <c r="BJ227" s="112"/>
      <c r="BK227" s="112"/>
      <c r="CG227" s="112"/>
    </row>
    <row r="228" spans="39:85" ht="18.75" customHeight="1">
      <c r="AM228" s="112"/>
      <c r="AN228" s="112"/>
      <c r="BJ228" s="112"/>
      <c r="BK228" s="112"/>
      <c r="CG228" s="112"/>
    </row>
    <row r="229" spans="39:85" ht="18.75" customHeight="1">
      <c r="AM229" s="112"/>
      <c r="AN229" s="112"/>
      <c r="BJ229" s="112"/>
      <c r="BK229" s="112"/>
      <c r="CG229" s="112"/>
    </row>
    <row r="230" spans="39:85" ht="18.75" customHeight="1">
      <c r="AM230" s="112"/>
      <c r="AN230" s="112"/>
      <c r="BJ230" s="112"/>
      <c r="BK230" s="112"/>
      <c r="CG230" s="112"/>
    </row>
    <row r="231" spans="39:85" ht="18.75" customHeight="1">
      <c r="AM231" s="112"/>
      <c r="AN231" s="112"/>
      <c r="BJ231" s="112"/>
      <c r="BK231" s="112"/>
      <c r="CG231" s="112"/>
    </row>
  </sheetData>
  <mergeCells count="1004">
    <mergeCell ref="BI1:BI2"/>
    <mergeCell ref="BJ1:BJ2"/>
    <mergeCell ref="S2:U2"/>
    <mergeCell ref="V2:X2"/>
    <mergeCell ref="Y2:AA2"/>
    <mergeCell ref="AB2:AD2"/>
    <mergeCell ref="AE2:AG2"/>
    <mergeCell ref="K1:P1"/>
    <mergeCell ref="R1:R2"/>
    <mergeCell ref="S1:AJ1"/>
    <mergeCell ref="AK1:AK2"/>
    <mergeCell ref="AL1:AL2"/>
    <mergeCell ref="AM1:AM2"/>
    <mergeCell ref="AH2:AJ2"/>
    <mergeCell ref="AP2:AR2"/>
    <mergeCell ref="AS2:AU2"/>
    <mergeCell ref="AV2:AX2"/>
    <mergeCell ref="AY2:BA2"/>
    <mergeCell ref="BB2:BD2"/>
    <mergeCell ref="BE2:BG2"/>
    <mergeCell ref="AO1:AO2"/>
    <mergeCell ref="AP1:BG1"/>
    <mergeCell ref="BH1:BH2"/>
    <mergeCell ref="A6:A8"/>
    <mergeCell ref="B6:B8"/>
    <mergeCell ref="J6:J8"/>
    <mergeCell ref="P6:P8"/>
    <mergeCell ref="R6:R8"/>
    <mergeCell ref="S6:U6"/>
    <mergeCell ref="BB3:BD3"/>
    <mergeCell ref="BE3:BG3"/>
    <mergeCell ref="BI3:BI4"/>
    <mergeCell ref="BJ3:BJ5"/>
    <mergeCell ref="AK4:AK5"/>
    <mergeCell ref="BH4:BH5"/>
    <mergeCell ref="AM3:AM5"/>
    <mergeCell ref="AO3:AO5"/>
    <mergeCell ref="AP3:AR3"/>
    <mergeCell ref="AS3:AU3"/>
    <mergeCell ref="AV3:AX3"/>
    <mergeCell ref="AY3:BA3"/>
    <mergeCell ref="V3:X3"/>
    <mergeCell ref="Y3:AA3"/>
    <mergeCell ref="AB3:AD3"/>
    <mergeCell ref="AE3:AG3"/>
    <mergeCell ref="AH3:AJ3"/>
    <mergeCell ref="AL3:AL4"/>
    <mergeCell ref="A3:A5"/>
    <mergeCell ref="B3:B5"/>
    <mergeCell ref="J3:J5"/>
    <mergeCell ref="P3:P5"/>
    <mergeCell ref="R3:R5"/>
    <mergeCell ref="S3:U3"/>
    <mergeCell ref="BB6:BD6"/>
    <mergeCell ref="BE6:BG6"/>
    <mergeCell ref="BI6:BI7"/>
    <mergeCell ref="BJ6:BJ8"/>
    <mergeCell ref="AK7:AK8"/>
    <mergeCell ref="BH7:BH8"/>
    <mergeCell ref="AM6:AM8"/>
    <mergeCell ref="AO6:AO8"/>
    <mergeCell ref="AP6:AR6"/>
    <mergeCell ref="AS6:AU6"/>
    <mergeCell ref="AV6:AX6"/>
    <mergeCell ref="AY6:BA6"/>
    <mergeCell ref="V6:X6"/>
    <mergeCell ref="Y6:AA6"/>
    <mergeCell ref="AB6:AD6"/>
    <mergeCell ref="AE6:AG6"/>
    <mergeCell ref="AH6:AJ6"/>
    <mergeCell ref="AL6:AL7"/>
    <mergeCell ref="A10:A11"/>
    <mergeCell ref="B10:B11"/>
    <mergeCell ref="J10:J11"/>
    <mergeCell ref="P10:P11"/>
    <mergeCell ref="AK10:AK11"/>
    <mergeCell ref="BH10:BH11"/>
    <mergeCell ref="AV9:AX9"/>
    <mergeCell ref="AY9:BA9"/>
    <mergeCell ref="BB9:BD9"/>
    <mergeCell ref="BE9:BG9"/>
    <mergeCell ref="BI9:BI10"/>
    <mergeCell ref="BJ9:BJ11"/>
    <mergeCell ref="AH9:AJ9"/>
    <mergeCell ref="AL9:AL10"/>
    <mergeCell ref="AM9:AM11"/>
    <mergeCell ref="AO9:AO11"/>
    <mergeCell ref="AP9:AR9"/>
    <mergeCell ref="AS9:AU9"/>
    <mergeCell ref="R9:R11"/>
    <mergeCell ref="S9:U9"/>
    <mergeCell ref="V9:X9"/>
    <mergeCell ref="Y9:AA9"/>
    <mergeCell ref="AB9:AD9"/>
    <mergeCell ref="AE9:AG9"/>
    <mergeCell ref="A15:A16"/>
    <mergeCell ref="B15:B16"/>
    <mergeCell ref="J15:J16"/>
    <mergeCell ref="P15:P16"/>
    <mergeCell ref="R15:R17"/>
    <mergeCell ref="S15:U15"/>
    <mergeCell ref="BB12:BD12"/>
    <mergeCell ref="BE12:BG12"/>
    <mergeCell ref="BI12:BI13"/>
    <mergeCell ref="BB15:BD15"/>
    <mergeCell ref="BE15:BG15"/>
    <mergeCell ref="BI15:BI16"/>
    <mergeCell ref="BJ12:BJ14"/>
    <mergeCell ref="AK13:AK14"/>
    <mergeCell ref="BH13:BH14"/>
    <mergeCell ref="AM12:AM14"/>
    <mergeCell ref="AO12:AO14"/>
    <mergeCell ref="AP12:AR12"/>
    <mergeCell ref="AS12:AU12"/>
    <mergeCell ref="AV12:AX12"/>
    <mergeCell ref="AY12:BA12"/>
    <mergeCell ref="V12:X12"/>
    <mergeCell ref="Y12:AA12"/>
    <mergeCell ref="AB12:AD12"/>
    <mergeCell ref="AE12:AG12"/>
    <mergeCell ref="AH12:AJ12"/>
    <mergeCell ref="AL12:AL13"/>
    <mergeCell ref="A12:A14"/>
    <mergeCell ref="B12:B14"/>
    <mergeCell ref="J12:J14"/>
    <mergeCell ref="P12:P14"/>
    <mergeCell ref="R12:R14"/>
    <mergeCell ref="S12:U12"/>
    <mergeCell ref="BJ15:BJ17"/>
    <mergeCell ref="AK16:AK17"/>
    <mergeCell ref="BH16:BH17"/>
    <mergeCell ref="AM15:AM17"/>
    <mergeCell ref="AO15:AO17"/>
    <mergeCell ref="AP15:AR15"/>
    <mergeCell ref="AS15:AU15"/>
    <mergeCell ref="AV15:AX15"/>
    <mergeCell ref="AY15:BA15"/>
    <mergeCell ref="V15:X15"/>
    <mergeCell ref="Y15:AA15"/>
    <mergeCell ref="AB15:AD15"/>
    <mergeCell ref="AE15:AG15"/>
    <mergeCell ref="AH15:AJ15"/>
    <mergeCell ref="AL15:AL16"/>
    <mergeCell ref="AV18:AX18"/>
    <mergeCell ref="AY18:BA18"/>
    <mergeCell ref="BB18:BD18"/>
    <mergeCell ref="R18:R20"/>
    <mergeCell ref="S18:U18"/>
    <mergeCell ref="V18:X18"/>
    <mergeCell ref="Y18:AA18"/>
    <mergeCell ref="AB18:AD18"/>
    <mergeCell ref="AE18:AG18"/>
    <mergeCell ref="AV21:AX21"/>
    <mergeCell ref="AY21:BA21"/>
    <mergeCell ref="BB21:BD21"/>
    <mergeCell ref="BE18:BG18"/>
    <mergeCell ref="BI18:BI19"/>
    <mergeCell ref="BJ18:BJ20"/>
    <mergeCell ref="BH19:BH20"/>
    <mergeCell ref="AH18:AJ18"/>
    <mergeCell ref="AL18:AL19"/>
    <mergeCell ref="AM18:AM20"/>
    <mergeCell ref="AO18:AO20"/>
    <mergeCell ref="AP18:AR18"/>
    <mergeCell ref="AS18:AU18"/>
    <mergeCell ref="AK19:AK20"/>
    <mergeCell ref="BE21:BG21"/>
    <mergeCell ref="BI21:BI22"/>
    <mergeCell ref="BJ21:BJ23"/>
    <mergeCell ref="BH22:BH23"/>
    <mergeCell ref="AH21:AJ21"/>
    <mergeCell ref="AL21:AL22"/>
    <mergeCell ref="AM21:AM23"/>
    <mergeCell ref="AO21:AO23"/>
    <mergeCell ref="AP21:AR21"/>
    <mergeCell ref="AS21:AU21"/>
    <mergeCell ref="AK22:AK23"/>
    <mergeCell ref="R21:R23"/>
    <mergeCell ref="S21:U21"/>
    <mergeCell ref="V21:X21"/>
    <mergeCell ref="Y21:AA21"/>
    <mergeCell ref="AB21:AD21"/>
    <mergeCell ref="AE21:AG21"/>
    <mergeCell ref="AV24:AX24"/>
    <mergeCell ref="AY24:BA24"/>
    <mergeCell ref="BB24:BD24"/>
    <mergeCell ref="R24:R26"/>
    <mergeCell ref="S24:U24"/>
    <mergeCell ref="V24:X24"/>
    <mergeCell ref="Y24:AA24"/>
    <mergeCell ref="AB24:AD24"/>
    <mergeCell ref="AE24:AG24"/>
    <mergeCell ref="AV27:AX27"/>
    <mergeCell ref="AY27:BA27"/>
    <mergeCell ref="BB27:BD27"/>
    <mergeCell ref="R27:R29"/>
    <mergeCell ref="S27:U27"/>
    <mergeCell ref="V27:X27"/>
    <mergeCell ref="Y27:AA27"/>
    <mergeCell ref="AB27:AD27"/>
    <mergeCell ref="AE27:AG27"/>
    <mergeCell ref="BE24:BG24"/>
    <mergeCell ref="BI24:BI25"/>
    <mergeCell ref="BJ24:BJ26"/>
    <mergeCell ref="BH25:BH26"/>
    <mergeCell ref="AH24:AJ24"/>
    <mergeCell ref="AL24:AL25"/>
    <mergeCell ref="AM24:AM26"/>
    <mergeCell ref="AO24:AO26"/>
    <mergeCell ref="AP24:AR24"/>
    <mergeCell ref="AS24:AU24"/>
    <mergeCell ref="AK25:AK26"/>
    <mergeCell ref="BE27:BG27"/>
    <mergeCell ref="BI27:BI28"/>
    <mergeCell ref="BJ27:BJ29"/>
    <mergeCell ref="BH28:BH29"/>
    <mergeCell ref="AH27:AJ27"/>
    <mergeCell ref="AL27:AL28"/>
    <mergeCell ref="AM27:AM29"/>
    <mergeCell ref="AO27:AO29"/>
    <mergeCell ref="AP27:AR27"/>
    <mergeCell ref="AS27:AU27"/>
    <mergeCell ref="AK28:AK29"/>
    <mergeCell ref="R30:R32"/>
    <mergeCell ref="S30:U30"/>
    <mergeCell ref="V30:X30"/>
    <mergeCell ref="Y30:AA30"/>
    <mergeCell ref="AB30:AD30"/>
    <mergeCell ref="AE30:AG30"/>
    <mergeCell ref="BI30:BI31"/>
    <mergeCell ref="BJ30:BJ32"/>
    <mergeCell ref="BH31:BH32"/>
    <mergeCell ref="AH30:AJ30"/>
    <mergeCell ref="AL30:AL31"/>
    <mergeCell ref="AM30:AM32"/>
    <mergeCell ref="AO30:AO32"/>
    <mergeCell ref="AK31:AK32"/>
    <mergeCell ref="BB30:BD30"/>
    <mergeCell ref="AY30:BA30"/>
    <mergeCell ref="AV30:AX30"/>
    <mergeCell ref="AS30:AU30"/>
    <mergeCell ref="AP30:AR30"/>
    <mergeCell ref="BE30:BG30"/>
    <mergeCell ref="BE33:BG33"/>
    <mergeCell ref="BI33:BI34"/>
    <mergeCell ref="BJ33:BJ35"/>
    <mergeCell ref="BH34:BH35"/>
    <mergeCell ref="AH33:AJ33"/>
    <mergeCell ref="AL33:AL34"/>
    <mergeCell ref="AM33:AM35"/>
    <mergeCell ref="AO33:AO35"/>
    <mergeCell ref="AP33:AR33"/>
    <mergeCell ref="AS33:AU33"/>
    <mergeCell ref="AK34:AK35"/>
    <mergeCell ref="BB33:BD33"/>
    <mergeCell ref="AY33:BA33"/>
    <mergeCell ref="AV33:AX33"/>
    <mergeCell ref="R33:R35"/>
    <mergeCell ref="S33:U33"/>
    <mergeCell ref="V33:X33"/>
    <mergeCell ref="Y33:AA33"/>
    <mergeCell ref="AB33:AD33"/>
    <mergeCell ref="AE33:AG33"/>
    <mergeCell ref="AV36:AX36"/>
    <mergeCell ref="AY36:BA36"/>
    <mergeCell ref="BB36:BD36"/>
    <mergeCell ref="R36:R38"/>
    <mergeCell ref="S36:U36"/>
    <mergeCell ref="V36:X36"/>
    <mergeCell ref="Y36:AA36"/>
    <mergeCell ref="AB36:AD36"/>
    <mergeCell ref="AE36:AG36"/>
    <mergeCell ref="AV39:AX39"/>
    <mergeCell ref="AY39:BA39"/>
    <mergeCell ref="BB39:BD39"/>
    <mergeCell ref="BE36:BG36"/>
    <mergeCell ref="BI36:BI37"/>
    <mergeCell ref="BJ36:BJ38"/>
    <mergeCell ref="BH37:BH38"/>
    <mergeCell ref="AH36:AJ36"/>
    <mergeCell ref="AL36:AL37"/>
    <mergeCell ref="AM36:AM38"/>
    <mergeCell ref="AO36:AO38"/>
    <mergeCell ref="AP36:AR36"/>
    <mergeCell ref="AS36:AU36"/>
    <mergeCell ref="AK37:AK38"/>
    <mergeCell ref="BE39:BG39"/>
    <mergeCell ref="BI39:BI40"/>
    <mergeCell ref="BJ39:BJ41"/>
    <mergeCell ref="BH40:BH41"/>
    <mergeCell ref="AH39:AJ39"/>
    <mergeCell ref="AL39:AL40"/>
    <mergeCell ref="AM39:AM41"/>
    <mergeCell ref="AO39:AO41"/>
    <mergeCell ref="AP39:AR39"/>
    <mergeCell ref="AS39:AU39"/>
    <mergeCell ref="AK40:AK41"/>
    <mergeCell ref="R39:R41"/>
    <mergeCell ref="S39:U39"/>
    <mergeCell ref="V39:X39"/>
    <mergeCell ref="Y39:AA39"/>
    <mergeCell ref="AB39:AD39"/>
    <mergeCell ref="AE39:AG39"/>
    <mergeCell ref="AV42:AX42"/>
    <mergeCell ref="AY42:BA42"/>
    <mergeCell ref="BB42:BD42"/>
    <mergeCell ref="R42:R44"/>
    <mergeCell ref="S42:U42"/>
    <mergeCell ref="V42:X42"/>
    <mergeCell ref="Y42:AA42"/>
    <mergeCell ref="AB42:AD42"/>
    <mergeCell ref="AE42:AG42"/>
    <mergeCell ref="BE42:BG42"/>
    <mergeCell ref="BI42:BI43"/>
    <mergeCell ref="BJ42:BJ44"/>
    <mergeCell ref="BH43:BH44"/>
    <mergeCell ref="AH42:AJ42"/>
    <mergeCell ref="AL42:AL43"/>
    <mergeCell ref="AM42:AM44"/>
    <mergeCell ref="AO42:AO44"/>
    <mergeCell ref="AP42:AR42"/>
    <mergeCell ref="AS42:AU42"/>
    <mergeCell ref="AK43:AK44"/>
    <mergeCell ref="BE45:BG45"/>
    <mergeCell ref="BI45:BI46"/>
    <mergeCell ref="BJ45:BJ47"/>
    <mergeCell ref="BH46:BH47"/>
    <mergeCell ref="AH45:AJ45"/>
    <mergeCell ref="AL45:AL46"/>
    <mergeCell ref="AM45:AM47"/>
    <mergeCell ref="AO45:AO47"/>
    <mergeCell ref="AP45:AR45"/>
    <mergeCell ref="AS45:AU45"/>
    <mergeCell ref="AK46:AK47"/>
    <mergeCell ref="R45:R47"/>
    <mergeCell ref="S45:U45"/>
    <mergeCell ref="V45:X45"/>
    <mergeCell ref="Y45:AA45"/>
    <mergeCell ref="AB45:AD45"/>
    <mergeCell ref="AE45:AG45"/>
    <mergeCell ref="AV48:AX48"/>
    <mergeCell ref="AY48:BA48"/>
    <mergeCell ref="BB48:BD48"/>
    <mergeCell ref="R48:R50"/>
    <mergeCell ref="S48:U48"/>
    <mergeCell ref="V48:X48"/>
    <mergeCell ref="Y48:AA48"/>
    <mergeCell ref="AB48:AD48"/>
    <mergeCell ref="AE48:AG48"/>
    <mergeCell ref="AV51:AX51"/>
    <mergeCell ref="AY51:BA51"/>
    <mergeCell ref="BB51:BD51"/>
    <mergeCell ref="R51:R53"/>
    <mergeCell ref="S51:U51"/>
    <mergeCell ref="V51:X51"/>
    <mergeCell ref="Y51:AA51"/>
    <mergeCell ref="AB51:AD51"/>
    <mergeCell ref="AE51:AG51"/>
    <mergeCell ref="AV45:AX45"/>
    <mergeCell ref="AY45:BA45"/>
    <mergeCell ref="BB45:BD45"/>
    <mergeCell ref="BE48:BG48"/>
    <mergeCell ref="BI48:BI49"/>
    <mergeCell ref="BJ48:BJ50"/>
    <mergeCell ref="BH49:BH50"/>
    <mergeCell ref="AH48:AJ48"/>
    <mergeCell ref="AL48:AL49"/>
    <mergeCell ref="AM48:AM50"/>
    <mergeCell ref="AO48:AO50"/>
    <mergeCell ref="AP48:AR48"/>
    <mergeCell ref="AS48:AU48"/>
    <mergeCell ref="AK49:AK50"/>
    <mergeCell ref="BE51:BG51"/>
    <mergeCell ref="BI51:BI52"/>
    <mergeCell ref="BJ51:BJ53"/>
    <mergeCell ref="BH52:BH53"/>
    <mergeCell ref="AH51:AJ51"/>
    <mergeCell ref="AL51:AL52"/>
    <mergeCell ref="AM51:AM53"/>
    <mergeCell ref="AO51:AO53"/>
    <mergeCell ref="AP51:AR51"/>
    <mergeCell ref="AS51:AU51"/>
    <mergeCell ref="AK52:AK53"/>
    <mergeCell ref="AV54:AX54"/>
    <mergeCell ref="AY54:BA54"/>
    <mergeCell ref="BB54:BD54"/>
    <mergeCell ref="R54:R56"/>
    <mergeCell ref="S54:U54"/>
    <mergeCell ref="V54:X54"/>
    <mergeCell ref="Y54:AA54"/>
    <mergeCell ref="AB54:AD54"/>
    <mergeCell ref="AE54:AG54"/>
    <mergeCell ref="AV57:AX57"/>
    <mergeCell ref="AY57:BA57"/>
    <mergeCell ref="BB57:BD57"/>
    <mergeCell ref="BE54:BG54"/>
    <mergeCell ref="BI54:BI55"/>
    <mergeCell ref="BJ54:BJ56"/>
    <mergeCell ref="BH55:BH56"/>
    <mergeCell ref="AH54:AJ54"/>
    <mergeCell ref="AL54:AL55"/>
    <mergeCell ref="AM54:AM56"/>
    <mergeCell ref="AO54:AO56"/>
    <mergeCell ref="AP54:AR54"/>
    <mergeCell ref="AS54:AU54"/>
    <mergeCell ref="AK55:AK56"/>
    <mergeCell ref="BE57:BG57"/>
    <mergeCell ref="BI57:BI58"/>
    <mergeCell ref="BJ57:BJ59"/>
    <mergeCell ref="BH58:BH59"/>
    <mergeCell ref="AH57:AJ57"/>
    <mergeCell ref="AL57:AL58"/>
    <mergeCell ref="AM57:AM59"/>
    <mergeCell ref="AO57:AO59"/>
    <mergeCell ref="AP57:AR57"/>
    <mergeCell ref="AS57:AU57"/>
    <mergeCell ref="AK58:AK59"/>
    <mergeCell ref="R57:R59"/>
    <mergeCell ref="S57:U57"/>
    <mergeCell ref="V57:X57"/>
    <mergeCell ref="Y57:AA57"/>
    <mergeCell ref="AB57:AD57"/>
    <mergeCell ref="AE57:AG57"/>
    <mergeCell ref="AV60:AX60"/>
    <mergeCell ref="AY60:BA60"/>
    <mergeCell ref="BB60:BD60"/>
    <mergeCell ref="R60:R62"/>
    <mergeCell ref="S60:U60"/>
    <mergeCell ref="V60:X60"/>
    <mergeCell ref="Y60:AA60"/>
    <mergeCell ref="AB60:AD60"/>
    <mergeCell ref="AE60:AG60"/>
    <mergeCell ref="BE60:BG60"/>
    <mergeCell ref="BI60:BI61"/>
    <mergeCell ref="BJ60:BJ62"/>
    <mergeCell ref="BH61:BH62"/>
    <mergeCell ref="AH60:AJ60"/>
    <mergeCell ref="AL60:AL61"/>
    <mergeCell ref="AM60:AM62"/>
    <mergeCell ref="AO60:AO62"/>
    <mergeCell ref="AP60:AR60"/>
    <mergeCell ref="AS60:AU60"/>
    <mergeCell ref="AK61:AK62"/>
    <mergeCell ref="BE63:BG63"/>
    <mergeCell ref="BI63:BI64"/>
    <mergeCell ref="BJ63:BJ65"/>
    <mergeCell ref="BH64:BH65"/>
    <mergeCell ref="AH63:AJ63"/>
    <mergeCell ref="AL63:AL64"/>
    <mergeCell ref="AM63:AM65"/>
    <mergeCell ref="AO63:AO65"/>
    <mergeCell ref="AP63:AR63"/>
    <mergeCell ref="AS63:AU63"/>
    <mergeCell ref="AK64:AK65"/>
    <mergeCell ref="R63:R65"/>
    <mergeCell ref="S63:U63"/>
    <mergeCell ref="V63:X63"/>
    <mergeCell ref="Y63:AA63"/>
    <mergeCell ref="AB63:AD63"/>
    <mergeCell ref="AE63:AG63"/>
    <mergeCell ref="V66:X66"/>
    <mergeCell ref="Y66:AA66"/>
    <mergeCell ref="AB66:AD66"/>
    <mergeCell ref="AE66:AG66"/>
    <mergeCell ref="AV69:AX69"/>
    <mergeCell ref="AY69:BA69"/>
    <mergeCell ref="BB69:BD69"/>
    <mergeCell ref="BE66:BG66"/>
    <mergeCell ref="BI66:BI67"/>
    <mergeCell ref="BJ66:BJ68"/>
    <mergeCell ref="BH67:BH68"/>
    <mergeCell ref="AH66:AJ66"/>
    <mergeCell ref="AL66:AL67"/>
    <mergeCell ref="AM66:AM68"/>
    <mergeCell ref="AO66:AO68"/>
    <mergeCell ref="AP66:AR66"/>
    <mergeCell ref="AS66:AU66"/>
    <mergeCell ref="AK67:AK68"/>
    <mergeCell ref="AV63:AX63"/>
    <mergeCell ref="AY63:BA63"/>
    <mergeCell ref="BB63:BD63"/>
    <mergeCell ref="AV72:AX72"/>
    <mergeCell ref="AY72:BA72"/>
    <mergeCell ref="BB72:BD72"/>
    <mergeCell ref="R72:R74"/>
    <mergeCell ref="S72:U72"/>
    <mergeCell ref="V72:X72"/>
    <mergeCell ref="Y72:AA72"/>
    <mergeCell ref="AB72:AD72"/>
    <mergeCell ref="AE72:AG72"/>
    <mergeCell ref="AV75:AX75"/>
    <mergeCell ref="AY75:BA75"/>
    <mergeCell ref="BB75:BD75"/>
    <mergeCell ref="BE72:BG72"/>
    <mergeCell ref="BI72:BI73"/>
    <mergeCell ref="BJ72:BJ74"/>
    <mergeCell ref="BH73:BH74"/>
    <mergeCell ref="AH72:AJ72"/>
    <mergeCell ref="AL72:AL73"/>
    <mergeCell ref="AM72:AM74"/>
    <mergeCell ref="AO72:AO74"/>
    <mergeCell ref="AP72:AR72"/>
    <mergeCell ref="AS72:AU72"/>
    <mergeCell ref="AK73:AK74"/>
    <mergeCell ref="BE75:BG75"/>
    <mergeCell ref="BI75:BI76"/>
    <mergeCell ref="BJ75:BJ77"/>
    <mergeCell ref="BH76:BH77"/>
    <mergeCell ref="AH75:AJ75"/>
    <mergeCell ref="AL75:AL76"/>
    <mergeCell ref="AM75:AM77"/>
    <mergeCell ref="AO75:AO77"/>
    <mergeCell ref="AP75:AR75"/>
    <mergeCell ref="AS75:AU75"/>
    <mergeCell ref="AK76:AK77"/>
    <mergeCell ref="R75:R77"/>
    <mergeCell ref="S75:U75"/>
    <mergeCell ref="V75:X75"/>
    <mergeCell ref="Y75:AA75"/>
    <mergeCell ref="AB75:AD75"/>
    <mergeCell ref="AE75:AG75"/>
    <mergeCell ref="AV78:AX78"/>
    <mergeCell ref="AY78:BA78"/>
    <mergeCell ref="BB78:BD78"/>
    <mergeCell ref="R78:R80"/>
    <mergeCell ref="S78:U78"/>
    <mergeCell ref="V78:X78"/>
    <mergeCell ref="Y78:AA78"/>
    <mergeCell ref="AB78:AD78"/>
    <mergeCell ref="AE78:AG78"/>
    <mergeCell ref="AV81:AX81"/>
    <mergeCell ref="AY81:BA81"/>
    <mergeCell ref="BB81:BD81"/>
    <mergeCell ref="BE78:BG78"/>
    <mergeCell ref="BI78:BI79"/>
    <mergeCell ref="BJ78:BJ80"/>
    <mergeCell ref="BH79:BH80"/>
    <mergeCell ref="AH78:AJ78"/>
    <mergeCell ref="AL78:AL79"/>
    <mergeCell ref="AM78:AM80"/>
    <mergeCell ref="AO78:AO80"/>
    <mergeCell ref="AP78:AR78"/>
    <mergeCell ref="AS78:AU78"/>
    <mergeCell ref="AK79:AK80"/>
    <mergeCell ref="BE81:BG81"/>
    <mergeCell ref="BI81:BI82"/>
    <mergeCell ref="BJ81:BJ83"/>
    <mergeCell ref="BH82:BH83"/>
    <mergeCell ref="AH81:AJ81"/>
    <mergeCell ref="AL81:AL82"/>
    <mergeCell ref="AM81:AM83"/>
    <mergeCell ref="AO81:AO83"/>
    <mergeCell ref="AP81:AR81"/>
    <mergeCell ref="AS81:AU81"/>
    <mergeCell ref="AK82:AK83"/>
    <mergeCell ref="R81:R83"/>
    <mergeCell ref="S81:U81"/>
    <mergeCell ref="V81:X81"/>
    <mergeCell ref="Y81:AA81"/>
    <mergeCell ref="AB81:AD81"/>
    <mergeCell ref="AE81:AG81"/>
    <mergeCell ref="AH87:AJ87"/>
    <mergeCell ref="AL87:AL88"/>
    <mergeCell ref="AM87:AM89"/>
    <mergeCell ref="AO87:AO89"/>
    <mergeCell ref="AP87:AR87"/>
    <mergeCell ref="AS87:AU87"/>
    <mergeCell ref="AK88:AK89"/>
    <mergeCell ref="R87:R89"/>
    <mergeCell ref="S87:U87"/>
    <mergeCell ref="V87:X87"/>
    <mergeCell ref="Y87:AA87"/>
    <mergeCell ref="AB87:AD87"/>
    <mergeCell ref="AE87:AG87"/>
    <mergeCell ref="AV84:AX84"/>
    <mergeCell ref="AY84:BA84"/>
    <mergeCell ref="BB84:BD84"/>
    <mergeCell ref="R84:R86"/>
    <mergeCell ref="S84:U84"/>
    <mergeCell ref="V84:X84"/>
    <mergeCell ref="Y84:AA84"/>
    <mergeCell ref="AB84:AD84"/>
    <mergeCell ref="AE84:AG84"/>
    <mergeCell ref="AH84:AJ84"/>
    <mergeCell ref="AL84:AL85"/>
    <mergeCell ref="AM84:AM86"/>
    <mergeCell ref="AO84:AO86"/>
    <mergeCell ref="AP84:AR84"/>
    <mergeCell ref="AS84:AU84"/>
    <mergeCell ref="AK85:AK86"/>
    <mergeCell ref="AH93:AJ93"/>
    <mergeCell ref="AL93:AL94"/>
    <mergeCell ref="AM93:AM95"/>
    <mergeCell ref="AO93:AO95"/>
    <mergeCell ref="AP93:AR93"/>
    <mergeCell ref="AS93:AU93"/>
    <mergeCell ref="AK94:AK95"/>
    <mergeCell ref="R93:R95"/>
    <mergeCell ref="S93:U93"/>
    <mergeCell ref="V93:X93"/>
    <mergeCell ref="Y93:AA93"/>
    <mergeCell ref="AB93:AD93"/>
    <mergeCell ref="AE93:AG93"/>
    <mergeCell ref="AH90:AJ90"/>
    <mergeCell ref="AL90:AL91"/>
    <mergeCell ref="AM90:AM92"/>
    <mergeCell ref="AO90:AO92"/>
    <mergeCell ref="AP90:AR90"/>
    <mergeCell ref="AS90:AU90"/>
    <mergeCell ref="AK91:AK92"/>
    <mergeCell ref="R90:R92"/>
    <mergeCell ref="S90:U90"/>
    <mergeCell ref="V90:X90"/>
    <mergeCell ref="Y90:AA90"/>
    <mergeCell ref="AB90:AD90"/>
    <mergeCell ref="AE90:AG90"/>
    <mergeCell ref="AM96:AM97"/>
    <mergeCell ref="BJ96:BJ97"/>
    <mergeCell ref="CI1:CJ1"/>
    <mergeCell ref="CP1:CQ1"/>
    <mergeCell ref="CI34:CI35"/>
    <mergeCell ref="CK1:CL1"/>
    <mergeCell ref="CK34:CK35"/>
    <mergeCell ref="AV93:AX93"/>
    <mergeCell ref="AY93:BA93"/>
    <mergeCell ref="BB93:BD93"/>
    <mergeCell ref="BE93:BG93"/>
    <mergeCell ref="BI93:BI94"/>
    <mergeCell ref="BJ93:BJ95"/>
    <mergeCell ref="BH94:BH95"/>
    <mergeCell ref="AV90:AX90"/>
    <mergeCell ref="AY90:BA90"/>
    <mergeCell ref="BB90:BD90"/>
    <mergeCell ref="BE90:BG90"/>
    <mergeCell ref="BI90:BI91"/>
    <mergeCell ref="BJ90:BJ92"/>
    <mergeCell ref="BH91:BH92"/>
    <mergeCell ref="AV87:AX87"/>
    <mergeCell ref="AY87:BA87"/>
    <mergeCell ref="BB87:BD87"/>
    <mergeCell ref="BE87:BG87"/>
    <mergeCell ref="BI87:BI88"/>
    <mergeCell ref="BJ87:BJ89"/>
    <mergeCell ref="BH88:BH89"/>
    <mergeCell ref="BE84:BG84"/>
    <mergeCell ref="BI84:BI85"/>
    <mergeCell ref="BJ84:BJ86"/>
    <mergeCell ref="BH85:BH86"/>
    <mergeCell ref="BL1:BL2"/>
    <mergeCell ref="BM1:CD1"/>
    <mergeCell ref="CE1:CE2"/>
    <mergeCell ref="CF1:CF2"/>
    <mergeCell ref="CG1:CG2"/>
    <mergeCell ref="BM2:BO2"/>
    <mergeCell ref="BP2:BR2"/>
    <mergeCell ref="BS2:BU2"/>
    <mergeCell ref="BV2:BX2"/>
    <mergeCell ref="BY2:CA2"/>
    <mergeCell ref="CB2:CD2"/>
    <mergeCell ref="BL6:BL8"/>
    <mergeCell ref="BM6:BO6"/>
    <mergeCell ref="BP6:BR6"/>
    <mergeCell ref="BS6:BU6"/>
    <mergeCell ref="BV6:BX6"/>
    <mergeCell ref="BY6:CA6"/>
    <mergeCell ref="CB6:CD6"/>
    <mergeCell ref="CF6:CF7"/>
    <mergeCell ref="CG6:CG8"/>
    <mergeCell ref="CE7:CE8"/>
    <mergeCell ref="BL3:BL5"/>
    <mergeCell ref="B69:E69"/>
    <mergeCell ref="A19:I19"/>
    <mergeCell ref="A20:I20"/>
    <mergeCell ref="A50:E50"/>
    <mergeCell ref="A61:E61"/>
    <mergeCell ref="B62:E62"/>
    <mergeCell ref="B63:E63"/>
    <mergeCell ref="B64:E64"/>
    <mergeCell ref="B66:E66"/>
    <mergeCell ref="B67:E67"/>
    <mergeCell ref="BE69:BG69"/>
    <mergeCell ref="BI69:BI70"/>
    <mergeCell ref="BJ69:BJ71"/>
    <mergeCell ref="BH70:BH71"/>
    <mergeCell ref="AH69:AJ69"/>
    <mergeCell ref="AL69:AL70"/>
    <mergeCell ref="AM69:AM71"/>
    <mergeCell ref="AO69:AO71"/>
    <mergeCell ref="AP69:AR69"/>
    <mergeCell ref="AS69:AU69"/>
    <mergeCell ref="AK70:AK71"/>
    <mergeCell ref="R69:R71"/>
    <mergeCell ref="S69:U69"/>
    <mergeCell ref="V69:X69"/>
    <mergeCell ref="Y69:AA69"/>
    <mergeCell ref="AB69:AD69"/>
    <mergeCell ref="AE69:AG69"/>
    <mergeCell ref="AV66:AX66"/>
    <mergeCell ref="AY66:BA66"/>
    <mergeCell ref="BB66:BD66"/>
    <mergeCell ref="R66:R68"/>
    <mergeCell ref="S66:U66"/>
    <mergeCell ref="BM3:BO3"/>
    <mergeCell ref="BP3:BR3"/>
    <mergeCell ref="BS3:BU3"/>
    <mergeCell ref="BV3:BX3"/>
    <mergeCell ref="BY3:CA3"/>
    <mergeCell ref="CB3:CD3"/>
    <mergeCell ref="CF3:CF4"/>
    <mergeCell ref="CG3:CG5"/>
    <mergeCell ref="CE4:CE5"/>
    <mergeCell ref="BL12:BL14"/>
    <mergeCell ref="BM12:BO12"/>
    <mergeCell ref="BP12:BR12"/>
    <mergeCell ref="BS12:BU12"/>
    <mergeCell ref="BV12:BX12"/>
    <mergeCell ref="BY12:CA12"/>
    <mergeCell ref="CB12:CD12"/>
    <mergeCell ref="CF12:CF13"/>
    <mergeCell ref="CG12:CG14"/>
    <mergeCell ref="CE13:CE14"/>
    <mergeCell ref="BL9:BL11"/>
    <mergeCell ref="BM9:BO9"/>
    <mergeCell ref="BP9:BR9"/>
    <mergeCell ref="BS9:BU9"/>
    <mergeCell ref="BV9:BX9"/>
    <mergeCell ref="BY9:CA9"/>
    <mergeCell ref="CB9:CD9"/>
    <mergeCell ref="CF9:CF10"/>
    <mergeCell ref="CG9:CG11"/>
    <mergeCell ref="CE10:CE11"/>
    <mergeCell ref="BL18:BL20"/>
    <mergeCell ref="BM18:BO18"/>
    <mergeCell ref="BP18:BR18"/>
    <mergeCell ref="BS18:BU18"/>
    <mergeCell ref="BV18:BX18"/>
    <mergeCell ref="BY18:CA18"/>
    <mergeCell ref="CB18:CD18"/>
    <mergeCell ref="CF18:CF19"/>
    <mergeCell ref="CG18:CG20"/>
    <mergeCell ref="CE19:CE20"/>
    <mergeCell ref="BL15:BL17"/>
    <mergeCell ref="BM15:BO15"/>
    <mergeCell ref="BP15:BR15"/>
    <mergeCell ref="BS15:BU15"/>
    <mergeCell ref="BV15:BX15"/>
    <mergeCell ref="BY15:CA15"/>
    <mergeCell ref="CB15:CD15"/>
    <mergeCell ref="CF15:CF16"/>
    <mergeCell ref="CG15:CG17"/>
    <mergeCell ref="CE16:CE17"/>
    <mergeCell ref="BL24:BL26"/>
    <mergeCell ref="BM24:BO24"/>
    <mergeCell ref="BP24:BR24"/>
    <mergeCell ref="BS24:BU24"/>
    <mergeCell ref="BV24:BX24"/>
    <mergeCell ref="BY24:CA24"/>
    <mergeCell ref="CB24:CD24"/>
    <mergeCell ref="CF24:CF25"/>
    <mergeCell ref="CG24:CG26"/>
    <mergeCell ref="CE25:CE26"/>
    <mergeCell ref="BL21:BL23"/>
    <mergeCell ref="BM21:BO21"/>
    <mergeCell ref="BP21:BR21"/>
    <mergeCell ref="BS21:BU21"/>
    <mergeCell ref="BV21:BX21"/>
    <mergeCell ref="BY21:CA21"/>
    <mergeCell ref="CB21:CD21"/>
    <mergeCell ref="CF21:CF22"/>
    <mergeCell ref="CG21:CG23"/>
    <mergeCell ref="CE22:CE23"/>
    <mergeCell ref="BL30:BL32"/>
    <mergeCell ref="BM30:BO30"/>
    <mergeCell ref="BP30:BR30"/>
    <mergeCell ref="BS30:BU30"/>
    <mergeCell ref="BV30:BX30"/>
    <mergeCell ref="BY30:CA30"/>
    <mergeCell ref="CB30:CD30"/>
    <mergeCell ref="CF30:CF31"/>
    <mergeCell ref="CG30:CG32"/>
    <mergeCell ref="CE31:CE32"/>
    <mergeCell ref="BL27:BL29"/>
    <mergeCell ref="BM27:BO27"/>
    <mergeCell ref="BP27:BR27"/>
    <mergeCell ref="BS27:BU27"/>
    <mergeCell ref="BV27:BX27"/>
    <mergeCell ref="BY27:CA27"/>
    <mergeCell ref="CB27:CD27"/>
    <mergeCell ref="CF27:CF28"/>
    <mergeCell ref="CG27:CG29"/>
    <mergeCell ref="CE28:CE29"/>
    <mergeCell ref="BL36:BL38"/>
    <mergeCell ref="BM36:BO36"/>
    <mergeCell ref="BP36:BR36"/>
    <mergeCell ref="BS36:BU36"/>
    <mergeCell ref="BV36:BX36"/>
    <mergeCell ref="BY36:CA36"/>
    <mergeCell ref="CB36:CD36"/>
    <mergeCell ref="CF36:CF37"/>
    <mergeCell ref="CG36:CG38"/>
    <mergeCell ref="CE37:CE38"/>
    <mergeCell ref="BL33:BL35"/>
    <mergeCell ref="BM33:BO33"/>
    <mergeCell ref="BP33:BR33"/>
    <mergeCell ref="BS33:BU33"/>
    <mergeCell ref="BV33:BX33"/>
    <mergeCell ref="BY33:CA33"/>
    <mergeCell ref="CB33:CD33"/>
    <mergeCell ref="CF33:CF34"/>
    <mergeCell ref="CG33:CG35"/>
    <mergeCell ref="BL42:BL44"/>
    <mergeCell ref="BM42:BO42"/>
    <mergeCell ref="BP42:BR42"/>
    <mergeCell ref="BS42:BU42"/>
    <mergeCell ref="BV42:BX42"/>
    <mergeCell ref="BY42:CA42"/>
    <mergeCell ref="CB42:CD42"/>
    <mergeCell ref="CF42:CF43"/>
    <mergeCell ref="CG42:CG44"/>
    <mergeCell ref="CE43:CE44"/>
    <mergeCell ref="BL39:BL41"/>
    <mergeCell ref="BM39:BO39"/>
    <mergeCell ref="BP39:BR39"/>
    <mergeCell ref="BS39:BU39"/>
    <mergeCell ref="BV39:BX39"/>
    <mergeCell ref="BY39:CA39"/>
    <mergeCell ref="CB39:CD39"/>
    <mergeCell ref="CF39:CF40"/>
    <mergeCell ref="CG39:CG41"/>
    <mergeCell ref="CE40:CE41"/>
    <mergeCell ref="BL48:BL50"/>
    <mergeCell ref="BM48:BO48"/>
    <mergeCell ref="BP48:BR48"/>
    <mergeCell ref="BS48:BU48"/>
    <mergeCell ref="BV48:BX48"/>
    <mergeCell ref="BY48:CA48"/>
    <mergeCell ref="CB48:CD48"/>
    <mergeCell ref="CF48:CF49"/>
    <mergeCell ref="CG48:CG50"/>
    <mergeCell ref="CE49:CE50"/>
    <mergeCell ref="BL45:BL47"/>
    <mergeCell ref="BM45:BO45"/>
    <mergeCell ref="BP45:BR45"/>
    <mergeCell ref="BS45:BU45"/>
    <mergeCell ref="BV45:BX45"/>
    <mergeCell ref="BY45:CA45"/>
    <mergeCell ref="CB45:CD45"/>
    <mergeCell ref="CF45:CF46"/>
    <mergeCell ref="CG45:CG47"/>
    <mergeCell ref="CE46:CE47"/>
    <mergeCell ref="BL54:BL56"/>
    <mergeCell ref="BM54:BO54"/>
    <mergeCell ref="BP54:BR54"/>
    <mergeCell ref="BS54:BU54"/>
    <mergeCell ref="BV54:BX54"/>
    <mergeCell ref="BY54:CA54"/>
    <mergeCell ref="CB54:CD54"/>
    <mergeCell ref="CF54:CF55"/>
    <mergeCell ref="CG54:CG56"/>
    <mergeCell ref="CE55:CE56"/>
    <mergeCell ref="BL51:BL53"/>
    <mergeCell ref="BM51:BO51"/>
    <mergeCell ref="BP51:BR51"/>
    <mergeCell ref="BS51:BU51"/>
    <mergeCell ref="BV51:BX51"/>
    <mergeCell ref="BY51:CA51"/>
    <mergeCell ref="CB51:CD51"/>
    <mergeCell ref="CF51:CF52"/>
    <mergeCell ref="CG51:CG53"/>
    <mergeCell ref="CE52:CE53"/>
    <mergeCell ref="BL60:BL62"/>
    <mergeCell ref="BM60:BO60"/>
    <mergeCell ref="BP60:BR60"/>
    <mergeCell ref="BS60:BU60"/>
    <mergeCell ref="BV60:BX60"/>
    <mergeCell ref="BY60:CA60"/>
    <mergeCell ref="CB60:CD60"/>
    <mergeCell ref="CF60:CF61"/>
    <mergeCell ref="CG60:CG62"/>
    <mergeCell ref="CE61:CE62"/>
    <mergeCell ref="BL57:BL59"/>
    <mergeCell ref="BM57:BO57"/>
    <mergeCell ref="BP57:BR57"/>
    <mergeCell ref="BS57:BU57"/>
    <mergeCell ref="BV57:BX57"/>
    <mergeCell ref="BY57:CA57"/>
    <mergeCell ref="CB57:CD57"/>
    <mergeCell ref="CF57:CF58"/>
    <mergeCell ref="CG57:CG59"/>
    <mergeCell ref="CE58:CE59"/>
    <mergeCell ref="BL66:BL68"/>
    <mergeCell ref="BM66:BO66"/>
    <mergeCell ref="BP66:BR66"/>
    <mergeCell ref="BS66:BU66"/>
    <mergeCell ref="BV66:BX66"/>
    <mergeCell ref="BY66:CA66"/>
    <mergeCell ref="CB66:CD66"/>
    <mergeCell ref="CF66:CF67"/>
    <mergeCell ref="CG66:CG68"/>
    <mergeCell ref="CE67:CE68"/>
    <mergeCell ref="BL63:BL65"/>
    <mergeCell ref="BM63:BO63"/>
    <mergeCell ref="BP63:BR63"/>
    <mergeCell ref="BS63:BU63"/>
    <mergeCell ref="BV63:BX63"/>
    <mergeCell ref="BY63:CA63"/>
    <mergeCell ref="CB63:CD63"/>
    <mergeCell ref="CF63:CF64"/>
    <mergeCell ref="CG63:CG65"/>
    <mergeCell ref="CE64:CE65"/>
    <mergeCell ref="BL72:BL74"/>
    <mergeCell ref="BM72:BO72"/>
    <mergeCell ref="BP72:BR72"/>
    <mergeCell ref="BS72:BU72"/>
    <mergeCell ref="BV72:BX72"/>
    <mergeCell ref="BY72:CA72"/>
    <mergeCell ref="CB72:CD72"/>
    <mergeCell ref="CF72:CF73"/>
    <mergeCell ref="CG72:CG74"/>
    <mergeCell ref="CE73:CE74"/>
    <mergeCell ref="BL69:BL71"/>
    <mergeCell ref="BM69:BO69"/>
    <mergeCell ref="BP69:BR69"/>
    <mergeCell ref="BS69:BU69"/>
    <mergeCell ref="BV69:BX69"/>
    <mergeCell ref="BY69:CA69"/>
    <mergeCell ref="CB69:CD69"/>
    <mergeCell ref="CF69:CF70"/>
    <mergeCell ref="CG69:CG71"/>
    <mergeCell ref="CE70:CE71"/>
    <mergeCell ref="BL78:BL80"/>
    <mergeCell ref="BM78:BO78"/>
    <mergeCell ref="BP78:BR78"/>
    <mergeCell ref="BS78:BU78"/>
    <mergeCell ref="BV78:BX78"/>
    <mergeCell ref="BY78:CA78"/>
    <mergeCell ref="CB78:CD78"/>
    <mergeCell ref="CF78:CF79"/>
    <mergeCell ref="CG78:CG80"/>
    <mergeCell ref="CE79:CE80"/>
    <mergeCell ref="BL75:BL77"/>
    <mergeCell ref="BM75:BO75"/>
    <mergeCell ref="BP75:BR75"/>
    <mergeCell ref="BS75:BU75"/>
    <mergeCell ref="BV75:BX75"/>
    <mergeCell ref="BY75:CA75"/>
    <mergeCell ref="CB75:CD75"/>
    <mergeCell ref="CF75:CF76"/>
    <mergeCell ref="CG75:CG77"/>
    <mergeCell ref="CE76:CE77"/>
    <mergeCell ref="CG87:CG89"/>
    <mergeCell ref="CE88:CE89"/>
    <mergeCell ref="BL84:BL86"/>
    <mergeCell ref="BM84:BO84"/>
    <mergeCell ref="BP84:BR84"/>
    <mergeCell ref="BS84:BU84"/>
    <mergeCell ref="BV84:BX84"/>
    <mergeCell ref="BY84:CA84"/>
    <mergeCell ref="CB84:CD84"/>
    <mergeCell ref="CF84:CF85"/>
    <mergeCell ref="CG84:CG86"/>
    <mergeCell ref="CE85:CE86"/>
    <mergeCell ref="BL81:BL83"/>
    <mergeCell ref="BM81:BO81"/>
    <mergeCell ref="BP81:BR81"/>
    <mergeCell ref="BS81:BU81"/>
    <mergeCell ref="BV81:BX81"/>
    <mergeCell ref="BY81:CA81"/>
    <mergeCell ref="CB81:CD81"/>
    <mergeCell ref="CF81:CF82"/>
    <mergeCell ref="CG81:CG83"/>
    <mergeCell ref="CE82:CE83"/>
    <mergeCell ref="CG96:CG97"/>
    <mergeCell ref="CE34:CE35"/>
    <mergeCell ref="CM1:CN1"/>
    <mergeCell ref="CM34:CM35"/>
    <mergeCell ref="BL93:BL95"/>
    <mergeCell ref="BM93:BO93"/>
    <mergeCell ref="BP93:BR93"/>
    <mergeCell ref="BS93:BU93"/>
    <mergeCell ref="BV93:BX93"/>
    <mergeCell ref="BY93:CA93"/>
    <mergeCell ref="CB93:CD93"/>
    <mergeCell ref="CF93:CF94"/>
    <mergeCell ref="CG93:CG95"/>
    <mergeCell ref="CE94:CE95"/>
    <mergeCell ref="BL90:BL92"/>
    <mergeCell ref="BM90:BO90"/>
    <mergeCell ref="BP90:BR90"/>
    <mergeCell ref="BS90:BU90"/>
    <mergeCell ref="BV90:BX90"/>
    <mergeCell ref="BY90:CA90"/>
    <mergeCell ref="CB90:CD90"/>
    <mergeCell ref="CF90:CF91"/>
    <mergeCell ref="CG90:CG92"/>
    <mergeCell ref="CE91:CE92"/>
    <mergeCell ref="BL87:BL89"/>
    <mergeCell ref="BM87:BO87"/>
    <mergeCell ref="BP87:BR87"/>
    <mergeCell ref="BS87:BU87"/>
    <mergeCell ref="BV87:BX87"/>
    <mergeCell ref="BY87:CA87"/>
    <mergeCell ref="CB87:CD87"/>
    <mergeCell ref="CF87:CF88"/>
  </mergeCells>
  <conditionalFormatting sqref="AK4">
    <cfRule type="cellIs" dxfId="867" priority="5" operator="equal">
      <formula>0</formula>
    </cfRule>
  </conditionalFormatting>
  <conditionalFormatting sqref="AK7">
    <cfRule type="cellIs" dxfId="866" priority="6" operator="equal">
      <formula>0</formula>
    </cfRule>
  </conditionalFormatting>
  <conditionalFormatting sqref="AK10">
    <cfRule type="cellIs" dxfId="865" priority="7" operator="equal">
      <formula>0</formula>
    </cfRule>
  </conditionalFormatting>
  <conditionalFormatting sqref="AK13">
    <cfRule type="cellIs" dxfId="864" priority="8" operator="equal">
      <formula>0</formula>
    </cfRule>
  </conditionalFormatting>
  <conditionalFormatting sqref="AK16">
    <cfRule type="cellIs" dxfId="863" priority="9" operator="equal">
      <formula>0</formula>
    </cfRule>
  </conditionalFormatting>
  <conditionalFormatting sqref="AK19">
    <cfRule type="cellIs" dxfId="862" priority="10" operator="equal">
      <formula>0</formula>
    </cfRule>
  </conditionalFormatting>
  <conditionalFormatting sqref="AK22">
    <cfRule type="cellIs" dxfId="861" priority="11" operator="equal">
      <formula>0</formula>
    </cfRule>
  </conditionalFormatting>
  <conditionalFormatting sqref="AK25">
    <cfRule type="cellIs" dxfId="860" priority="12" operator="equal">
      <formula>0</formula>
    </cfRule>
  </conditionalFormatting>
  <conditionalFormatting sqref="AK28">
    <cfRule type="cellIs" dxfId="859" priority="13" operator="equal">
      <formula>0</formula>
    </cfRule>
  </conditionalFormatting>
  <conditionalFormatting sqref="AK31">
    <cfRule type="cellIs" dxfId="858" priority="14" operator="equal">
      <formula>0</formula>
    </cfRule>
  </conditionalFormatting>
  <conditionalFormatting sqref="AK34">
    <cfRule type="cellIs" dxfId="857" priority="15" operator="equal">
      <formula>0</formula>
    </cfRule>
  </conditionalFormatting>
  <conditionalFormatting sqref="AK37">
    <cfRule type="cellIs" dxfId="856" priority="16" operator="equal">
      <formula>0</formula>
    </cfRule>
  </conditionalFormatting>
  <conditionalFormatting sqref="AK40">
    <cfRule type="cellIs" dxfId="855" priority="17" operator="equal">
      <formula>0</formula>
    </cfRule>
  </conditionalFormatting>
  <conditionalFormatting sqref="AK43">
    <cfRule type="cellIs" dxfId="854" priority="18" operator="equal">
      <formula>0</formula>
    </cfRule>
  </conditionalFormatting>
  <conditionalFormatting sqref="AK46">
    <cfRule type="cellIs" dxfId="853" priority="19" operator="equal">
      <formula>0</formula>
    </cfRule>
  </conditionalFormatting>
  <conditionalFormatting sqref="AK49">
    <cfRule type="cellIs" dxfId="852" priority="20" operator="equal">
      <formula>0</formula>
    </cfRule>
  </conditionalFormatting>
  <conditionalFormatting sqref="AK52">
    <cfRule type="cellIs" dxfId="851" priority="21" operator="equal">
      <formula>0</formula>
    </cfRule>
  </conditionalFormatting>
  <conditionalFormatting sqref="AK55">
    <cfRule type="cellIs" dxfId="850" priority="22" operator="equal">
      <formula>0</formula>
    </cfRule>
  </conditionalFormatting>
  <conditionalFormatting sqref="AK58">
    <cfRule type="cellIs" dxfId="849" priority="23" operator="equal">
      <formula>0</formula>
    </cfRule>
  </conditionalFormatting>
  <conditionalFormatting sqref="AK61">
    <cfRule type="cellIs" dxfId="848" priority="24" operator="equal">
      <formula>0</formula>
    </cfRule>
  </conditionalFormatting>
  <conditionalFormatting sqref="AK64">
    <cfRule type="cellIs" dxfId="847" priority="25" operator="equal">
      <formula>0</formula>
    </cfRule>
  </conditionalFormatting>
  <conditionalFormatting sqref="AK67">
    <cfRule type="cellIs" dxfId="846" priority="26" operator="equal">
      <formula>0</formula>
    </cfRule>
  </conditionalFormatting>
  <conditionalFormatting sqref="AK70">
    <cfRule type="cellIs" dxfId="845" priority="27" operator="equal">
      <formula>0</formula>
    </cfRule>
  </conditionalFormatting>
  <conditionalFormatting sqref="AK73">
    <cfRule type="cellIs" dxfId="844" priority="28" operator="equal">
      <formula>0</formula>
    </cfRule>
  </conditionalFormatting>
  <conditionalFormatting sqref="AK76">
    <cfRule type="cellIs" dxfId="843" priority="29" operator="equal">
      <formula>0</formula>
    </cfRule>
  </conditionalFormatting>
  <conditionalFormatting sqref="AK79">
    <cfRule type="cellIs" dxfId="842" priority="30" operator="equal">
      <formula>0</formula>
    </cfRule>
  </conditionalFormatting>
  <conditionalFormatting sqref="AK82">
    <cfRule type="cellIs" dxfId="841" priority="31" operator="equal">
      <formula>0</formula>
    </cfRule>
  </conditionalFormatting>
  <conditionalFormatting sqref="AK85">
    <cfRule type="cellIs" dxfId="840" priority="32" operator="equal">
      <formula>0</formula>
    </cfRule>
  </conditionalFormatting>
  <conditionalFormatting sqref="AK88">
    <cfRule type="cellIs" dxfId="839" priority="33" operator="equal">
      <formula>0</formula>
    </cfRule>
  </conditionalFormatting>
  <conditionalFormatting sqref="AK91">
    <cfRule type="cellIs" dxfId="838" priority="34" operator="equal">
      <formula>0</formula>
    </cfRule>
  </conditionalFormatting>
  <conditionalFormatting sqref="AK94">
    <cfRule type="cellIs" dxfId="837" priority="35" operator="equal">
      <formula>0</formula>
    </cfRule>
  </conditionalFormatting>
  <conditionalFormatting sqref="AM6:AN95 CG6:CG95">
    <cfRule type="cellIs" dxfId="836" priority="3" operator="lessThan">
      <formula>AM3</formula>
    </cfRule>
    <cfRule type="cellIs" dxfId="835" priority="4" operator="greaterThan">
      <formula>AM3</formula>
    </cfRule>
  </conditionalFormatting>
  <conditionalFormatting sqref="BH4">
    <cfRule type="cellIs" dxfId="834" priority="36" operator="equal">
      <formula>0</formula>
    </cfRule>
  </conditionalFormatting>
  <conditionalFormatting sqref="BH7">
    <cfRule type="cellIs" dxfId="833" priority="37" operator="equal">
      <formula>0</formula>
    </cfRule>
  </conditionalFormatting>
  <conditionalFormatting sqref="BH10">
    <cfRule type="cellIs" dxfId="832" priority="38" operator="equal">
      <formula>0</formula>
    </cfRule>
  </conditionalFormatting>
  <conditionalFormatting sqref="BH13">
    <cfRule type="cellIs" dxfId="831" priority="39" operator="equal">
      <formula>0</formula>
    </cfRule>
  </conditionalFormatting>
  <conditionalFormatting sqref="BH16">
    <cfRule type="cellIs" dxfId="830" priority="40" operator="equal">
      <formula>0</formula>
    </cfRule>
  </conditionalFormatting>
  <conditionalFormatting sqref="BH19">
    <cfRule type="cellIs" dxfId="829" priority="41" operator="equal">
      <formula>0</formula>
    </cfRule>
  </conditionalFormatting>
  <conditionalFormatting sqref="BH22">
    <cfRule type="cellIs" dxfId="828" priority="42" operator="equal">
      <formula>0</formula>
    </cfRule>
  </conditionalFormatting>
  <conditionalFormatting sqref="BH25">
    <cfRule type="cellIs" dxfId="827" priority="43" operator="equal">
      <formula>0</formula>
    </cfRule>
  </conditionalFormatting>
  <conditionalFormatting sqref="BH28">
    <cfRule type="cellIs" dxfId="826" priority="44" operator="equal">
      <formula>0</formula>
    </cfRule>
  </conditionalFormatting>
  <conditionalFormatting sqref="BH31">
    <cfRule type="cellIs" dxfId="825" priority="45" operator="equal">
      <formula>0</formula>
    </cfRule>
  </conditionalFormatting>
  <conditionalFormatting sqref="BH34">
    <cfRule type="cellIs" dxfId="824" priority="46" operator="equal">
      <formula>0</formula>
    </cfRule>
  </conditionalFormatting>
  <conditionalFormatting sqref="BH37">
    <cfRule type="cellIs" dxfId="823" priority="47" operator="equal">
      <formula>0</formula>
    </cfRule>
  </conditionalFormatting>
  <conditionalFormatting sqref="BH40">
    <cfRule type="cellIs" dxfId="822" priority="48" operator="equal">
      <formula>0</formula>
    </cfRule>
  </conditionalFormatting>
  <conditionalFormatting sqref="BH43">
    <cfRule type="cellIs" dxfId="821" priority="49" operator="equal">
      <formula>0</formula>
    </cfRule>
  </conditionalFormatting>
  <conditionalFormatting sqref="BH46">
    <cfRule type="cellIs" dxfId="820" priority="50" operator="equal">
      <formula>0</formula>
    </cfRule>
  </conditionalFormatting>
  <conditionalFormatting sqref="BH49">
    <cfRule type="cellIs" dxfId="819" priority="51" operator="equal">
      <formula>0</formula>
    </cfRule>
  </conditionalFormatting>
  <conditionalFormatting sqref="BH52">
    <cfRule type="cellIs" dxfId="818" priority="52" operator="equal">
      <formula>0</formula>
    </cfRule>
  </conditionalFormatting>
  <conditionalFormatting sqref="BH55">
    <cfRule type="cellIs" dxfId="817" priority="53" operator="equal">
      <formula>0</formula>
    </cfRule>
  </conditionalFormatting>
  <conditionalFormatting sqref="BH58">
    <cfRule type="cellIs" dxfId="816" priority="54" operator="equal">
      <formula>0</formula>
    </cfRule>
  </conditionalFormatting>
  <conditionalFormatting sqref="BH61">
    <cfRule type="cellIs" dxfId="815" priority="55" operator="equal">
      <formula>0</formula>
    </cfRule>
  </conditionalFormatting>
  <conditionalFormatting sqref="BH64">
    <cfRule type="cellIs" dxfId="814" priority="56" operator="equal">
      <formula>0</formula>
    </cfRule>
  </conditionalFormatting>
  <conditionalFormatting sqref="BH67">
    <cfRule type="cellIs" dxfId="813" priority="57" operator="equal">
      <formula>0</formula>
    </cfRule>
  </conditionalFormatting>
  <conditionalFormatting sqref="BH70">
    <cfRule type="cellIs" dxfId="812" priority="58" operator="equal">
      <formula>0</formula>
    </cfRule>
  </conditionalFormatting>
  <conditionalFormatting sqref="BH73">
    <cfRule type="cellIs" dxfId="811" priority="59" operator="equal">
      <formula>0</formula>
    </cfRule>
  </conditionalFormatting>
  <conditionalFormatting sqref="BH76">
    <cfRule type="cellIs" dxfId="810" priority="60" operator="equal">
      <formula>0</formula>
    </cfRule>
  </conditionalFormatting>
  <conditionalFormatting sqref="BH79">
    <cfRule type="cellIs" dxfId="809" priority="61" operator="equal">
      <formula>0</formula>
    </cfRule>
  </conditionalFormatting>
  <conditionalFormatting sqref="BH82">
    <cfRule type="cellIs" dxfId="808" priority="62" operator="equal">
      <formula>0</formula>
    </cfRule>
  </conditionalFormatting>
  <conditionalFormatting sqref="BH85">
    <cfRule type="cellIs" dxfId="807" priority="63" operator="equal">
      <formula>0</formula>
    </cfRule>
  </conditionalFormatting>
  <conditionalFormatting sqref="BH88">
    <cfRule type="cellIs" dxfId="806" priority="64" operator="equal">
      <formula>0</formula>
    </cfRule>
  </conditionalFormatting>
  <conditionalFormatting sqref="BH91">
    <cfRule type="cellIs" dxfId="805" priority="65" operator="equal">
      <formula>0</formula>
    </cfRule>
  </conditionalFormatting>
  <conditionalFormatting sqref="BH94">
    <cfRule type="cellIs" dxfId="804" priority="66" operator="equal">
      <formula>0</formula>
    </cfRule>
  </conditionalFormatting>
  <conditionalFormatting sqref="BJ6:BK95">
    <cfRule type="cellIs" dxfId="803" priority="1" operator="lessThan">
      <formula>BJ3</formula>
    </cfRule>
    <cfRule type="cellIs" dxfId="802" priority="2" operator="greaterThan">
      <formula>BJ3</formula>
    </cfRule>
  </conditionalFormatting>
  <conditionalFormatting sqref="CE4">
    <cfRule type="cellIs" dxfId="801" priority="67" operator="equal">
      <formula>0</formula>
    </cfRule>
  </conditionalFormatting>
  <conditionalFormatting sqref="CE7">
    <cfRule type="cellIs" dxfId="800" priority="68" operator="equal">
      <formula>0</formula>
    </cfRule>
  </conditionalFormatting>
  <conditionalFormatting sqref="CE10">
    <cfRule type="cellIs" dxfId="799" priority="69" operator="equal">
      <formula>0</formula>
    </cfRule>
  </conditionalFormatting>
  <conditionalFormatting sqref="CE13">
    <cfRule type="cellIs" dxfId="798" priority="70" operator="equal">
      <formula>0</formula>
    </cfRule>
  </conditionalFormatting>
  <conditionalFormatting sqref="CE16">
    <cfRule type="cellIs" dxfId="797" priority="71" operator="equal">
      <formula>0</formula>
    </cfRule>
  </conditionalFormatting>
  <conditionalFormatting sqref="CE19">
    <cfRule type="cellIs" dxfId="796" priority="72" operator="equal">
      <formula>0</formula>
    </cfRule>
  </conditionalFormatting>
  <conditionalFormatting sqref="CE22">
    <cfRule type="cellIs" dxfId="795" priority="73" operator="equal">
      <formula>0</formula>
    </cfRule>
  </conditionalFormatting>
  <conditionalFormatting sqref="CE25">
    <cfRule type="cellIs" dxfId="794" priority="74" operator="equal">
      <formula>0</formula>
    </cfRule>
  </conditionalFormatting>
  <conditionalFormatting sqref="CE28">
    <cfRule type="cellIs" dxfId="793" priority="75" operator="equal">
      <formula>0</formula>
    </cfRule>
  </conditionalFormatting>
  <conditionalFormatting sqref="CE31">
    <cfRule type="cellIs" dxfId="792" priority="76" operator="equal">
      <formula>0</formula>
    </cfRule>
  </conditionalFormatting>
  <conditionalFormatting sqref="CE34">
    <cfRule type="cellIs" dxfId="791" priority="77" operator="equal">
      <formula>0</formula>
    </cfRule>
  </conditionalFormatting>
  <conditionalFormatting sqref="CE37">
    <cfRule type="cellIs" dxfId="790" priority="78" operator="equal">
      <formula>0</formula>
    </cfRule>
  </conditionalFormatting>
  <conditionalFormatting sqref="CE40">
    <cfRule type="cellIs" dxfId="789" priority="79" operator="equal">
      <formula>0</formula>
    </cfRule>
  </conditionalFormatting>
  <conditionalFormatting sqref="CE43">
    <cfRule type="cellIs" dxfId="788" priority="80" operator="equal">
      <formula>0</formula>
    </cfRule>
  </conditionalFormatting>
  <conditionalFormatting sqref="CE46">
    <cfRule type="cellIs" dxfId="787" priority="81" operator="equal">
      <formula>0</formula>
    </cfRule>
  </conditionalFormatting>
  <conditionalFormatting sqref="CE49">
    <cfRule type="cellIs" dxfId="786" priority="82" operator="equal">
      <formula>0</formula>
    </cfRule>
  </conditionalFormatting>
  <conditionalFormatting sqref="CE52">
    <cfRule type="cellIs" dxfId="785" priority="83" operator="equal">
      <formula>0</formula>
    </cfRule>
  </conditionalFormatting>
  <conditionalFormatting sqref="CE55">
    <cfRule type="cellIs" dxfId="784" priority="84" operator="equal">
      <formula>0</formula>
    </cfRule>
  </conditionalFormatting>
  <conditionalFormatting sqref="CE58">
    <cfRule type="cellIs" dxfId="783" priority="85" operator="equal">
      <formula>0</formula>
    </cfRule>
  </conditionalFormatting>
  <conditionalFormatting sqref="CE61">
    <cfRule type="cellIs" dxfId="782" priority="86" operator="equal">
      <formula>0</formula>
    </cfRule>
  </conditionalFormatting>
  <conditionalFormatting sqref="CE64">
    <cfRule type="cellIs" dxfId="781" priority="87" operator="equal">
      <formula>0</formula>
    </cfRule>
  </conditionalFormatting>
  <conditionalFormatting sqref="CE67">
    <cfRule type="cellIs" dxfId="780" priority="88" operator="equal">
      <formula>0</formula>
    </cfRule>
  </conditionalFormatting>
  <conditionalFormatting sqref="CE70">
    <cfRule type="cellIs" dxfId="779" priority="89" operator="equal">
      <formula>0</formula>
    </cfRule>
  </conditionalFormatting>
  <conditionalFormatting sqref="CE73">
    <cfRule type="cellIs" dxfId="778" priority="90" operator="equal">
      <formula>0</formula>
    </cfRule>
  </conditionalFormatting>
  <conditionalFormatting sqref="CE76">
    <cfRule type="cellIs" dxfId="777" priority="91" operator="equal">
      <formula>0</formula>
    </cfRule>
  </conditionalFormatting>
  <conditionalFormatting sqref="CE79">
    <cfRule type="cellIs" dxfId="776" priority="92" operator="equal">
      <formula>0</formula>
    </cfRule>
  </conditionalFormatting>
  <conditionalFormatting sqref="CE82">
    <cfRule type="cellIs" dxfId="775" priority="93" operator="equal">
      <formula>0</formula>
    </cfRule>
  </conditionalFormatting>
  <conditionalFormatting sqref="CE85">
    <cfRule type="cellIs" dxfId="774" priority="94" operator="equal">
      <formula>0</formula>
    </cfRule>
  </conditionalFormatting>
  <conditionalFormatting sqref="CE88">
    <cfRule type="cellIs" dxfId="773" priority="95" operator="equal">
      <formula>0</formula>
    </cfRule>
  </conditionalFormatting>
  <conditionalFormatting sqref="CE91">
    <cfRule type="cellIs" dxfId="772" priority="96" operator="equal">
      <formula>0</formula>
    </cfRule>
  </conditionalFormatting>
  <conditionalFormatting sqref="CE94">
    <cfRule type="cellIs" dxfId="771" priority="97" operator="equal">
      <formula>0</formula>
    </cfRule>
  </conditionalFormatting>
  <pageMargins left="0.7" right="0.7" top="0.75" bottom="0.75" header="0.3" footer="0.3"/>
  <pageSetup paperSize="9" orientation="portrait" r:id="rId1"/>
  <ignoredErrors>
    <ignoredError sqref="BI21 AL24 AL30 AL39 BI42 AL51 BI54 BI57 BI60 BI63 BI66 BI69 AL72 BI72 BI75 BI78 BI81 BI84 AL93 AL3 AL6 AL9 AL12" formulaRange="1"/>
  </ignoredError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sheetPr>
  <dimension ref="A1:Y548"/>
  <sheetViews>
    <sheetView zoomScale="55" zoomScaleNormal="55" workbookViewId="0">
      <pane ySplit="4" topLeftCell="A429" activePane="bottomLeft" state="frozen"/>
      <selection activeCell="T1" sqref="T1"/>
      <selection pane="bottomLeft" activeCell="O532" sqref="O532"/>
    </sheetView>
  </sheetViews>
  <sheetFormatPr defaultColWidth="9.140625" defaultRowHeight="15.75"/>
  <cols>
    <col min="1" max="1" width="20.5703125" style="134" customWidth="1"/>
    <col min="2" max="2" width="20.5703125" style="134" bestFit="1" customWidth="1"/>
    <col min="3" max="3" width="7.140625" style="134" bestFit="1" customWidth="1"/>
    <col min="4" max="4" width="9.140625" style="134" bestFit="1"/>
    <col min="5" max="5" width="45.42578125" style="170" bestFit="1" customWidth="1"/>
    <col min="6" max="6" width="10.42578125" style="171" bestFit="1" customWidth="1"/>
    <col min="7" max="7" width="13.7109375" style="172" bestFit="1" customWidth="1"/>
    <col min="8" max="8" width="15.42578125" style="170" customWidth="1"/>
    <col min="9" max="9" width="10.85546875" style="170" bestFit="1" customWidth="1"/>
    <col min="10" max="10" width="7" style="170" bestFit="1" customWidth="1"/>
    <col min="11" max="11" width="9.5703125" style="170" bestFit="1" customWidth="1"/>
    <col min="12" max="12" width="8.85546875" style="170" bestFit="1" customWidth="1"/>
    <col min="13" max="13" width="7" style="134" customWidth="1"/>
    <col min="14" max="14" width="13.28515625" style="134" customWidth="1"/>
    <col min="15" max="15" width="14.85546875" style="134" bestFit="1" customWidth="1"/>
    <col min="16" max="16" width="10.85546875" style="134" bestFit="1" customWidth="1"/>
    <col min="17" max="17" width="45.42578125" style="134" bestFit="1" customWidth="1"/>
    <col min="18" max="18" width="8.42578125" style="134" bestFit="1" customWidth="1"/>
    <col min="19" max="19" width="11.5703125" style="134" bestFit="1" customWidth="1"/>
    <col min="20" max="20" width="15.42578125" style="134" bestFit="1" customWidth="1"/>
    <col min="21" max="21" width="10.85546875" style="134" bestFit="1" customWidth="1"/>
    <col min="22" max="22" width="7" style="134" bestFit="1" customWidth="1"/>
    <col min="23" max="23" width="9.5703125" style="134" bestFit="1" customWidth="1"/>
    <col min="24" max="24" width="8.85546875" style="134" bestFit="1" customWidth="1"/>
    <col min="25" max="25" width="6.85546875" style="134" bestFit="1" customWidth="1"/>
    <col min="26" max="16384" width="9.140625" style="134"/>
  </cols>
  <sheetData>
    <row r="1" spans="1:25" ht="22.5">
      <c r="A1" s="135" t="s">
        <v>158</v>
      </c>
      <c r="E1" s="134"/>
      <c r="F1" s="134"/>
      <c r="G1" s="134"/>
      <c r="H1" s="134"/>
      <c r="I1" s="134"/>
      <c r="J1" s="134"/>
      <c r="K1" s="134"/>
      <c r="L1" s="134"/>
    </row>
    <row r="2" spans="1:25" ht="22.5">
      <c r="A2" s="135"/>
      <c r="E2" s="134"/>
      <c r="F2" s="134"/>
      <c r="G2" s="134"/>
      <c r="H2" s="134"/>
      <c r="I2" s="134"/>
      <c r="J2" s="134"/>
      <c r="K2" s="134"/>
      <c r="L2" s="134"/>
    </row>
    <row r="3" spans="1:25" ht="19.5">
      <c r="A3" s="136" t="s">
        <v>159</v>
      </c>
      <c r="E3" s="136" t="s">
        <v>160</v>
      </c>
      <c r="F3" s="137"/>
      <c r="G3" s="137"/>
      <c r="H3" s="137"/>
      <c r="I3" s="137"/>
      <c r="J3" s="137"/>
      <c r="K3" s="137"/>
      <c r="L3" s="137"/>
      <c r="M3" s="137"/>
      <c r="N3" s="136" t="s">
        <v>161</v>
      </c>
      <c r="O3" s="137"/>
      <c r="P3" s="137"/>
      <c r="Q3" s="137"/>
      <c r="R3" s="137"/>
      <c r="S3" s="137"/>
      <c r="T3" s="137"/>
      <c r="U3" s="137"/>
      <c r="V3" s="137"/>
      <c r="W3" s="137"/>
      <c r="X3" s="137"/>
    </row>
    <row r="4" spans="1:25" ht="22.5">
      <c r="A4" s="138" t="s">
        <v>162</v>
      </c>
      <c r="B4" s="139"/>
      <c r="C4" s="140"/>
      <c r="E4" s="141" t="s">
        <v>163</v>
      </c>
      <c r="F4" s="141" t="s">
        <v>164</v>
      </c>
      <c r="G4" s="141" t="s">
        <v>165</v>
      </c>
      <c r="H4" s="141" t="s">
        <v>166</v>
      </c>
      <c r="I4" s="141" t="s">
        <v>167</v>
      </c>
      <c r="J4" s="141" t="s">
        <v>168</v>
      </c>
      <c r="K4" s="141" t="s">
        <v>169</v>
      </c>
      <c r="L4" s="141" t="s">
        <v>170</v>
      </c>
      <c r="M4" s="137"/>
      <c r="N4" s="141" t="s">
        <v>1</v>
      </c>
      <c r="O4" s="141" t="s">
        <v>171</v>
      </c>
      <c r="P4" s="141" t="s">
        <v>172</v>
      </c>
      <c r="Q4" s="141" t="s">
        <v>163</v>
      </c>
      <c r="R4" s="141" t="s">
        <v>164</v>
      </c>
      <c r="S4" s="141" t="s">
        <v>165</v>
      </c>
      <c r="T4" s="141" t="s">
        <v>166</v>
      </c>
      <c r="U4" s="141" t="s">
        <v>167</v>
      </c>
      <c r="V4" s="142" t="s">
        <v>168</v>
      </c>
      <c r="W4" s="142" t="s">
        <v>169</v>
      </c>
      <c r="X4" s="142" t="s">
        <v>170</v>
      </c>
      <c r="Y4" s="142" t="s">
        <v>173</v>
      </c>
    </row>
    <row r="5" spans="1:25">
      <c r="A5" s="143" t="s">
        <v>174</v>
      </c>
      <c r="B5" s="143" t="s">
        <v>175</v>
      </c>
      <c r="C5" s="143" t="s">
        <v>165</v>
      </c>
      <c r="D5" s="144"/>
      <c r="E5" s="145" t="s">
        <v>176</v>
      </c>
      <c r="F5" s="146">
        <v>100</v>
      </c>
      <c r="G5" s="147" t="s">
        <v>177</v>
      </c>
      <c r="H5" s="145">
        <v>165</v>
      </c>
      <c r="I5" s="145">
        <v>25</v>
      </c>
      <c r="J5" s="145">
        <v>3.6</v>
      </c>
      <c r="K5" s="145">
        <v>0</v>
      </c>
      <c r="L5" s="145">
        <v>0</v>
      </c>
      <c r="M5" s="148"/>
      <c r="N5" s="149">
        <v>46001</v>
      </c>
      <c r="O5" s="150">
        <v>0.33333333333333331</v>
      </c>
      <c r="P5" s="145" t="s">
        <v>178</v>
      </c>
      <c r="Q5" s="145" t="s">
        <v>179</v>
      </c>
      <c r="R5" s="151">
        <v>1</v>
      </c>
      <c r="S5" s="145" t="str">
        <f t="shared" ref="S5:S15" si="0">IFERROR(VLOOKUP(Q5, $E$5:$L$109, 3, FALSE), "")</f>
        <v>bottle</v>
      </c>
      <c r="T5" s="152">
        <f t="shared" ref="T5:T15" si="1">IFERROR(VLOOKUP(Q5, $E$5:$L$109, 4, FALSE) * (R5 / VLOOKUP(Q5, $E$5:$L$109, 2, FALSE)), "")</f>
        <v>260</v>
      </c>
      <c r="U5" s="152">
        <f t="shared" ref="U5:U15" si="2">IFERROR(VLOOKUP(Q5, $E$5:$L$109, 5, FALSE) * (R5 / VLOOKUP(Q5, $E$5:$L$109, 2, FALSE)), "")</f>
        <v>33</v>
      </c>
      <c r="V5" s="152">
        <f t="shared" ref="V5:V15" si="3">IFERROR(VLOOKUP(Q5, $E$5:$L$109, 6, FALSE) * (R5 / VLOOKUP(Q5, $E$5:$L$109, 2, FALSE)), "")</f>
        <v>6</v>
      </c>
      <c r="W5" s="152">
        <f t="shared" ref="W5:W15" si="4">IFERROR(VLOOKUP(Q5, $E$5:$L$109, 7, FALSE) * (R5 / VLOOKUP(Q5, $E$5:$L$109, 2, FALSE)), "")</f>
        <v>20</v>
      </c>
      <c r="X5" s="152">
        <f t="shared" ref="X5:X15" si="5">IFERROR(VLOOKUP(Q5, $E$5:$L$109, 8, FALSE) * (R5 / VLOOKUP(Q5, $E$5:$L$109, 2, FALSE)), "")</f>
        <v>0</v>
      </c>
      <c r="Y5" s="145"/>
    </row>
    <row r="6" spans="1:25">
      <c r="A6" s="145" t="s">
        <v>1</v>
      </c>
      <c r="B6" s="153">
        <v>46001</v>
      </c>
      <c r="C6" s="154"/>
      <c r="D6" s="144"/>
      <c r="E6" s="145" t="s">
        <v>180</v>
      </c>
      <c r="F6" s="146">
        <v>100</v>
      </c>
      <c r="G6" s="147" t="s">
        <v>177</v>
      </c>
      <c r="H6" s="145">
        <v>130</v>
      </c>
      <c r="I6" s="145">
        <v>2.7</v>
      </c>
      <c r="J6" s="145">
        <v>0.3</v>
      </c>
      <c r="K6" s="145">
        <v>28</v>
      </c>
      <c r="L6" s="145">
        <v>0.4</v>
      </c>
      <c r="M6" s="148"/>
      <c r="N6" s="149">
        <v>46001</v>
      </c>
      <c r="O6" s="150">
        <v>0.33333333333333331</v>
      </c>
      <c r="P6" s="145" t="s">
        <v>178</v>
      </c>
      <c r="Q6" s="145" t="s">
        <v>181</v>
      </c>
      <c r="R6" s="151">
        <v>2</v>
      </c>
      <c r="S6" s="145" t="str">
        <f t="shared" si="0"/>
        <v>slice</v>
      </c>
      <c r="T6" s="152">
        <f t="shared" si="1"/>
        <v>140</v>
      </c>
      <c r="U6" s="152">
        <f t="shared" si="2"/>
        <v>5</v>
      </c>
      <c r="V6" s="152">
        <f t="shared" si="3"/>
        <v>2.5</v>
      </c>
      <c r="W6" s="152">
        <f t="shared" si="4"/>
        <v>24</v>
      </c>
      <c r="X6" s="152">
        <f t="shared" si="5"/>
        <v>2</v>
      </c>
      <c r="Y6" s="145"/>
    </row>
    <row r="7" spans="1:25">
      <c r="A7" s="145" t="s">
        <v>182</v>
      </c>
      <c r="B7" s="151">
        <v>28</v>
      </c>
      <c r="C7" s="145" t="s">
        <v>183</v>
      </c>
      <c r="D7" s="144"/>
      <c r="E7" s="145" t="s">
        <v>181</v>
      </c>
      <c r="F7" s="146">
        <v>1</v>
      </c>
      <c r="G7" s="147" t="s">
        <v>184</v>
      </c>
      <c r="H7" s="145">
        <v>70</v>
      </c>
      <c r="I7" s="145">
        <v>2.5</v>
      </c>
      <c r="J7" s="145">
        <v>1.25</v>
      </c>
      <c r="K7" s="145">
        <v>12</v>
      </c>
      <c r="L7" s="145">
        <v>1</v>
      </c>
      <c r="M7" s="148"/>
      <c r="N7" s="149">
        <v>46001</v>
      </c>
      <c r="O7" s="150">
        <v>0.33333333333333331</v>
      </c>
      <c r="P7" s="145" t="s">
        <v>185</v>
      </c>
      <c r="Q7" s="145" t="s">
        <v>176</v>
      </c>
      <c r="R7" s="151">
        <v>256</v>
      </c>
      <c r="S7" s="145" t="str">
        <f t="shared" si="0"/>
        <v>g</v>
      </c>
      <c r="T7" s="152">
        <f t="shared" si="1"/>
        <v>422.40000000000003</v>
      </c>
      <c r="U7" s="152">
        <f t="shared" si="2"/>
        <v>64</v>
      </c>
      <c r="V7" s="152">
        <f t="shared" si="3"/>
        <v>9.2160000000000011</v>
      </c>
      <c r="W7" s="152">
        <f t="shared" si="4"/>
        <v>0</v>
      </c>
      <c r="X7" s="152">
        <f t="shared" si="5"/>
        <v>0</v>
      </c>
      <c r="Y7" s="145"/>
    </row>
    <row r="8" spans="1:25">
      <c r="A8" s="145" t="s">
        <v>186</v>
      </c>
      <c r="B8" s="151">
        <v>191</v>
      </c>
      <c r="C8" s="145" t="s">
        <v>187</v>
      </c>
      <c r="D8" s="144"/>
      <c r="E8" s="145" t="s">
        <v>188</v>
      </c>
      <c r="F8" s="146">
        <v>100</v>
      </c>
      <c r="G8" s="147" t="s">
        <v>177</v>
      </c>
      <c r="H8" s="145">
        <v>97</v>
      </c>
      <c r="I8" s="145">
        <v>6.8</v>
      </c>
      <c r="J8" s="145">
        <v>2</v>
      </c>
      <c r="K8" s="145">
        <v>13</v>
      </c>
      <c r="L8" s="145">
        <v>0</v>
      </c>
      <c r="M8" s="148"/>
      <c r="N8" s="149">
        <v>46001</v>
      </c>
      <c r="O8" s="150">
        <v>0.52083333333333337</v>
      </c>
      <c r="P8" s="145" t="s">
        <v>185</v>
      </c>
      <c r="Q8" s="145" t="s">
        <v>189</v>
      </c>
      <c r="R8" s="151">
        <v>170</v>
      </c>
      <c r="S8" s="145" t="str">
        <f t="shared" si="0"/>
        <v>g</v>
      </c>
      <c r="T8" s="152">
        <f t="shared" si="1"/>
        <v>59.5</v>
      </c>
      <c r="U8" s="152">
        <f t="shared" si="2"/>
        <v>4.25</v>
      </c>
      <c r="V8" s="152">
        <f t="shared" si="3"/>
        <v>0.68</v>
      </c>
      <c r="W8" s="152">
        <f t="shared" si="4"/>
        <v>11.9</v>
      </c>
      <c r="X8" s="152">
        <f t="shared" si="5"/>
        <v>4.42</v>
      </c>
      <c r="Y8" s="145"/>
    </row>
    <row r="9" spans="1:25">
      <c r="A9" s="145" t="s">
        <v>137</v>
      </c>
      <c r="B9" s="151">
        <v>78</v>
      </c>
      <c r="C9" s="145" t="s">
        <v>66</v>
      </c>
      <c r="D9" s="144"/>
      <c r="E9" s="145" t="s">
        <v>189</v>
      </c>
      <c r="F9" s="146">
        <v>100</v>
      </c>
      <c r="G9" s="147" t="s">
        <v>177</v>
      </c>
      <c r="H9" s="145">
        <v>35</v>
      </c>
      <c r="I9" s="145">
        <v>2.5</v>
      </c>
      <c r="J9" s="145">
        <v>0.4</v>
      </c>
      <c r="K9" s="145">
        <v>7</v>
      </c>
      <c r="L9" s="145">
        <v>2.6</v>
      </c>
      <c r="M9" s="148"/>
      <c r="N9" s="149">
        <v>46001</v>
      </c>
      <c r="O9" s="150">
        <v>0.52083333333333337</v>
      </c>
      <c r="P9" s="145" t="s">
        <v>185</v>
      </c>
      <c r="Q9" s="145" t="s">
        <v>190</v>
      </c>
      <c r="R9" s="151">
        <v>4</v>
      </c>
      <c r="S9" s="145" t="str">
        <f t="shared" si="0"/>
        <v>medium</v>
      </c>
      <c r="T9" s="152">
        <f t="shared" si="1"/>
        <v>248</v>
      </c>
      <c r="U9" s="152">
        <f t="shared" si="2"/>
        <v>4.8</v>
      </c>
      <c r="V9" s="152">
        <f t="shared" si="3"/>
        <v>0.8</v>
      </c>
      <c r="W9" s="152">
        <f t="shared" si="4"/>
        <v>61.6</v>
      </c>
      <c r="X9" s="152">
        <f t="shared" si="5"/>
        <v>12.4</v>
      </c>
      <c r="Y9" s="145"/>
    </row>
    <row r="10" spans="1:25">
      <c r="A10" s="145" t="s">
        <v>191</v>
      </c>
      <c r="B10" s="151" t="s">
        <v>192</v>
      </c>
      <c r="C10" s="145" t="s">
        <v>193</v>
      </c>
      <c r="D10" s="144"/>
      <c r="E10" s="145" t="s">
        <v>194</v>
      </c>
      <c r="F10" s="146">
        <v>1</v>
      </c>
      <c r="G10" s="147" t="s">
        <v>195</v>
      </c>
      <c r="H10" s="145">
        <v>126</v>
      </c>
      <c r="I10" s="145">
        <v>26</v>
      </c>
      <c r="J10" s="145">
        <v>0.4</v>
      </c>
      <c r="K10" s="145">
        <v>1.8</v>
      </c>
      <c r="L10" s="145">
        <v>0</v>
      </c>
      <c r="M10" s="148"/>
      <c r="N10" s="149">
        <v>46001</v>
      </c>
      <c r="O10" s="150">
        <v>0.52083333333333337</v>
      </c>
      <c r="P10" s="145" t="s">
        <v>185</v>
      </c>
      <c r="Q10" s="145" t="s">
        <v>176</v>
      </c>
      <c r="R10" s="151">
        <v>350</v>
      </c>
      <c r="S10" s="145" t="str">
        <f t="shared" si="0"/>
        <v>g</v>
      </c>
      <c r="T10" s="152">
        <f t="shared" si="1"/>
        <v>577.5</v>
      </c>
      <c r="U10" s="152">
        <f t="shared" si="2"/>
        <v>87.5</v>
      </c>
      <c r="V10" s="152">
        <f t="shared" si="3"/>
        <v>12.6</v>
      </c>
      <c r="W10" s="152">
        <f t="shared" si="4"/>
        <v>0</v>
      </c>
      <c r="X10" s="152">
        <f t="shared" si="5"/>
        <v>0</v>
      </c>
      <c r="Y10" s="145"/>
    </row>
    <row r="11" spans="1:25">
      <c r="A11" s="145" t="s">
        <v>196</v>
      </c>
      <c r="B11" s="151" t="s">
        <v>197</v>
      </c>
      <c r="C11" s="154"/>
      <c r="D11" s="144"/>
      <c r="E11" s="145" t="s">
        <v>198</v>
      </c>
      <c r="F11" s="146">
        <v>150</v>
      </c>
      <c r="G11" s="147" t="s">
        <v>177</v>
      </c>
      <c r="H11" s="145">
        <v>130</v>
      </c>
      <c r="I11" s="145">
        <v>2</v>
      </c>
      <c r="J11" s="145">
        <v>0.1</v>
      </c>
      <c r="K11" s="145">
        <v>30</v>
      </c>
      <c r="L11" s="145">
        <v>4.5</v>
      </c>
      <c r="M11" s="148"/>
      <c r="N11" s="149">
        <v>46001</v>
      </c>
      <c r="O11" s="150">
        <v>0.875</v>
      </c>
      <c r="P11" s="145" t="s">
        <v>199</v>
      </c>
      <c r="Q11" s="145" t="s">
        <v>181</v>
      </c>
      <c r="R11" s="151">
        <v>2</v>
      </c>
      <c r="S11" s="145" t="str">
        <f t="shared" si="0"/>
        <v>slice</v>
      </c>
      <c r="T11" s="152">
        <f t="shared" si="1"/>
        <v>140</v>
      </c>
      <c r="U11" s="152">
        <f t="shared" si="2"/>
        <v>5</v>
      </c>
      <c r="V11" s="152">
        <f t="shared" si="3"/>
        <v>2.5</v>
      </c>
      <c r="W11" s="152">
        <f t="shared" si="4"/>
        <v>24</v>
      </c>
      <c r="X11" s="152">
        <f t="shared" si="5"/>
        <v>2</v>
      </c>
      <c r="Y11" s="145"/>
    </row>
    <row r="12" spans="1:25">
      <c r="A12" s="145" t="s">
        <v>200</v>
      </c>
      <c r="B12" s="151" t="s">
        <v>201</v>
      </c>
      <c r="C12" s="154"/>
      <c r="D12" s="144"/>
      <c r="E12" s="145" t="s">
        <v>202</v>
      </c>
      <c r="F12" s="146">
        <v>1</v>
      </c>
      <c r="G12" s="147" t="s">
        <v>203</v>
      </c>
      <c r="H12" s="145">
        <v>60</v>
      </c>
      <c r="I12" s="145">
        <v>2</v>
      </c>
      <c r="J12" s="145">
        <v>4</v>
      </c>
      <c r="K12" s="145">
        <v>5</v>
      </c>
      <c r="L12" s="145">
        <v>4</v>
      </c>
      <c r="M12" s="148"/>
      <c r="N12" s="149">
        <v>46001</v>
      </c>
      <c r="O12" s="150">
        <v>0.91666666666666696</v>
      </c>
      <c r="P12" s="145" t="s">
        <v>199</v>
      </c>
      <c r="Q12" s="145" t="s">
        <v>204</v>
      </c>
      <c r="R12" s="151">
        <v>1</v>
      </c>
      <c r="S12" s="145" t="str">
        <f t="shared" si="0"/>
        <v>tbsp</v>
      </c>
      <c r="T12" s="152">
        <f t="shared" si="1"/>
        <v>50</v>
      </c>
      <c r="U12" s="152">
        <f t="shared" si="2"/>
        <v>1</v>
      </c>
      <c r="V12" s="152">
        <f t="shared" si="3"/>
        <v>5</v>
      </c>
      <c r="W12" s="152">
        <f t="shared" si="4"/>
        <v>1</v>
      </c>
      <c r="X12" s="152">
        <f t="shared" si="5"/>
        <v>0</v>
      </c>
      <c r="Y12" s="145"/>
    </row>
    <row r="13" spans="1:25">
      <c r="A13" s="147" t="s">
        <v>205</v>
      </c>
      <c r="B13" s="147" t="s">
        <v>206</v>
      </c>
      <c r="C13" s="155"/>
      <c r="D13" s="144"/>
      <c r="E13" s="145" t="s">
        <v>207</v>
      </c>
      <c r="F13" s="146">
        <v>1</v>
      </c>
      <c r="G13" s="147" t="s">
        <v>208</v>
      </c>
      <c r="H13" s="145">
        <v>140</v>
      </c>
      <c r="I13" s="145">
        <v>30</v>
      </c>
      <c r="J13" s="145">
        <v>2</v>
      </c>
      <c r="K13" s="145">
        <v>4</v>
      </c>
      <c r="L13" s="145">
        <v>0</v>
      </c>
      <c r="M13" s="148"/>
      <c r="N13" s="149">
        <v>46001</v>
      </c>
      <c r="O13" s="150">
        <v>0.875</v>
      </c>
      <c r="P13" s="145" t="s">
        <v>199</v>
      </c>
      <c r="Q13" s="145" t="s">
        <v>209</v>
      </c>
      <c r="R13" s="151">
        <v>3</v>
      </c>
      <c r="S13" s="145" t="str">
        <f t="shared" si="0"/>
        <v>tbsp</v>
      </c>
      <c r="T13" s="152">
        <f t="shared" si="1"/>
        <v>60</v>
      </c>
      <c r="U13" s="152">
        <f t="shared" si="2"/>
        <v>0</v>
      </c>
      <c r="V13" s="152">
        <f t="shared" si="3"/>
        <v>0</v>
      </c>
      <c r="W13" s="152">
        <f t="shared" si="4"/>
        <v>15</v>
      </c>
      <c r="X13" s="152">
        <f t="shared" si="5"/>
        <v>13.5</v>
      </c>
      <c r="Y13" s="145"/>
    </row>
    <row r="14" spans="1:25">
      <c r="A14" s="145" t="s">
        <v>210</v>
      </c>
      <c r="B14" s="145">
        <v>1.2</v>
      </c>
      <c r="C14" s="155"/>
      <c r="D14" s="144"/>
      <c r="E14" s="145" t="s">
        <v>190</v>
      </c>
      <c r="F14" s="146">
        <v>1</v>
      </c>
      <c r="G14" s="147" t="s">
        <v>211</v>
      </c>
      <c r="H14" s="145">
        <v>62</v>
      </c>
      <c r="I14" s="145">
        <v>1.2</v>
      </c>
      <c r="J14" s="145">
        <v>0.2</v>
      </c>
      <c r="K14" s="145">
        <v>15.4</v>
      </c>
      <c r="L14" s="145">
        <v>3.1</v>
      </c>
      <c r="M14" s="148"/>
      <c r="N14" s="149">
        <v>46001</v>
      </c>
      <c r="O14" s="150">
        <v>0.875</v>
      </c>
      <c r="P14" s="145" t="s">
        <v>199</v>
      </c>
      <c r="Q14" s="145" t="s">
        <v>212</v>
      </c>
      <c r="R14" s="151">
        <v>1</v>
      </c>
      <c r="S14" s="145" t="str">
        <f t="shared" si="0"/>
        <v>bottle</v>
      </c>
      <c r="T14" s="152">
        <f t="shared" si="1"/>
        <v>70</v>
      </c>
      <c r="U14" s="152">
        <f t="shared" si="2"/>
        <v>0</v>
      </c>
      <c r="V14" s="152">
        <f t="shared" si="3"/>
        <v>0</v>
      </c>
      <c r="W14" s="152">
        <f t="shared" si="4"/>
        <v>17</v>
      </c>
      <c r="X14" s="152">
        <f t="shared" si="5"/>
        <v>1</v>
      </c>
      <c r="Y14" s="145"/>
    </row>
    <row r="15" spans="1:25">
      <c r="A15" s="145" t="s">
        <v>197</v>
      </c>
      <c r="B15" s="145">
        <v>1.375</v>
      </c>
      <c r="C15" s="155"/>
      <c r="D15" s="144"/>
      <c r="E15" s="145" t="s">
        <v>179</v>
      </c>
      <c r="F15" s="146">
        <v>1</v>
      </c>
      <c r="G15" s="147" t="s">
        <v>213</v>
      </c>
      <c r="H15" s="145">
        <v>260</v>
      </c>
      <c r="I15" s="145">
        <v>33</v>
      </c>
      <c r="J15" s="145">
        <v>6</v>
      </c>
      <c r="K15" s="145">
        <v>20</v>
      </c>
      <c r="L15" s="145">
        <v>0</v>
      </c>
      <c r="M15" s="148"/>
      <c r="N15" s="149">
        <v>46001</v>
      </c>
      <c r="O15" s="150">
        <v>0.875</v>
      </c>
      <c r="P15" s="145" t="s">
        <v>199</v>
      </c>
      <c r="Q15" s="145" t="s">
        <v>214</v>
      </c>
      <c r="R15" s="151">
        <v>2</v>
      </c>
      <c r="S15" s="145" t="str">
        <f t="shared" si="0"/>
        <v>bar</v>
      </c>
      <c r="T15" s="152">
        <f t="shared" si="1"/>
        <v>134</v>
      </c>
      <c r="U15" s="152">
        <f t="shared" si="2"/>
        <v>2</v>
      </c>
      <c r="V15" s="152">
        <f t="shared" si="3"/>
        <v>7</v>
      </c>
      <c r="W15" s="152">
        <f t="shared" si="4"/>
        <v>44</v>
      </c>
      <c r="X15" s="152">
        <f t="shared" si="5"/>
        <v>0.6</v>
      </c>
      <c r="Y15" s="145"/>
    </row>
    <row r="16" spans="1:25">
      <c r="A16" s="145" t="s">
        <v>215</v>
      </c>
      <c r="B16" s="145">
        <v>1.55</v>
      </c>
      <c r="C16" s="155"/>
      <c r="D16" s="144"/>
      <c r="E16" s="145" t="s">
        <v>216</v>
      </c>
      <c r="F16" s="146">
        <v>1</v>
      </c>
      <c r="G16" s="147" t="s">
        <v>213</v>
      </c>
      <c r="H16" s="145">
        <v>180</v>
      </c>
      <c r="I16" s="145">
        <v>30</v>
      </c>
      <c r="J16" s="145">
        <v>1</v>
      </c>
      <c r="K16" s="145">
        <v>14</v>
      </c>
      <c r="L16" s="145">
        <v>0</v>
      </c>
      <c r="M16" s="156"/>
      <c r="N16" s="157"/>
      <c r="O16" s="158" t="s">
        <v>217</v>
      </c>
      <c r="P16" s="154"/>
      <c r="Q16" s="154"/>
      <c r="R16" s="154"/>
      <c r="S16" s="154"/>
      <c r="T16" s="159">
        <f>SUM(T5:T15)</f>
        <v>2161.4</v>
      </c>
      <c r="U16" s="159">
        <f>SUM(U5:U15)</f>
        <v>206.55</v>
      </c>
      <c r="V16" s="159">
        <f>SUM(V5:V15)</f>
        <v>46.295999999999999</v>
      </c>
      <c r="W16" s="159">
        <f>SUM(W5:W15)</f>
        <v>218.5</v>
      </c>
      <c r="X16" s="159">
        <f>SUM(X5:X15)</f>
        <v>35.92</v>
      </c>
      <c r="Y16" s="145"/>
    </row>
    <row r="17" spans="1:25">
      <c r="A17" s="145" t="s">
        <v>218</v>
      </c>
      <c r="B17" s="145">
        <v>1.7250000000000001</v>
      </c>
      <c r="C17" s="155"/>
      <c r="D17" s="144"/>
      <c r="E17" s="145" t="s">
        <v>219</v>
      </c>
      <c r="F17" s="146">
        <v>1</v>
      </c>
      <c r="G17" s="147" t="s">
        <v>213</v>
      </c>
      <c r="H17" s="145">
        <v>0</v>
      </c>
      <c r="I17" s="145">
        <v>0</v>
      </c>
      <c r="J17" s="145">
        <v>0</v>
      </c>
      <c r="K17" s="145">
        <v>0</v>
      </c>
      <c r="L17" s="145">
        <v>0</v>
      </c>
      <c r="M17" s="160"/>
      <c r="N17" s="157"/>
      <c r="O17" s="158" t="s">
        <v>220</v>
      </c>
      <c r="P17" s="154"/>
      <c r="Q17" s="154"/>
      <c r="R17" s="154"/>
      <c r="S17" s="154"/>
      <c r="T17" s="161">
        <f>$B$27</f>
        <v>2228.28125</v>
      </c>
      <c r="U17" s="161">
        <f>$B$29</f>
        <v>140.4</v>
      </c>
      <c r="V17" s="161">
        <f>$B$30</f>
        <v>64.739999999999995</v>
      </c>
      <c r="W17" s="161">
        <f>$B$31</f>
        <v>271.0053125</v>
      </c>
      <c r="X17" s="161">
        <f>$B$32</f>
        <v>31.195937500000003</v>
      </c>
      <c r="Y17" s="145"/>
    </row>
    <row r="18" spans="1:25">
      <c r="A18" s="145" t="s">
        <v>221</v>
      </c>
      <c r="B18" s="145">
        <v>1.9</v>
      </c>
      <c r="C18" s="155"/>
      <c r="D18" s="144"/>
      <c r="E18" s="145" t="s">
        <v>209</v>
      </c>
      <c r="F18" s="146">
        <v>1</v>
      </c>
      <c r="G18" s="147" t="s">
        <v>203</v>
      </c>
      <c r="H18" s="170">
        <v>20</v>
      </c>
      <c r="I18" s="170">
        <v>0</v>
      </c>
      <c r="J18" s="170">
        <v>0</v>
      </c>
      <c r="K18" s="170">
        <v>5</v>
      </c>
      <c r="L18" s="170">
        <v>4.5</v>
      </c>
      <c r="M18" s="160"/>
      <c r="N18" s="157"/>
      <c r="O18" s="158" t="s">
        <v>222</v>
      </c>
      <c r="P18" s="154"/>
      <c r="Q18" s="154"/>
      <c r="R18" s="154"/>
      <c r="S18" s="154"/>
      <c r="T18" s="161">
        <f>T16-T17</f>
        <v>-66.881249999999909</v>
      </c>
      <c r="U18" s="161">
        <f>U16-U17</f>
        <v>66.150000000000006</v>
      </c>
      <c r="V18" s="161">
        <f>V16-V17</f>
        <v>-18.443999999999996</v>
      </c>
      <c r="W18" s="161">
        <f>W16-W17</f>
        <v>-52.505312500000002</v>
      </c>
      <c r="X18" s="161">
        <f>X16-X17</f>
        <v>4.7240624999999987</v>
      </c>
      <c r="Y18" s="145"/>
    </row>
    <row r="19" spans="1:25">
      <c r="A19" s="147" t="s">
        <v>223</v>
      </c>
      <c r="B19" s="147" t="s">
        <v>224</v>
      </c>
      <c r="C19" s="147" t="s">
        <v>165</v>
      </c>
      <c r="D19" s="144"/>
      <c r="E19" s="145" t="s">
        <v>225</v>
      </c>
      <c r="F19" s="146">
        <v>0.25</v>
      </c>
      <c r="G19" s="147" t="s">
        <v>195</v>
      </c>
      <c r="H19" s="145">
        <v>90</v>
      </c>
      <c r="I19" s="145">
        <v>25</v>
      </c>
      <c r="J19" s="145">
        <v>3</v>
      </c>
      <c r="K19" s="145">
        <v>5</v>
      </c>
      <c r="L19" s="145">
        <v>0</v>
      </c>
      <c r="M19" s="160"/>
      <c r="N19" s="149">
        <v>46002</v>
      </c>
      <c r="O19" s="150">
        <v>0.33333333333333331</v>
      </c>
      <c r="P19" s="145" t="s">
        <v>178</v>
      </c>
      <c r="Q19" s="145" t="s">
        <v>179</v>
      </c>
      <c r="R19" s="151">
        <v>1</v>
      </c>
      <c r="S19" s="145" t="str">
        <f t="shared" ref="S19:S28" si="6">IFERROR(VLOOKUP(Q19, $E$5:$L$109, 3, FALSE), "")</f>
        <v>bottle</v>
      </c>
      <c r="T19" s="152">
        <f t="shared" ref="T19:T28" si="7">IFERROR(VLOOKUP(Q19, $E$5:$L$109, 4, FALSE) * (R19 / VLOOKUP(Q19, $E$5:$L$109, 2, FALSE)), "")</f>
        <v>260</v>
      </c>
      <c r="U19" s="152">
        <f t="shared" ref="U19:U28" si="8">IFERROR(VLOOKUP(Q19, $E$5:$L$109, 5, FALSE) * (R19 / VLOOKUP(Q19, $E$5:$L$109, 2, FALSE)), "")</f>
        <v>33</v>
      </c>
      <c r="V19" s="152">
        <f t="shared" ref="V19:V28" si="9">IFERROR(VLOOKUP(Q19, $E$5:$L$109, 6, FALSE) * (R19 / VLOOKUP(Q19, $E$5:$L$109, 2, FALSE)), "")</f>
        <v>6</v>
      </c>
      <c r="W19" s="152">
        <f t="shared" ref="W19:W28" si="10">IFERROR(VLOOKUP(Q19, $E$5:$L$109, 7, FALSE) * (R19 / VLOOKUP(Q19, $E$5:$L$109, 2, FALSE)), "")</f>
        <v>20</v>
      </c>
      <c r="X19" s="152">
        <f t="shared" ref="X19:X28" si="11">IFERROR(VLOOKUP(Q19, $E$5:$L$109, 8, FALSE) * (R19 / VLOOKUP(Q19, $E$5:$L$109, 2, FALSE)), "")</f>
        <v>0</v>
      </c>
      <c r="Y19" s="145"/>
    </row>
    <row r="20" spans="1:25">
      <c r="A20" s="145" t="s">
        <v>201</v>
      </c>
      <c r="B20" s="145">
        <v>-300</v>
      </c>
      <c r="C20" s="162" t="s">
        <v>226</v>
      </c>
      <c r="D20" s="144"/>
      <c r="E20" s="145" t="s">
        <v>214</v>
      </c>
      <c r="F20" s="146">
        <v>1</v>
      </c>
      <c r="G20" s="147" t="s">
        <v>227</v>
      </c>
      <c r="H20" s="145">
        <v>67</v>
      </c>
      <c r="I20" s="145">
        <v>1</v>
      </c>
      <c r="J20" s="145">
        <v>3.5</v>
      </c>
      <c r="K20" s="145">
        <v>22</v>
      </c>
      <c r="L20" s="145">
        <v>0.3</v>
      </c>
      <c r="M20" s="144"/>
      <c r="N20" s="149">
        <v>46002</v>
      </c>
      <c r="O20" s="150">
        <v>0.33333333333333331</v>
      </c>
      <c r="P20" s="145" t="s">
        <v>178</v>
      </c>
      <c r="Q20" s="145" t="s">
        <v>190</v>
      </c>
      <c r="R20" s="151">
        <v>1.5</v>
      </c>
      <c r="S20" s="145" t="str">
        <f t="shared" si="6"/>
        <v>medium</v>
      </c>
      <c r="T20" s="152">
        <f t="shared" si="7"/>
        <v>93</v>
      </c>
      <c r="U20" s="152">
        <f t="shared" si="8"/>
        <v>1.7999999999999998</v>
      </c>
      <c r="V20" s="152">
        <f t="shared" si="9"/>
        <v>0.30000000000000004</v>
      </c>
      <c r="W20" s="152">
        <f t="shared" si="10"/>
        <v>23.1</v>
      </c>
      <c r="X20" s="152">
        <f t="shared" si="11"/>
        <v>4.6500000000000004</v>
      </c>
      <c r="Y20" s="145"/>
    </row>
    <row r="21" spans="1:25">
      <c r="A21" s="145" t="s">
        <v>228</v>
      </c>
      <c r="B21" s="145">
        <v>0</v>
      </c>
      <c r="C21" s="162" t="s">
        <v>226</v>
      </c>
      <c r="D21" s="144"/>
      <c r="E21" s="145" t="s">
        <v>212</v>
      </c>
      <c r="F21" s="146">
        <v>1</v>
      </c>
      <c r="G21" s="147" t="s">
        <v>213</v>
      </c>
      <c r="H21" s="145">
        <v>70</v>
      </c>
      <c r="I21" s="145">
        <v>0</v>
      </c>
      <c r="J21" s="145">
        <v>0</v>
      </c>
      <c r="K21" s="145">
        <v>17</v>
      </c>
      <c r="L21" s="145">
        <v>1</v>
      </c>
      <c r="M21" s="144"/>
      <c r="N21" s="149">
        <v>46002</v>
      </c>
      <c r="O21" s="150">
        <v>0.33333333333333331</v>
      </c>
      <c r="P21" s="145" t="s">
        <v>185</v>
      </c>
      <c r="Q21" s="145" t="s">
        <v>229</v>
      </c>
      <c r="R21" s="151">
        <v>1</v>
      </c>
      <c r="S21" s="145" t="str">
        <f t="shared" si="6"/>
        <v>large plate</v>
      </c>
      <c r="T21" s="152">
        <f t="shared" si="7"/>
        <v>500</v>
      </c>
      <c r="U21" s="152">
        <f t="shared" si="8"/>
        <v>20</v>
      </c>
      <c r="V21" s="152">
        <f t="shared" si="9"/>
        <v>30</v>
      </c>
      <c r="W21" s="152">
        <f t="shared" si="10"/>
        <v>40</v>
      </c>
      <c r="X21" s="152">
        <f t="shared" si="11"/>
        <v>3</v>
      </c>
      <c r="Y21" s="145"/>
    </row>
    <row r="22" spans="1:25">
      <c r="A22" s="145" t="s">
        <v>230</v>
      </c>
      <c r="B22" s="145">
        <v>500</v>
      </c>
      <c r="C22" s="162" t="s">
        <v>226</v>
      </c>
      <c r="D22" s="144"/>
      <c r="E22" s="145" t="s">
        <v>204</v>
      </c>
      <c r="F22" s="146">
        <v>1</v>
      </c>
      <c r="G22" s="147" t="s">
        <v>203</v>
      </c>
      <c r="H22" s="145">
        <v>50</v>
      </c>
      <c r="I22" s="145">
        <v>1</v>
      </c>
      <c r="J22" s="145">
        <v>5</v>
      </c>
      <c r="K22" s="145">
        <v>1</v>
      </c>
      <c r="L22" s="145">
        <v>0</v>
      </c>
      <c r="M22" s="144"/>
      <c r="N22" s="149">
        <v>46002</v>
      </c>
      <c r="O22" s="150">
        <v>0.5</v>
      </c>
      <c r="P22" s="145" t="s">
        <v>185</v>
      </c>
      <c r="Q22" s="145" t="s">
        <v>231</v>
      </c>
      <c r="R22" s="151">
        <v>1</v>
      </c>
      <c r="S22" s="145" t="str">
        <f t="shared" si="6"/>
        <v>large bowl</v>
      </c>
      <c r="T22" s="152">
        <f t="shared" si="7"/>
        <v>350</v>
      </c>
      <c r="U22" s="152">
        <f t="shared" si="8"/>
        <v>15</v>
      </c>
      <c r="V22" s="152">
        <f t="shared" si="9"/>
        <v>20</v>
      </c>
      <c r="W22" s="152">
        <f t="shared" si="10"/>
        <v>15</v>
      </c>
      <c r="X22" s="152">
        <f t="shared" si="11"/>
        <v>2</v>
      </c>
      <c r="Y22" s="145"/>
    </row>
    <row r="23" spans="1:25">
      <c r="A23" s="147" t="s">
        <v>232</v>
      </c>
      <c r="B23" s="147" t="s">
        <v>233</v>
      </c>
      <c r="C23" s="147" t="s">
        <v>165</v>
      </c>
      <c r="D23" s="144"/>
      <c r="E23" s="145" t="s">
        <v>234</v>
      </c>
      <c r="F23" s="146">
        <v>1</v>
      </c>
      <c r="G23" s="147" t="s">
        <v>235</v>
      </c>
      <c r="H23" s="145">
        <v>260</v>
      </c>
      <c r="I23" s="145">
        <v>30</v>
      </c>
      <c r="J23" s="145">
        <v>16</v>
      </c>
      <c r="K23" s="145">
        <v>2</v>
      </c>
      <c r="L23" s="145">
        <v>0</v>
      </c>
      <c r="M23" s="144"/>
      <c r="N23" s="149">
        <v>46002</v>
      </c>
      <c r="O23" s="150">
        <v>0.91666666666666663</v>
      </c>
      <c r="P23" s="145" t="s">
        <v>199</v>
      </c>
      <c r="Q23" s="145" t="s">
        <v>181</v>
      </c>
      <c r="R23" s="151">
        <v>2</v>
      </c>
      <c r="S23" s="145" t="str">
        <f>IFERROR(VLOOKUP(Q23, $E$5:$L$109, 3, FALSE), "")</f>
        <v>slice</v>
      </c>
      <c r="T23" s="152">
        <f t="shared" si="7"/>
        <v>140</v>
      </c>
      <c r="U23" s="152">
        <f t="shared" si="8"/>
        <v>5</v>
      </c>
      <c r="V23" s="152">
        <f t="shared" si="9"/>
        <v>2.5</v>
      </c>
      <c r="W23" s="152">
        <f t="shared" si="10"/>
        <v>24</v>
      </c>
      <c r="X23" s="152">
        <f t="shared" si="11"/>
        <v>2</v>
      </c>
      <c r="Y23" s="145"/>
    </row>
    <row r="24" spans="1:25" ht="18">
      <c r="A24" s="145" t="s">
        <v>236</v>
      </c>
      <c r="B24" s="163">
        <f>B9/((B8/100)^2)</f>
        <v>21.380992845590857</v>
      </c>
      <c r="C24" s="240" t="s">
        <v>237</v>
      </c>
      <c r="D24" s="144"/>
      <c r="E24" s="145" t="s">
        <v>229</v>
      </c>
      <c r="F24" s="146">
        <v>1</v>
      </c>
      <c r="G24" s="147" t="s">
        <v>238</v>
      </c>
      <c r="H24" s="145">
        <v>500</v>
      </c>
      <c r="I24" s="145">
        <v>20</v>
      </c>
      <c r="J24" s="145">
        <v>30</v>
      </c>
      <c r="K24" s="145">
        <v>40</v>
      </c>
      <c r="L24" s="145">
        <v>3</v>
      </c>
      <c r="M24" s="144"/>
      <c r="N24" s="149">
        <v>46002</v>
      </c>
      <c r="O24" s="150">
        <v>0.91666666666666663</v>
      </c>
      <c r="P24" s="145" t="s">
        <v>199</v>
      </c>
      <c r="Q24" s="145" t="s">
        <v>176</v>
      </c>
      <c r="R24" s="151">
        <v>304</v>
      </c>
      <c r="S24" s="145" t="str">
        <f t="shared" si="6"/>
        <v>g</v>
      </c>
      <c r="T24" s="152">
        <f t="shared" si="7"/>
        <v>501.6</v>
      </c>
      <c r="U24" s="152">
        <f t="shared" si="8"/>
        <v>76</v>
      </c>
      <c r="V24" s="152">
        <f t="shared" si="9"/>
        <v>10.944000000000001</v>
      </c>
      <c r="W24" s="152">
        <f t="shared" si="10"/>
        <v>0</v>
      </c>
      <c r="X24" s="152">
        <f t="shared" si="11"/>
        <v>0</v>
      </c>
      <c r="Y24" s="145"/>
    </row>
    <row r="25" spans="1:25">
      <c r="A25" s="145" t="s">
        <v>239</v>
      </c>
      <c r="B25" s="163">
        <f>IF(B10="M", (10*B9)+(6.25*B8)-(5*B7)+5, (10*B9)+(6.25*B8)-(5*B7)-161)</f>
        <v>1838.75</v>
      </c>
      <c r="C25" s="162" t="s">
        <v>226</v>
      </c>
      <c r="D25" s="144"/>
      <c r="E25" s="145" t="s">
        <v>240</v>
      </c>
      <c r="F25" s="146">
        <v>1</v>
      </c>
      <c r="G25" s="147" t="s">
        <v>241</v>
      </c>
      <c r="H25" s="145">
        <v>90</v>
      </c>
      <c r="I25" s="145">
        <v>6</v>
      </c>
      <c r="J25" s="145">
        <v>7</v>
      </c>
      <c r="K25" s="145">
        <v>0.5</v>
      </c>
      <c r="L25" s="145">
        <v>0</v>
      </c>
      <c r="M25" s="144"/>
      <c r="N25" s="149">
        <v>46002</v>
      </c>
      <c r="O25" s="150">
        <v>0.91666666666666663</v>
      </c>
      <c r="P25" s="145" t="s">
        <v>199</v>
      </c>
      <c r="Q25" s="145" t="s">
        <v>209</v>
      </c>
      <c r="R25" s="151">
        <v>3</v>
      </c>
      <c r="S25" s="145" t="str">
        <f t="shared" si="6"/>
        <v>tbsp</v>
      </c>
      <c r="T25" s="152">
        <f t="shared" si="7"/>
        <v>60</v>
      </c>
      <c r="U25" s="152">
        <f t="shared" si="8"/>
        <v>0</v>
      </c>
      <c r="V25" s="152">
        <f t="shared" si="9"/>
        <v>0</v>
      </c>
      <c r="W25" s="152">
        <f t="shared" si="10"/>
        <v>15</v>
      </c>
      <c r="X25" s="152">
        <f t="shared" si="11"/>
        <v>13.5</v>
      </c>
      <c r="Y25" s="145"/>
    </row>
    <row r="26" spans="1:25">
      <c r="A26" s="145" t="s">
        <v>242</v>
      </c>
      <c r="B26" s="163">
        <f>B25 * VLOOKUP(B11, A14:B18, 2, FALSE)</f>
        <v>2528.28125</v>
      </c>
      <c r="C26" s="162" t="s">
        <v>226</v>
      </c>
      <c r="D26" s="144"/>
      <c r="E26" s="145" t="s">
        <v>243</v>
      </c>
      <c r="F26" s="146">
        <v>1</v>
      </c>
      <c r="G26" s="147" t="s">
        <v>238</v>
      </c>
      <c r="H26" s="145">
        <v>650</v>
      </c>
      <c r="I26" s="145">
        <v>25</v>
      </c>
      <c r="J26" s="145">
        <v>25</v>
      </c>
      <c r="K26" s="145">
        <v>75</v>
      </c>
      <c r="L26" s="145">
        <v>2</v>
      </c>
      <c r="M26" s="144"/>
      <c r="N26" s="149">
        <v>46002</v>
      </c>
      <c r="O26" s="150">
        <v>0.91666666666666663</v>
      </c>
      <c r="P26" s="145" t="s">
        <v>199</v>
      </c>
      <c r="Q26" s="145" t="s">
        <v>212</v>
      </c>
      <c r="R26" s="151">
        <v>1</v>
      </c>
      <c r="S26" s="145" t="str">
        <f t="shared" si="6"/>
        <v>bottle</v>
      </c>
      <c r="T26" s="152">
        <f t="shared" si="7"/>
        <v>70</v>
      </c>
      <c r="U26" s="152">
        <f t="shared" si="8"/>
        <v>0</v>
      </c>
      <c r="V26" s="152">
        <f t="shared" si="9"/>
        <v>0</v>
      </c>
      <c r="W26" s="152">
        <f t="shared" si="10"/>
        <v>17</v>
      </c>
      <c r="X26" s="152">
        <f t="shared" si="11"/>
        <v>1</v>
      </c>
      <c r="Y26" s="145"/>
    </row>
    <row r="27" spans="1:25">
      <c r="A27" s="145" t="s">
        <v>244</v>
      </c>
      <c r="B27" s="163">
        <f>B26 + VLOOKUP(B12, A20:B22, 2, FALSE)</f>
        <v>2228.28125</v>
      </c>
      <c r="C27" s="162" t="s">
        <v>226</v>
      </c>
      <c r="D27" s="144"/>
      <c r="E27" s="145" t="s">
        <v>231</v>
      </c>
      <c r="F27" s="146">
        <v>1</v>
      </c>
      <c r="G27" s="147" t="s">
        <v>245</v>
      </c>
      <c r="H27" s="145">
        <v>350</v>
      </c>
      <c r="I27" s="145">
        <v>15</v>
      </c>
      <c r="J27" s="145">
        <v>20</v>
      </c>
      <c r="K27" s="145">
        <v>15</v>
      </c>
      <c r="L27" s="145">
        <v>2</v>
      </c>
      <c r="M27" s="144"/>
      <c r="N27" s="149">
        <v>46002</v>
      </c>
      <c r="O27" s="150">
        <v>0.91666666666666663</v>
      </c>
      <c r="P27" s="145" t="s">
        <v>199</v>
      </c>
      <c r="Q27" s="145" t="s">
        <v>219</v>
      </c>
      <c r="R27" s="151">
        <v>1</v>
      </c>
      <c r="S27" s="145" t="str">
        <f t="shared" si="6"/>
        <v>bottle</v>
      </c>
      <c r="T27" s="152">
        <f t="shared" si="7"/>
        <v>0</v>
      </c>
      <c r="U27" s="152">
        <f t="shared" si="8"/>
        <v>0</v>
      </c>
      <c r="V27" s="152">
        <f t="shared" si="9"/>
        <v>0</v>
      </c>
      <c r="W27" s="152">
        <f t="shared" si="10"/>
        <v>0</v>
      </c>
      <c r="X27" s="152">
        <f t="shared" si="11"/>
        <v>0</v>
      </c>
      <c r="Y27" s="145"/>
    </row>
    <row r="28" spans="1:25">
      <c r="A28" s="147" t="s">
        <v>246</v>
      </c>
      <c r="B28" s="147" t="s">
        <v>233</v>
      </c>
      <c r="C28" s="147" t="s">
        <v>165</v>
      </c>
      <c r="D28" s="144"/>
      <c r="E28" s="145" t="s">
        <v>247</v>
      </c>
      <c r="F28" s="146">
        <v>1</v>
      </c>
      <c r="G28" s="147" t="s">
        <v>245</v>
      </c>
      <c r="H28" s="145">
        <v>400</v>
      </c>
      <c r="I28" s="145">
        <v>20</v>
      </c>
      <c r="J28" s="145">
        <v>10</v>
      </c>
      <c r="K28" s="145">
        <v>55</v>
      </c>
      <c r="L28" s="145">
        <v>3</v>
      </c>
      <c r="M28" s="144"/>
      <c r="N28" s="149">
        <v>46002</v>
      </c>
      <c r="O28" s="150">
        <v>0.875</v>
      </c>
      <c r="P28" s="145" t="s">
        <v>199</v>
      </c>
      <c r="Q28" s="145" t="s">
        <v>225</v>
      </c>
      <c r="R28" s="151">
        <v>0.25</v>
      </c>
      <c r="S28" s="145" t="str">
        <f t="shared" si="6"/>
        <v>cup</v>
      </c>
      <c r="T28" s="152">
        <f t="shared" si="7"/>
        <v>90</v>
      </c>
      <c r="U28" s="152">
        <f t="shared" si="8"/>
        <v>25</v>
      </c>
      <c r="V28" s="152">
        <f t="shared" si="9"/>
        <v>3</v>
      </c>
      <c r="W28" s="152">
        <f t="shared" si="10"/>
        <v>5</v>
      </c>
      <c r="X28" s="152">
        <f t="shared" si="11"/>
        <v>0</v>
      </c>
      <c r="Y28" s="145"/>
    </row>
    <row r="29" spans="1:25">
      <c r="A29" s="145" t="s">
        <v>248</v>
      </c>
      <c r="B29" s="163">
        <f>B9 * 1.8</f>
        <v>140.4</v>
      </c>
      <c r="C29" s="162" t="s">
        <v>177</v>
      </c>
      <c r="D29" s="144"/>
      <c r="E29" s="145" t="s">
        <v>249</v>
      </c>
      <c r="F29" s="146">
        <v>1</v>
      </c>
      <c r="G29" s="147" t="s">
        <v>211</v>
      </c>
      <c r="H29" s="145">
        <v>95</v>
      </c>
      <c r="I29" s="145">
        <v>0.5</v>
      </c>
      <c r="J29" s="145">
        <v>0.3</v>
      </c>
      <c r="K29" s="145">
        <v>25</v>
      </c>
      <c r="L29" s="145">
        <v>4.5</v>
      </c>
      <c r="M29" s="144"/>
      <c r="N29" s="157"/>
      <c r="O29" s="158" t="s">
        <v>217</v>
      </c>
      <c r="P29" s="154"/>
      <c r="Q29" s="154"/>
      <c r="R29" s="154"/>
      <c r="S29" s="154"/>
      <c r="T29" s="159">
        <f>SUM(T19:T28)</f>
        <v>2064.6</v>
      </c>
      <c r="U29" s="159">
        <f>SUM(U19:U28)</f>
        <v>175.8</v>
      </c>
      <c r="V29" s="159">
        <f>SUM(V19:V28)</f>
        <v>72.744</v>
      </c>
      <c r="W29" s="159">
        <f>SUM(W19:W28)</f>
        <v>159.1</v>
      </c>
      <c r="X29" s="159">
        <f>SUM(X19:X28)</f>
        <v>26.15</v>
      </c>
      <c r="Y29" s="145"/>
    </row>
    <row r="30" spans="1:25">
      <c r="A30" s="145" t="s">
        <v>250</v>
      </c>
      <c r="B30" s="163">
        <f>B9 * 0.83</f>
        <v>64.739999999999995</v>
      </c>
      <c r="C30" s="162" t="s">
        <v>177</v>
      </c>
      <c r="D30" s="144"/>
      <c r="E30" s="145" t="s">
        <v>251</v>
      </c>
      <c r="F30" s="146">
        <v>1</v>
      </c>
      <c r="G30" s="147" t="s">
        <v>211</v>
      </c>
      <c r="H30" s="145">
        <v>55</v>
      </c>
      <c r="I30" s="145">
        <v>1</v>
      </c>
      <c r="J30" s="145">
        <v>0.5</v>
      </c>
      <c r="K30" s="145">
        <v>13</v>
      </c>
      <c r="L30" s="145">
        <v>2.5</v>
      </c>
      <c r="M30" s="144"/>
      <c r="N30" s="157"/>
      <c r="O30" s="158" t="s">
        <v>220</v>
      </c>
      <c r="P30" s="154"/>
      <c r="Q30" s="154"/>
      <c r="R30" s="154"/>
      <c r="S30" s="154"/>
      <c r="T30" s="161">
        <f>$B$27</f>
        <v>2228.28125</v>
      </c>
      <c r="U30" s="161">
        <f>$B$29</f>
        <v>140.4</v>
      </c>
      <c r="V30" s="161">
        <f>$B$30</f>
        <v>64.739999999999995</v>
      </c>
      <c r="W30" s="161">
        <f>$B$31</f>
        <v>271.0053125</v>
      </c>
      <c r="X30" s="161">
        <f>$B$32</f>
        <v>31.195937500000003</v>
      </c>
      <c r="Y30" s="145"/>
    </row>
    <row r="31" spans="1:25">
      <c r="A31" s="145" t="s">
        <v>252</v>
      </c>
      <c r="B31" s="163">
        <f>(B27 - (B29*4 + B30*9))/4</f>
        <v>271.0053125</v>
      </c>
      <c r="C31" s="162" t="s">
        <v>177</v>
      </c>
      <c r="D31" s="144"/>
      <c r="E31" s="145" t="s">
        <v>253</v>
      </c>
      <c r="F31" s="146">
        <v>1</v>
      </c>
      <c r="G31" s="147" t="s">
        <v>211</v>
      </c>
      <c r="H31" s="145">
        <v>42</v>
      </c>
      <c r="I31" s="145">
        <v>0.8</v>
      </c>
      <c r="J31" s="145">
        <v>0.4</v>
      </c>
      <c r="K31" s="145">
        <v>10</v>
      </c>
      <c r="L31" s="145">
        <v>2.1</v>
      </c>
      <c r="M31" s="144"/>
      <c r="N31" s="157"/>
      <c r="O31" s="158" t="s">
        <v>222</v>
      </c>
      <c r="P31" s="154"/>
      <c r="Q31" s="154"/>
      <c r="R31" s="154"/>
      <c r="S31" s="154"/>
      <c r="T31" s="161">
        <f>T29-T30</f>
        <v>-163.68125000000009</v>
      </c>
      <c r="U31" s="161">
        <f>U29-U30</f>
        <v>35.400000000000006</v>
      </c>
      <c r="V31" s="161">
        <f>V29-V30</f>
        <v>8.0040000000000049</v>
      </c>
      <c r="W31" s="161">
        <f>W29-W30</f>
        <v>-111.90531250000001</v>
      </c>
      <c r="X31" s="161">
        <f>X29-X30</f>
        <v>-5.0459375000000044</v>
      </c>
      <c r="Y31" s="145"/>
    </row>
    <row r="32" spans="1:25">
      <c r="A32" s="145" t="s">
        <v>254</v>
      </c>
      <c r="B32" s="163">
        <f>(B27 / 1000) * 14</f>
        <v>31.195937500000003</v>
      </c>
      <c r="C32" s="162" t="s">
        <v>177</v>
      </c>
      <c r="D32" s="144"/>
      <c r="E32" s="145" t="s">
        <v>255</v>
      </c>
      <c r="F32" s="146">
        <v>1</v>
      </c>
      <c r="G32" s="147" t="s">
        <v>213</v>
      </c>
      <c r="H32" s="188">
        <v>190</v>
      </c>
      <c r="I32" s="188">
        <v>36</v>
      </c>
      <c r="J32" s="188">
        <v>1.5</v>
      </c>
      <c r="K32" s="188">
        <v>6</v>
      </c>
      <c r="L32" s="188">
        <v>1</v>
      </c>
      <c r="M32" s="144"/>
      <c r="N32" s="149">
        <v>46003</v>
      </c>
      <c r="O32" s="150">
        <v>0.33333333333333331</v>
      </c>
      <c r="P32" s="145" t="s">
        <v>178</v>
      </c>
      <c r="Q32" s="145" t="s">
        <v>179</v>
      </c>
      <c r="R32" s="151">
        <v>1</v>
      </c>
      <c r="S32" s="145" t="str">
        <f t="shared" ref="S32:S42" si="12">IFERROR(VLOOKUP(Q32, $E$5:$L$109, 3, FALSE), "")</f>
        <v>bottle</v>
      </c>
      <c r="T32" s="152">
        <f t="shared" ref="T32:T42" si="13">IFERROR(VLOOKUP(Q32, $E$5:$L$109, 4, FALSE) * (R32 / VLOOKUP(Q32, $E$5:$L$109, 2, FALSE)), "")</f>
        <v>260</v>
      </c>
      <c r="U32" s="152">
        <f t="shared" ref="U32:U42" si="14">IFERROR(VLOOKUP(Q32, $E$5:$L$109, 5, FALSE) * (R32 / VLOOKUP(Q32, $E$5:$L$109, 2, FALSE)), "")</f>
        <v>33</v>
      </c>
      <c r="V32" s="152">
        <f t="shared" ref="V32:V42" si="15">IFERROR(VLOOKUP(Q32, $E$5:$L$109, 6, FALSE) * (R32 / VLOOKUP(Q32, $E$5:$L$109, 2, FALSE)), "")</f>
        <v>6</v>
      </c>
      <c r="W32" s="152">
        <f t="shared" ref="W32:W42" si="16">IFERROR(VLOOKUP(Q32, $E$5:$L$109, 7, FALSE) * (R32 / VLOOKUP(Q32, $E$5:$L$109, 2, FALSE)), "")</f>
        <v>20</v>
      </c>
      <c r="X32" s="152">
        <f t="shared" ref="X32:X42" si="17">IFERROR(VLOOKUP(Q32, $E$5:$L$109, 8, FALSE) * (R32 / VLOOKUP(Q32, $E$5:$L$109, 2, FALSE)), "")</f>
        <v>0</v>
      </c>
      <c r="Y32" s="145"/>
    </row>
    <row r="33" spans="1:25">
      <c r="A33" s="147" t="s">
        <v>256</v>
      </c>
      <c r="B33" s="147" t="s">
        <v>257</v>
      </c>
      <c r="C33" s="147" t="s">
        <v>165</v>
      </c>
      <c r="D33" s="144"/>
      <c r="E33" s="188" t="s">
        <v>258</v>
      </c>
      <c r="F33" s="210">
        <v>1</v>
      </c>
      <c r="G33" s="189" t="s">
        <v>259</v>
      </c>
      <c r="H33" s="188">
        <v>190</v>
      </c>
      <c r="I33" s="188">
        <v>3</v>
      </c>
      <c r="J33" s="188">
        <v>11</v>
      </c>
      <c r="K33" s="188">
        <v>22</v>
      </c>
      <c r="L33" s="188">
        <v>0</v>
      </c>
      <c r="M33" s="144"/>
      <c r="N33" s="149">
        <v>46003</v>
      </c>
      <c r="O33" s="150">
        <v>0.33333333333333331</v>
      </c>
      <c r="P33" s="145" t="s">
        <v>178</v>
      </c>
      <c r="Q33" s="145" t="s">
        <v>214</v>
      </c>
      <c r="R33" s="151">
        <v>3</v>
      </c>
      <c r="S33" s="145" t="str">
        <f t="shared" si="12"/>
        <v>bar</v>
      </c>
      <c r="T33" s="152">
        <f t="shared" si="13"/>
        <v>201</v>
      </c>
      <c r="U33" s="152">
        <f t="shared" si="14"/>
        <v>3</v>
      </c>
      <c r="V33" s="152">
        <f t="shared" si="15"/>
        <v>10.5</v>
      </c>
      <c r="W33" s="152">
        <f t="shared" si="16"/>
        <v>66</v>
      </c>
      <c r="X33" s="152">
        <f t="shared" si="17"/>
        <v>0.89999999999999991</v>
      </c>
      <c r="Y33" s="145"/>
    </row>
    <row r="34" spans="1:25">
      <c r="A34" s="145" t="s">
        <v>260</v>
      </c>
      <c r="B34" s="164">
        <f>B29 * 4</f>
        <v>561.6</v>
      </c>
      <c r="C34" s="162" t="s">
        <v>226</v>
      </c>
      <c r="D34" s="144"/>
      <c r="E34" s="145" t="s">
        <v>261</v>
      </c>
      <c r="F34" s="146">
        <v>1</v>
      </c>
      <c r="G34" s="146" t="s">
        <v>262</v>
      </c>
      <c r="H34" s="146">
        <v>110</v>
      </c>
      <c r="I34" s="146">
        <v>12</v>
      </c>
      <c r="J34" s="146">
        <v>4</v>
      </c>
      <c r="K34" s="146">
        <v>5</v>
      </c>
      <c r="L34" s="146">
        <v>0</v>
      </c>
      <c r="M34" s="144"/>
      <c r="N34" s="149">
        <v>46003</v>
      </c>
      <c r="O34" s="150">
        <v>0.33333333333333331</v>
      </c>
      <c r="P34" s="145" t="s">
        <v>185</v>
      </c>
      <c r="Q34" s="145" t="s">
        <v>243</v>
      </c>
      <c r="R34" s="151">
        <v>1</v>
      </c>
      <c r="S34" s="145" t="str">
        <f t="shared" si="12"/>
        <v>large plate</v>
      </c>
      <c r="T34" s="152">
        <f t="shared" si="13"/>
        <v>650</v>
      </c>
      <c r="U34" s="152">
        <f t="shared" si="14"/>
        <v>25</v>
      </c>
      <c r="V34" s="152">
        <f t="shared" si="15"/>
        <v>25</v>
      </c>
      <c r="W34" s="152">
        <f t="shared" si="16"/>
        <v>75</v>
      </c>
      <c r="X34" s="152">
        <f t="shared" si="17"/>
        <v>2</v>
      </c>
      <c r="Y34" s="145"/>
    </row>
    <row r="35" spans="1:25">
      <c r="A35" s="145" t="s">
        <v>263</v>
      </c>
      <c r="B35" s="164">
        <f>B30 * 9</f>
        <v>582.66</v>
      </c>
      <c r="C35" s="162" t="s">
        <v>226</v>
      </c>
      <c r="D35" s="144"/>
      <c r="E35" s="145" t="s">
        <v>264</v>
      </c>
      <c r="F35" s="146">
        <v>1</v>
      </c>
      <c r="G35" s="146" t="s">
        <v>262</v>
      </c>
      <c r="H35" s="146">
        <v>100</v>
      </c>
      <c r="I35" s="146">
        <v>8</v>
      </c>
      <c r="J35" s="146">
        <v>7</v>
      </c>
      <c r="K35" s="146">
        <v>3</v>
      </c>
      <c r="L35" s="146">
        <v>0</v>
      </c>
      <c r="M35" s="144"/>
      <c r="N35" s="149">
        <v>46003</v>
      </c>
      <c r="O35" s="150">
        <v>0.5</v>
      </c>
      <c r="P35" s="145" t="s">
        <v>185</v>
      </c>
      <c r="Q35" s="145" t="s">
        <v>251</v>
      </c>
      <c r="R35" s="151">
        <v>1</v>
      </c>
      <c r="S35" s="145" t="str">
        <f t="shared" si="12"/>
        <v>medium</v>
      </c>
      <c r="T35" s="152">
        <f t="shared" si="13"/>
        <v>55</v>
      </c>
      <c r="U35" s="152">
        <f t="shared" si="14"/>
        <v>1</v>
      </c>
      <c r="V35" s="152">
        <f t="shared" si="15"/>
        <v>0.5</v>
      </c>
      <c r="W35" s="152">
        <f t="shared" si="16"/>
        <v>13</v>
      </c>
      <c r="X35" s="152">
        <f t="shared" si="17"/>
        <v>2.5</v>
      </c>
      <c r="Y35" s="145"/>
    </row>
    <row r="36" spans="1:25">
      <c r="A36" s="145" t="s">
        <v>265</v>
      </c>
      <c r="B36" s="164">
        <f>B31 * 4</f>
        <v>1084.02125</v>
      </c>
      <c r="C36" s="162" t="s">
        <v>226</v>
      </c>
      <c r="D36" s="144"/>
      <c r="E36" s="145" t="s">
        <v>266</v>
      </c>
      <c r="F36" s="146">
        <v>1</v>
      </c>
      <c r="G36" s="146" t="s">
        <v>267</v>
      </c>
      <c r="H36" s="146">
        <v>400</v>
      </c>
      <c r="I36" s="146">
        <v>17.5</v>
      </c>
      <c r="J36" s="146">
        <v>12.5</v>
      </c>
      <c r="K36" s="146">
        <v>52.5</v>
      </c>
      <c r="L36" s="145">
        <v>4</v>
      </c>
      <c r="M36" s="144"/>
      <c r="N36" s="149">
        <v>46003</v>
      </c>
      <c r="O36" s="150">
        <v>0.625</v>
      </c>
      <c r="P36" s="145" t="s">
        <v>199</v>
      </c>
      <c r="Q36" s="145" t="s">
        <v>181</v>
      </c>
      <c r="R36" s="151">
        <v>2</v>
      </c>
      <c r="S36" s="145" t="str">
        <f t="shared" si="12"/>
        <v>slice</v>
      </c>
      <c r="T36" s="152">
        <f t="shared" si="13"/>
        <v>140</v>
      </c>
      <c r="U36" s="152">
        <f t="shared" si="14"/>
        <v>5</v>
      </c>
      <c r="V36" s="152">
        <f t="shared" si="15"/>
        <v>2.5</v>
      </c>
      <c r="W36" s="152">
        <f t="shared" si="16"/>
        <v>24</v>
      </c>
      <c r="X36" s="152">
        <f t="shared" si="17"/>
        <v>2</v>
      </c>
      <c r="Y36" s="145"/>
    </row>
    <row r="37" spans="1:25">
      <c r="A37" s="145" t="s">
        <v>55</v>
      </c>
      <c r="B37" s="164">
        <f>SUM(B34:B36)</f>
        <v>2228.28125</v>
      </c>
      <c r="C37" s="162" t="s">
        <v>226</v>
      </c>
      <c r="D37" s="144"/>
      <c r="E37" s="145" t="s">
        <v>268</v>
      </c>
      <c r="F37" s="146">
        <v>1</v>
      </c>
      <c r="G37" s="146" t="s">
        <v>208</v>
      </c>
      <c r="H37" s="146">
        <v>160</v>
      </c>
      <c r="I37" s="146">
        <v>2.5</v>
      </c>
      <c r="J37" s="146">
        <v>8.5</v>
      </c>
      <c r="K37" s="146">
        <v>19.5</v>
      </c>
      <c r="L37" s="146">
        <v>0</v>
      </c>
      <c r="M37" s="144"/>
      <c r="N37" s="149">
        <v>46003</v>
      </c>
      <c r="O37" s="150">
        <v>0.625</v>
      </c>
      <c r="P37" s="145" t="s">
        <v>199</v>
      </c>
      <c r="Q37" s="145" t="s">
        <v>214</v>
      </c>
      <c r="R37" s="151">
        <v>1</v>
      </c>
      <c r="S37" s="145" t="str">
        <f t="shared" si="12"/>
        <v>bar</v>
      </c>
      <c r="T37" s="152">
        <f t="shared" si="13"/>
        <v>67</v>
      </c>
      <c r="U37" s="152">
        <f t="shared" si="14"/>
        <v>1</v>
      </c>
      <c r="V37" s="152">
        <f t="shared" si="15"/>
        <v>3.5</v>
      </c>
      <c r="W37" s="152">
        <f t="shared" si="16"/>
        <v>22</v>
      </c>
      <c r="X37" s="152">
        <f t="shared" si="17"/>
        <v>0.3</v>
      </c>
      <c r="Y37" s="145"/>
    </row>
    <row r="38" spans="1:25" ht="16.5" customHeight="1">
      <c r="A38" s="144"/>
      <c r="B38" s="144"/>
      <c r="C38" s="144"/>
      <c r="D38" s="144"/>
      <c r="E38" s="145" t="s">
        <v>269</v>
      </c>
      <c r="F38" s="146">
        <v>1</v>
      </c>
      <c r="G38" s="146" t="s">
        <v>195</v>
      </c>
      <c r="H38" s="146">
        <v>5</v>
      </c>
      <c r="I38" s="146">
        <v>0.3</v>
      </c>
      <c r="J38" s="146">
        <v>0</v>
      </c>
      <c r="K38" s="146">
        <v>0</v>
      </c>
      <c r="L38" s="146">
        <v>0</v>
      </c>
      <c r="M38" s="144"/>
      <c r="N38" s="149">
        <v>46003</v>
      </c>
      <c r="O38" s="150">
        <v>0.83333333333333337</v>
      </c>
      <c r="P38" s="145" t="s">
        <v>199</v>
      </c>
      <c r="Q38" s="145" t="s">
        <v>214</v>
      </c>
      <c r="R38" s="151">
        <v>1</v>
      </c>
      <c r="S38" s="145" t="str">
        <f t="shared" si="12"/>
        <v>bar</v>
      </c>
      <c r="T38" s="152">
        <f t="shared" si="13"/>
        <v>67</v>
      </c>
      <c r="U38" s="152">
        <f t="shared" si="14"/>
        <v>1</v>
      </c>
      <c r="V38" s="152">
        <f t="shared" si="15"/>
        <v>3.5</v>
      </c>
      <c r="W38" s="152">
        <f t="shared" si="16"/>
        <v>22</v>
      </c>
      <c r="X38" s="152">
        <f t="shared" si="17"/>
        <v>0.3</v>
      </c>
      <c r="Y38" s="145"/>
    </row>
    <row r="39" spans="1:25" ht="16.5" customHeight="1">
      <c r="A39" s="138" t="s">
        <v>162</v>
      </c>
      <c r="B39" s="139"/>
      <c r="C39" s="140"/>
      <c r="D39" s="144"/>
      <c r="E39" s="145" t="s">
        <v>270</v>
      </c>
      <c r="F39" s="146">
        <v>1</v>
      </c>
      <c r="G39" s="146" t="s">
        <v>267</v>
      </c>
      <c r="H39" s="146">
        <v>120</v>
      </c>
      <c r="I39" s="146">
        <v>15</v>
      </c>
      <c r="J39" s="146">
        <v>5</v>
      </c>
      <c r="K39" s="146">
        <v>8</v>
      </c>
      <c r="L39" s="146">
        <v>2</v>
      </c>
      <c r="M39" s="144"/>
      <c r="N39" s="149">
        <v>46003</v>
      </c>
      <c r="O39" s="150">
        <v>0.83333333333333337</v>
      </c>
      <c r="P39" s="145" t="s">
        <v>199</v>
      </c>
      <c r="Q39" s="145" t="s">
        <v>194</v>
      </c>
      <c r="R39" s="151">
        <v>2</v>
      </c>
      <c r="S39" s="145" t="str">
        <f t="shared" si="12"/>
        <v>cup</v>
      </c>
      <c r="T39" s="152">
        <f t="shared" si="13"/>
        <v>252</v>
      </c>
      <c r="U39" s="152">
        <f t="shared" si="14"/>
        <v>52</v>
      </c>
      <c r="V39" s="152">
        <f t="shared" si="15"/>
        <v>0.8</v>
      </c>
      <c r="W39" s="152">
        <f t="shared" si="16"/>
        <v>3.6</v>
      </c>
      <c r="X39" s="152">
        <f t="shared" si="17"/>
        <v>0</v>
      </c>
      <c r="Y39" s="145"/>
    </row>
    <row r="40" spans="1:25" ht="16.5" customHeight="1">
      <c r="A40" s="143" t="s">
        <v>174</v>
      </c>
      <c r="B40" s="143" t="s">
        <v>175</v>
      </c>
      <c r="C40" s="143" t="s">
        <v>165</v>
      </c>
      <c r="D40" s="144"/>
      <c r="E40" s="211" t="s">
        <v>271</v>
      </c>
      <c r="F40" s="212">
        <v>1</v>
      </c>
      <c r="G40" s="212" t="s">
        <v>272</v>
      </c>
      <c r="H40" s="212">
        <v>250</v>
      </c>
      <c r="I40" s="212">
        <v>14</v>
      </c>
      <c r="J40" s="212">
        <v>20</v>
      </c>
      <c r="K40" s="212">
        <v>2</v>
      </c>
      <c r="L40" s="212">
        <v>0</v>
      </c>
      <c r="M40" s="144"/>
      <c r="N40" s="149">
        <v>46003</v>
      </c>
      <c r="O40" s="150">
        <v>0.83333333333333337</v>
      </c>
      <c r="P40" s="145" t="s">
        <v>199</v>
      </c>
      <c r="Q40" s="145" t="s">
        <v>181</v>
      </c>
      <c r="R40" s="151">
        <v>4</v>
      </c>
      <c r="S40" s="145" t="str">
        <f t="shared" si="12"/>
        <v>slice</v>
      </c>
      <c r="T40" s="152">
        <f t="shared" si="13"/>
        <v>280</v>
      </c>
      <c r="U40" s="152">
        <f t="shared" si="14"/>
        <v>10</v>
      </c>
      <c r="V40" s="152">
        <f t="shared" si="15"/>
        <v>5</v>
      </c>
      <c r="W40" s="152">
        <f t="shared" si="16"/>
        <v>48</v>
      </c>
      <c r="X40" s="152">
        <f t="shared" si="17"/>
        <v>4</v>
      </c>
      <c r="Y40" s="145"/>
    </row>
    <row r="41" spans="1:25">
      <c r="A41" s="145" t="s">
        <v>1</v>
      </c>
      <c r="B41" s="153">
        <v>45672</v>
      </c>
      <c r="C41" s="154"/>
      <c r="D41" s="144"/>
      <c r="E41" s="145" t="s">
        <v>273</v>
      </c>
      <c r="F41" s="146">
        <v>1</v>
      </c>
      <c r="G41" s="146" t="s">
        <v>274</v>
      </c>
      <c r="H41" s="146">
        <v>210</v>
      </c>
      <c r="I41" s="146">
        <v>5</v>
      </c>
      <c r="J41" s="146">
        <v>1</v>
      </c>
      <c r="K41" s="146">
        <v>45</v>
      </c>
      <c r="L41" s="146">
        <v>2</v>
      </c>
      <c r="M41" s="213"/>
      <c r="N41" s="149">
        <v>46003</v>
      </c>
      <c r="O41" s="150">
        <v>0.83333333333333337</v>
      </c>
      <c r="P41" s="145" t="s">
        <v>199</v>
      </c>
      <c r="Q41" s="145" t="s">
        <v>204</v>
      </c>
      <c r="R41" s="151">
        <v>1</v>
      </c>
      <c r="S41" s="145" t="str">
        <f t="shared" si="12"/>
        <v>tbsp</v>
      </c>
      <c r="T41" s="152">
        <f t="shared" si="13"/>
        <v>50</v>
      </c>
      <c r="U41" s="152">
        <f t="shared" si="14"/>
        <v>1</v>
      </c>
      <c r="V41" s="152">
        <f t="shared" si="15"/>
        <v>5</v>
      </c>
      <c r="W41" s="152">
        <f t="shared" si="16"/>
        <v>1</v>
      </c>
      <c r="X41" s="152">
        <f t="shared" si="17"/>
        <v>0</v>
      </c>
      <c r="Y41" s="145"/>
    </row>
    <row r="42" spans="1:25">
      <c r="A42" s="145" t="s">
        <v>182</v>
      </c>
      <c r="B42" s="151">
        <v>28</v>
      </c>
      <c r="C42" s="145" t="s">
        <v>183</v>
      </c>
      <c r="D42" s="144"/>
      <c r="E42" s="145" t="s">
        <v>275</v>
      </c>
      <c r="F42" s="145">
        <v>1</v>
      </c>
      <c r="G42" s="147" t="s">
        <v>276</v>
      </c>
      <c r="H42" s="145">
        <v>90</v>
      </c>
      <c r="I42" s="145">
        <v>0.5</v>
      </c>
      <c r="J42" s="145">
        <v>4.5</v>
      </c>
      <c r="K42" s="145">
        <v>12</v>
      </c>
      <c r="L42" s="145">
        <v>1</v>
      </c>
      <c r="M42" s="144"/>
      <c r="N42" s="149">
        <v>46003</v>
      </c>
      <c r="O42" s="150">
        <v>0.83333333333333337</v>
      </c>
      <c r="P42" s="145" t="s">
        <v>199</v>
      </c>
      <c r="Q42" s="145" t="s">
        <v>234</v>
      </c>
      <c r="R42" s="151">
        <v>1</v>
      </c>
      <c r="S42" s="145" t="str">
        <f t="shared" si="12"/>
        <v>can</v>
      </c>
      <c r="T42" s="152">
        <f t="shared" si="13"/>
        <v>260</v>
      </c>
      <c r="U42" s="152">
        <f t="shared" si="14"/>
        <v>30</v>
      </c>
      <c r="V42" s="152">
        <f t="shared" si="15"/>
        <v>16</v>
      </c>
      <c r="W42" s="152">
        <f t="shared" si="16"/>
        <v>2</v>
      </c>
      <c r="X42" s="152">
        <f t="shared" si="17"/>
        <v>0</v>
      </c>
      <c r="Y42" s="145"/>
    </row>
    <row r="43" spans="1:25">
      <c r="A43" s="145" t="s">
        <v>186</v>
      </c>
      <c r="B43" s="151">
        <v>191</v>
      </c>
      <c r="C43" s="145" t="s">
        <v>187</v>
      </c>
      <c r="D43" s="144"/>
      <c r="E43" s="214" t="s">
        <v>277</v>
      </c>
      <c r="F43" s="162">
        <v>1</v>
      </c>
      <c r="G43" s="215" t="s">
        <v>278</v>
      </c>
      <c r="H43" s="214">
        <v>60</v>
      </c>
      <c r="I43" s="214">
        <v>0</v>
      </c>
      <c r="J43" s="214">
        <v>2</v>
      </c>
      <c r="K43" s="214">
        <v>8</v>
      </c>
      <c r="L43" s="214">
        <v>0</v>
      </c>
      <c r="M43" s="144"/>
      <c r="N43" s="157"/>
      <c r="O43" s="158" t="s">
        <v>217</v>
      </c>
      <c r="P43" s="154"/>
      <c r="Q43" s="154"/>
      <c r="R43" s="154"/>
      <c r="S43" s="154"/>
      <c r="T43" s="159">
        <f>SUM(T32:T42)</f>
        <v>2282</v>
      </c>
      <c r="U43" s="159">
        <f>SUM(U32:U42)</f>
        <v>162</v>
      </c>
      <c r="V43" s="159">
        <f>SUM(V32:V42)</f>
        <v>78.3</v>
      </c>
      <c r="W43" s="159">
        <f>SUM(W32:W42)</f>
        <v>296.60000000000002</v>
      </c>
      <c r="X43" s="159">
        <f>SUM(X32:X42)</f>
        <v>12</v>
      </c>
      <c r="Y43" s="145"/>
    </row>
    <row r="44" spans="1:25">
      <c r="A44" s="145" t="s">
        <v>137</v>
      </c>
      <c r="B44" s="151">
        <v>77</v>
      </c>
      <c r="C44" s="145" t="s">
        <v>66</v>
      </c>
      <c r="D44" s="144"/>
      <c r="E44" s="145" t="s">
        <v>279</v>
      </c>
      <c r="F44" s="145">
        <v>1</v>
      </c>
      <c r="G44" s="147" t="s">
        <v>211</v>
      </c>
      <c r="H44" s="145">
        <v>34</v>
      </c>
      <c r="I44" s="145">
        <v>0.6</v>
      </c>
      <c r="J44" s="145">
        <v>0.2</v>
      </c>
      <c r="K44" s="145">
        <v>8.1999999999999993</v>
      </c>
      <c r="L44" s="145">
        <v>2.1</v>
      </c>
      <c r="M44" s="144"/>
      <c r="N44" s="157"/>
      <c r="O44" s="158" t="s">
        <v>220</v>
      </c>
      <c r="P44" s="154"/>
      <c r="Q44" s="154"/>
      <c r="R44" s="154"/>
      <c r="S44" s="154"/>
      <c r="T44" s="161">
        <f>$B$27</f>
        <v>2228.28125</v>
      </c>
      <c r="U44" s="161">
        <f>$B$29</f>
        <v>140.4</v>
      </c>
      <c r="V44" s="161">
        <f>$B$30</f>
        <v>64.739999999999995</v>
      </c>
      <c r="W44" s="161">
        <f>$B$31</f>
        <v>271.0053125</v>
      </c>
      <c r="X44" s="161">
        <f>$B$32</f>
        <v>31.195937500000003</v>
      </c>
      <c r="Y44" s="145"/>
    </row>
    <row r="45" spans="1:25">
      <c r="A45" s="145" t="s">
        <v>191</v>
      </c>
      <c r="B45" s="151" t="s">
        <v>192</v>
      </c>
      <c r="C45" s="145" t="s">
        <v>193</v>
      </c>
      <c r="D45" s="144"/>
      <c r="E45" s="145" t="s">
        <v>280</v>
      </c>
      <c r="F45" s="145">
        <v>7</v>
      </c>
      <c r="G45" s="147" t="s">
        <v>281</v>
      </c>
      <c r="H45" s="145">
        <v>70</v>
      </c>
      <c r="I45" s="145">
        <v>2</v>
      </c>
      <c r="J45" s="145">
        <v>0</v>
      </c>
      <c r="K45" s="145">
        <v>16</v>
      </c>
      <c r="L45" s="145">
        <v>0</v>
      </c>
      <c r="M45" s="144"/>
      <c r="N45" s="157"/>
      <c r="O45" s="158" t="s">
        <v>222</v>
      </c>
      <c r="P45" s="154"/>
      <c r="Q45" s="154"/>
      <c r="R45" s="154"/>
      <c r="S45" s="154"/>
      <c r="T45" s="161">
        <f>T43-T44</f>
        <v>53.71875</v>
      </c>
      <c r="U45" s="161">
        <f>U43-U44</f>
        <v>21.599999999999994</v>
      </c>
      <c r="V45" s="161">
        <f>V43-V44</f>
        <v>13.560000000000002</v>
      </c>
      <c r="W45" s="161">
        <f>W43-W44</f>
        <v>25.59468750000002</v>
      </c>
      <c r="X45" s="161">
        <f>X43-X44</f>
        <v>-19.195937500000003</v>
      </c>
      <c r="Y45" s="145"/>
    </row>
    <row r="46" spans="1:25">
      <c r="A46" s="145" t="s">
        <v>196</v>
      </c>
      <c r="B46" s="151" t="s">
        <v>197</v>
      </c>
      <c r="C46" s="154"/>
      <c r="D46" s="144"/>
      <c r="E46" s="145" t="s">
        <v>282</v>
      </c>
      <c r="F46" s="145">
        <v>1</v>
      </c>
      <c r="G46" s="147" t="s">
        <v>283</v>
      </c>
      <c r="H46" s="145">
        <v>320</v>
      </c>
      <c r="I46" s="145">
        <v>15</v>
      </c>
      <c r="J46" s="145">
        <v>18</v>
      </c>
      <c r="K46" s="145">
        <v>20</v>
      </c>
      <c r="L46" s="145">
        <v>3</v>
      </c>
      <c r="M46" s="144"/>
      <c r="N46" s="149">
        <v>46004</v>
      </c>
      <c r="O46" s="150">
        <v>0.33333333333333331</v>
      </c>
      <c r="P46" s="145" t="s">
        <v>178</v>
      </c>
      <c r="Q46" s="145" t="s">
        <v>179</v>
      </c>
      <c r="R46" s="151">
        <v>1</v>
      </c>
      <c r="S46" s="145" t="str">
        <f t="shared" ref="S46:S58" si="18">IFERROR(VLOOKUP(Q46, $E$5:$L$109, 3, FALSE), "")</f>
        <v>bottle</v>
      </c>
      <c r="T46" s="152">
        <f t="shared" ref="T46:T58" si="19">IFERROR(VLOOKUP(Q46, $E$5:$L$109, 4, FALSE) * (R46 / VLOOKUP(Q46, $E$5:$L$109, 2, FALSE)), "")</f>
        <v>260</v>
      </c>
      <c r="U46" s="152">
        <f t="shared" ref="U46:U58" si="20">IFERROR(VLOOKUP(Q46, $E$5:$L$109, 5, FALSE) * (R46 / VLOOKUP(Q46, $E$5:$L$109, 2, FALSE)), "")</f>
        <v>33</v>
      </c>
      <c r="V46" s="152">
        <f t="shared" ref="V46:V58" si="21">IFERROR(VLOOKUP(Q46, $E$5:$L$109, 6, FALSE) * (R46 / VLOOKUP(Q46, $E$5:$L$109, 2, FALSE)), "")</f>
        <v>6</v>
      </c>
      <c r="W46" s="152">
        <f t="shared" ref="W46:W58" si="22">IFERROR(VLOOKUP(Q46, $E$5:$L$109, 7, FALSE) * (R46 / VLOOKUP(Q46, $E$5:$L$109, 2, FALSE)), "")</f>
        <v>20</v>
      </c>
      <c r="X46" s="152">
        <f t="shared" ref="X46:X58" si="23">IFERROR(VLOOKUP(Q46, $E$5:$L$109, 8, FALSE) * (R46 / VLOOKUP(Q46, $E$5:$L$109, 2, FALSE)), "")</f>
        <v>0</v>
      </c>
      <c r="Y46" s="145"/>
    </row>
    <row r="47" spans="1:25">
      <c r="A47" s="145" t="s">
        <v>200</v>
      </c>
      <c r="B47" s="151" t="s">
        <v>228</v>
      </c>
      <c r="C47" s="154"/>
      <c r="D47" s="144"/>
      <c r="E47" s="145" t="s">
        <v>284</v>
      </c>
      <c r="F47" s="145">
        <v>1</v>
      </c>
      <c r="G47" s="147" t="s">
        <v>227</v>
      </c>
      <c r="H47" s="145">
        <v>200</v>
      </c>
      <c r="I47" s="145">
        <v>3</v>
      </c>
      <c r="J47" s="145">
        <v>12</v>
      </c>
      <c r="K47" s="145">
        <v>19</v>
      </c>
      <c r="L47" s="145">
        <v>0</v>
      </c>
      <c r="M47" s="144"/>
      <c r="N47" s="149">
        <v>46004</v>
      </c>
      <c r="O47" s="150">
        <v>0.33333333333333331</v>
      </c>
      <c r="P47" s="145" t="s">
        <v>178</v>
      </c>
      <c r="Q47" s="145" t="s">
        <v>181</v>
      </c>
      <c r="R47" s="151">
        <v>2</v>
      </c>
      <c r="S47" s="145" t="str">
        <f t="shared" si="18"/>
        <v>slice</v>
      </c>
      <c r="T47" s="152">
        <f t="shared" si="19"/>
        <v>140</v>
      </c>
      <c r="U47" s="152">
        <f t="shared" si="20"/>
        <v>5</v>
      </c>
      <c r="V47" s="152">
        <f t="shared" si="21"/>
        <v>2.5</v>
      </c>
      <c r="W47" s="152">
        <f t="shared" si="22"/>
        <v>24</v>
      </c>
      <c r="X47" s="152">
        <f t="shared" si="23"/>
        <v>2</v>
      </c>
      <c r="Y47" s="145"/>
    </row>
    <row r="48" spans="1:25">
      <c r="A48" s="147" t="s">
        <v>205</v>
      </c>
      <c r="B48" s="147" t="s">
        <v>206</v>
      </c>
      <c r="C48" s="155"/>
      <c r="D48" s="144"/>
      <c r="E48" s="194" t="s">
        <v>285</v>
      </c>
      <c r="F48" s="216">
        <v>1</v>
      </c>
      <c r="G48" s="195" t="s">
        <v>227</v>
      </c>
      <c r="H48" s="194">
        <v>240</v>
      </c>
      <c r="I48" s="194">
        <v>4</v>
      </c>
      <c r="J48" s="194">
        <v>12</v>
      </c>
      <c r="K48" s="194">
        <v>30</v>
      </c>
      <c r="L48" s="194">
        <v>1.4</v>
      </c>
      <c r="M48" s="144"/>
      <c r="N48" s="149">
        <v>46004</v>
      </c>
      <c r="O48" s="150">
        <v>0.54166666666666663</v>
      </c>
      <c r="P48" s="145" t="s">
        <v>185</v>
      </c>
      <c r="Q48" s="145" t="s">
        <v>176</v>
      </c>
      <c r="R48" s="151">
        <v>392</v>
      </c>
      <c r="S48" s="145" t="str">
        <f t="shared" si="18"/>
        <v>g</v>
      </c>
      <c r="T48" s="152">
        <f t="shared" si="19"/>
        <v>646.79999999999995</v>
      </c>
      <c r="U48" s="152">
        <f t="shared" si="20"/>
        <v>98</v>
      </c>
      <c r="V48" s="152">
        <f t="shared" si="21"/>
        <v>14.112</v>
      </c>
      <c r="W48" s="152">
        <f t="shared" si="22"/>
        <v>0</v>
      </c>
      <c r="X48" s="152">
        <f t="shared" si="23"/>
        <v>0</v>
      </c>
      <c r="Y48" s="145"/>
    </row>
    <row r="49" spans="1:25">
      <c r="A49" s="145" t="s">
        <v>210</v>
      </c>
      <c r="B49" s="145">
        <v>1.2</v>
      </c>
      <c r="C49" s="155"/>
      <c r="D49" s="144"/>
      <c r="E49" s="188" t="s">
        <v>286</v>
      </c>
      <c r="F49" s="210">
        <v>2</v>
      </c>
      <c r="G49" s="189" t="s">
        <v>281</v>
      </c>
      <c r="H49" s="188">
        <v>230</v>
      </c>
      <c r="I49" s="188">
        <v>8</v>
      </c>
      <c r="J49" s="188">
        <v>13</v>
      </c>
      <c r="K49" s="188">
        <v>19</v>
      </c>
      <c r="L49" s="188">
        <v>0</v>
      </c>
      <c r="M49" s="144"/>
      <c r="N49" s="149">
        <v>46004</v>
      </c>
      <c r="O49" s="150">
        <v>0.54166666666666663</v>
      </c>
      <c r="P49" s="145" t="s">
        <v>185</v>
      </c>
      <c r="Q49" s="145" t="s">
        <v>181</v>
      </c>
      <c r="R49" s="151">
        <v>2</v>
      </c>
      <c r="S49" s="145" t="str">
        <f t="shared" si="18"/>
        <v>slice</v>
      </c>
      <c r="T49" s="152">
        <f t="shared" si="19"/>
        <v>140</v>
      </c>
      <c r="U49" s="152">
        <f t="shared" si="20"/>
        <v>5</v>
      </c>
      <c r="V49" s="152">
        <f t="shared" si="21"/>
        <v>2.5</v>
      </c>
      <c r="W49" s="152">
        <f t="shared" si="22"/>
        <v>24</v>
      </c>
      <c r="X49" s="152">
        <f t="shared" si="23"/>
        <v>2</v>
      </c>
      <c r="Y49" s="145"/>
    </row>
    <row r="50" spans="1:25">
      <c r="A50" s="145" t="s">
        <v>197</v>
      </c>
      <c r="B50" s="145">
        <v>1.375</v>
      </c>
      <c r="C50" s="155"/>
      <c r="D50" s="144"/>
      <c r="E50" s="188" t="s">
        <v>287</v>
      </c>
      <c r="F50" s="210">
        <v>1</v>
      </c>
      <c r="G50" s="189" t="s">
        <v>288</v>
      </c>
      <c r="H50" s="188">
        <v>300</v>
      </c>
      <c r="I50" s="188">
        <v>20</v>
      </c>
      <c r="J50" s="188">
        <v>11</v>
      </c>
      <c r="K50" s="188">
        <v>30</v>
      </c>
      <c r="L50" s="188">
        <v>0</v>
      </c>
      <c r="M50" s="144"/>
      <c r="N50" s="149">
        <v>46004</v>
      </c>
      <c r="O50" s="150">
        <v>0.625</v>
      </c>
      <c r="P50" s="145" t="s">
        <v>289</v>
      </c>
      <c r="Q50" s="145" t="s">
        <v>214</v>
      </c>
      <c r="R50" s="151">
        <v>1</v>
      </c>
      <c r="S50" s="145" t="str">
        <f t="shared" si="18"/>
        <v>bar</v>
      </c>
      <c r="T50" s="152">
        <f t="shared" si="19"/>
        <v>67</v>
      </c>
      <c r="U50" s="152">
        <f t="shared" si="20"/>
        <v>1</v>
      </c>
      <c r="V50" s="152">
        <f t="shared" si="21"/>
        <v>3.5</v>
      </c>
      <c r="W50" s="152">
        <f t="shared" si="22"/>
        <v>22</v>
      </c>
      <c r="X50" s="152">
        <f t="shared" si="23"/>
        <v>0.3</v>
      </c>
      <c r="Y50" s="145"/>
    </row>
    <row r="51" spans="1:25">
      <c r="A51" s="145" t="s">
        <v>215</v>
      </c>
      <c r="B51" s="145">
        <v>1.55</v>
      </c>
      <c r="C51" s="155"/>
      <c r="D51" s="144"/>
      <c r="E51" s="194" t="s">
        <v>290</v>
      </c>
      <c r="F51" s="216">
        <v>1</v>
      </c>
      <c r="G51" s="195" t="s">
        <v>276</v>
      </c>
      <c r="H51" s="194">
        <v>200</v>
      </c>
      <c r="I51" s="194">
        <v>8</v>
      </c>
      <c r="J51" s="194">
        <v>15</v>
      </c>
      <c r="K51" s="194">
        <v>3</v>
      </c>
      <c r="L51" s="194">
        <v>0</v>
      </c>
      <c r="M51" s="144"/>
      <c r="N51" s="149">
        <v>46004</v>
      </c>
      <c r="O51" s="150">
        <v>0.625</v>
      </c>
      <c r="P51" s="145" t="s">
        <v>289</v>
      </c>
      <c r="Q51" s="145" t="s">
        <v>253</v>
      </c>
      <c r="R51" s="151">
        <v>2</v>
      </c>
      <c r="S51" s="145" t="str">
        <f t="shared" si="18"/>
        <v>medium</v>
      </c>
      <c r="T51" s="152">
        <f t="shared" si="19"/>
        <v>84</v>
      </c>
      <c r="U51" s="152">
        <f t="shared" si="20"/>
        <v>1.6</v>
      </c>
      <c r="V51" s="152">
        <f t="shared" si="21"/>
        <v>0.8</v>
      </c>
      <c r="W51" s="152">
        <f t="shared" si="22"/>
        <v>20</v>
      </c>
      <c r="X51" s="152">
        <f t="shared" si="23"/>
        <v>4.2</v>
      </c>
      <c r="Y51" s="145"/>
    </row>
    <row r="52" spans="1:25">
      <c r="A52" s="145" t="s">
        <v>218</v>
      </c>
      <c r="B52" s="145">
        <v>1.7250000000000001</v>
      </c>
      <c r="C52" s="155"/>
      <c r="D52" s="144"/>
      <c r="E52" s="194" t="s">
        <v>291</v>
      </c>
      <c r="F52" s="216">
        <v>1</v>
      </c>
      <c r="G52" s="195" t="s">
        <v>276</v>
      </c>
      <c r="H52" s="194">
        <v>340</v>
      </c>
      <c r="I52" s="194">
        <v>7</v>
      </c>
      <c r="J52" s="194">
        <v>4.9000000000000004</v>
      </c>
      <c r="K52" s="194">
        <v>64</v>
      </c>
      <c r="L52" s="194">
        <v>0</v>
      </c>
      <c r="M52" s="144"/>
      <c r="N52" s="149">
        <v>46004</v>
      </c>
      <c r="O52" s="150">
        <v>0.875</v>
      </c>
      <c r="P52" s="145" t="s">
        <v>199</v>
      </c>
      <c r="Q52" s="145" t="s">
        <v>181</v>
      </c>
      <c r="R52" s="151">
        <v>4</v>
      </c>
      <c r="S52" s="145" t="str">
        <f t="shared" si="18"/>
        <v>slice</v>
      </c>
      <c r="T52" s="152">
        <f t="shared" si="19"/>
        <v>280</v>
      </c>
      <c r="U52" s="152">
        <f t="shared" si="20"/>
        <v>10</v>
      </c>
      <c r="V52" s="152">
        <f t="shared" si="21"/>
        <v>5</v>
      </c>
      <c r="W52" s="152">
        <f t="shared" si="22"/>
        <v>48</v>
      </c>
      <c r="X52" s="152">
        <f t="shared" si="23"/>
        <v>4</v>
      </c>
      <c r="Y52" s="145"/>
    </row>
    <row r="53" spans="1:25">
      <c r="A53" s="145" t="s">
        <v>221</v>
      </c>
      <c r="B53" s="145">
        <v>1.9</v>
      </c>
      <c r="C53" s="155"/>
      <c r="D53" s="144"/>
      <c r="E53" s="194" t="s">
        <v>292</v>
      </c>
      <c r="F53" s="216">
        <v>1</v>
      </c>
      <c r="G53" s="195" t="s">
        <v>227</v>
      </c>
      <c r="H53" s="194">
        <v>250</v>
      </c>
      <c r="I53" s="194">
        <v>3</v>
      </c>
      <c r="J53" s="194">
        <v>15</v>
      </c>
      <c r="K53" s="194">
        <v>26</v>
      </c>
      <c r="L53" s="194">
        <v>0</v>
      </c>
      <c r="M53" s="144"/>
      <c r="N53" s="149">
        <v>46004</v>
      </c>
      <c r="O53" s="150">
        <v>0.875</v>
      </c>
      <c r="P53" s="145" t="s">
        <v>199</v>
      </c>
      <c r="Q53" s="145" t="s">
        <v>204</v>
      </c>
      <c r="R53" s="151">
        <v>2</v>
      </c>
      <c r="S53" s="145" t="str">
        <f t="shared" si="18"/>
        <v>tbsp</v>
      </c>
      <c r="T53" s="152">
        <f t="shared" si="19"/>
        <v>100</v>
      </c>
      <c r="U53" s="152">
        <f t="shared" si="20"/>
        <v>2</v>
      </c>
      <c r="V53" s="152">
        <f t="shared" si="21"/>
        <v>10</v>
      </c>
      <c r="W53" s="152">
        <f t="shared" si="22"/>
        <v>2</v>
      </c>
      <c r="X53" s="152">
        <f t="shared" si="23"/>
        <v>0</v>
      </c>
      <c r="Y53" s="145"/>
    </row>
    <row r="54" spans="1:25">
      <c r="A54" s="147" t="s">
        <v>223</v>
      </c>
      <c r="B54" s="147" t="s">
        <v>224</v>
      </c>
      <c r="C54" s="147" t="s">
        <v>165</v>
      </c>
      <c r="D54" s="144"/>
      <c r="E54" s="188" t="s">
        <v>293</v>
      </c>
      <c r="F54" s="210">
        <v>1</v>
      </c>
      <c r="G54" s="189" t="s">
        <v>213</v>
      </c>
      <c r="H54" s="188">
        <v>150</v>
      </c>
      <c r="I54" s="188">
        <v>16</v>
      </c>
      <c r="J54" s="188">
        <v>2.5</v>
      </c>
      <c r="K54" s="188">
        <v>16</v>
      </c>
      <c r="L54" s="188">
        <v>0</v>
      </c>
      <c r="M54" s="144"/>
      <c r="N54" s="149">
        <v>46004</v>
      </c>
      <c r="O54" s="150">
        <v>0.875</v>
      </c>
      <c r="P54" s="145" t="s">
        <v>289</v>
      </c>
      <c r="Q54" s="145" t="s">
        <v>214</v>
      </c>
      <c r="R54" s="151">
        <v>1</v>
      </c>
      <c r="S54" s="145" t="str">
        <f t="shared" si="18"/>
        <v>bar</v>
      </c>
      <c r="T54" s="152">
        <f t="shared" si="19"/>
        <v>67</v>
      </c>
      <c r="U54" s="152">
        <f t="shared" si="20"/>
        <v>1</v>
      </c>
      <c r="V54" s="152">
        <f t="shared" si="21"/>
        <v>3.5</v>
      </c>
      <c r="W54" s="152">
        <f t="shared" si="22"/>
        <v>22</v>
      </c>
      <c r="X54" s="152">
        <f t="shared" si="23"/>
        <v>0.3</v>
      </c>
      <c r="Y54" s="145"/>
    </row>
    <row r="55" spans="1:25">
      <c r="A55" s="145" t="s">
        <v>201</v>
      </c>
      <c r="B55" s="145">
        <v>-300</v>
      </c>
      <c r="C55" s="162" t="s">
        <v>226</v>
      </c>
      <c r="D55" s="144"/>
      <c r="E55" s="188" t="s">
        <v>294</v>
      </c>
      <c r="F55" s="210">
        <v>35</v>
      </c>
      <c r="G55" s="189" t="s">
        <v>177</v>
      </c>
      <c r="H55" s="188">
        <v>120</v>
      </c>
      <c r="I55" s="188">
        <v>2</v>
      </c>
      <c r="J55" s="188">
        <v>1</v>
      </c>
      <c r="K55" s="188">
        <v>30</v>
      </c>
      <c r="L55" s="188">
        <v>0</v>
      </c>
      <c r="M55" s="144"/>
      <c r="N55" s="149">
        <v>46004</v>
      </c>
      <c r="O55" s="150">
        <v>0.875</v>
      </c>
      <c r="P55" s="145" t="s">
        <v>199</v>
      </c>
      <c r="Q55" s="145" t="s">
        <v>219</v>
      </c>
      <c r="R55" s="151">
        <v>1</v>
      </c>
      <c r="S55" s="145" t="str">
        <f t="shared" si="18"/>
        <v>bottle</v>
      </c>
      <c r="T55" s="152">
        <f t="shared" si="19"/>
        <v>0</v>
      </c>
      <c r="U55" s="152">
        <f t="shared" si="20"/>
        <v>0</v>
      </c>
      <c r="V55" s="152">
        <f t="shared" si="21"/>
        <v>0</v>
      </c>
      <c r="W55" s="152">
        <f t="shared" si="22"/>
        <v>0</v>
      </c>
      <c r="X55" s="152">
        <f t="shared" si="23"/>
        <v>0</v>
      </c>
      <c r="Y55" s="145"/>
    </row>
    <row r="56" spans="1:25">
      <c r="A56" s="145" t="s">
        <v>228</v>
      </c>
      <c r="B56" s="145">
        <v>0</v>
      </c>
      <c r="C56" s="162" t="s">
        <v>226</v>
      </c>
      <c r="D56" s="144"/>
      <c r="E56" s="194" t="s">
        <v>295</v>
      </c>
      <c r="F56" s="216">
        <v>1</v>
      </c>
      <c r="G56" s="195" t="s">
        <v>213</v>
      </c>
      <c r="H56" s="194">
        <v>200</v>
      </c>
      <c r="I56" s="194">
        <v>35</v>
      </c>
      <c r="J56" s="194">
        <v>2.5</v>
      </c>
      <c r="K56" s="194">
        <v>9</v>
      </c>
      <c r="L56" s="194">
        <v>0</v>
      </c>
      <c r="M56" s="144"/>
      <c r="N56" s="149">
        <v>46004</v>
      </c>
      <c r="O56" s="150">
        <v>0.875</v>
      </c>
      <c r="P56" s="145" t="s">
        <v>199</v>
      </c>
      <c r="Q56" s="145" t="s">
        <v>212</v>
      </c>
      <c r="R56" s="151">
        <v>1</v>
      </c>
      <c r="S56" s="145" t="str">
        <f t="shared" si="18"/>
        <v>bottle</v>
      </c>
      <c r="T56" s="152">
        <f t="shared" si="19"/>
        <v>70</v>
      </c>
      <c r="U56" s="152">
        <f t="shared" si="20"/>
        <v>0</v>
      </c>
      <c r="V56" s="152">
        <f t="shared" si="21"/>
        <v>0</v>
      </c>
      <c r="W56" s="152">
        <f t="shared" si="22"/>
        <v>17</v>
      </c>
      <c r="X56" s="152">
        <f t="shared" si="23"/>
        <v>1</v>
      </c>
      <c r="Y56" s="145"/>
    </row>
    <row r="57" spans="1:25">
      <c r="A57" s="145" t="s">
        <v>230</v>
      </c>
      <c r="B57" s="145">
        <v>500</v>
      </c>
      <c r="C57" s="162" t="s">
        <v>226</v>
      </c>
      <c r="D57" s="144"/>
      <c r="E57" s="185" t="s">
        <v>296</v>
      </c>
      <c r="F57" s="185">
        <v>1</v>
      </c>
      <c r="G57" s="186" t="s">
        <v>276</v>
      </c>
      <c r="H57" s="185">
        <v>60</v>
      </c>
      <c r="I57" s="185">
        <v>0.7</v>
      </c>
      <c r="J57" s="185">
        <v>0.2</v>
      </c>
      <c r="K57" s="185">
        <v>15</v>
      </c>
      <c r="L57" s="185">
        <v>1.7</v>
      </c>
      <c r="M57" s="144"/>
      <c r="N57" s="149">
        <v>46004</v>
      </c>
      <c r="O57" s="150">
        <v>0.875</v>
      </c>
      <c r="P57" s="145" t="s">
        <v>199</v>
      </c>
      <c r="Q57" s="145" t="s">
        <v>209</v>
      </c>
      <c r="R57" s="151">
        <v>2</v>
      </c>
      <c r="S57" s="145" t="str">
        <f t="shared" si="18"/>
        <v>tbsp</v>
      </c>
      <c r="T57" s="152">
        <f t="shared" si="19"/>
        <v>40</v>
      </c>
      <c r="U57" s="152">
        <f t="shared" si="20"/>
        <v>0</v>
      </c>
      <c r="V57" s="152">
        <f t="shared" si="21"/>
        <v>0</v>
      </c>
      <c r="W57" s="152">
        <f t="shared" si="22"/>
        <v>10</v>
      </c>
      <c r="X57" s="152">
        <f t="shared" si="23"/>
        <v>9</v>
      </c>
      <c r="Y57" s="145"/>
    </row>
    <row r="58" spans="1:25">
      <c r="A58" s="147" t="s">
        <v>232</v>
      </c>
      <c r="B58" s="147" t="s">
        <v>233</v>
      </c>
      <c r="C58" s="147" t="s">
        <v>165</v>
      </c>
      <c r="D58" s="144"/>
      <c r="E58" s="194" t="s">
        <v>297</v>
      </c>
      <c r="F58" s="216">
        <v>1</v>
      </c>
      <c r="G58" s="195" t="s">
        <v>298</v>
      </c>
      <c r="H58" s="194">
        <v>290</v>
      </c>
      <c r="I58" s="194">
        <v>6</v>
      </c>
      <c r="J58" s="194">
        <v>13</v>
      </c>
      <c r="K58" s="194">
        <v>36</v>
      </c>
      <c r="L58" s="194">
        <v>0</v>
      </c>
      <c r="M58" s="144"/>
      <c r="N58" s="165">
        <v>46004</v>
      </c>
      <c r="O58" s="166">
        <v>0.95833333333333337</v>
      </c>
      <c r="P58" s="145" t="s">
        <v>289</v>
      </c>
      <c r="Q58" s="145" t="s">
        <v>190</v>
      </c>
      <c r="R58" s="151">
        <v>2</v>
      </c>
      <c r="S58" s="145" t="str">
        <f t="shared" si="18"/>
        <v>medium</v>
      </c>
      <c r="T58" s="152">
        <f t="shared" si="19"/>
        <v>124</v>
      </c>
      <c r="U58" s="152">
        <f t="shared" si="20"/>
        <v>2.4</v>
      </c>
      <c r="V58" s="152">
        <f t="shared" si="21"/>
        <v>0.4</v>
      </c>
      <c r="W58" s="152">
        <f t="shared" si="22"/>
        <v>30.8</v>
      </c>
      <c r="X58" s="152">
        <f t="shared" si="23"/>
        <v>6.2</v>
      </c>
      <c r="Y58" s="145"/>
    </row>
    <row r="59" spans="1:25" ht="18">
      <c r="A59" s="145" t="s">
        <v>236</v>
      </c>
      <c r="B59" s="163">
        <f>B44/((B43/100)^2)</f>
        <v>21.106877552698666</v>
      </c>
      <c r="C59" s="240" t="s">
        <v>237</v>
      </c>
      <c r="D59" s="144"/>
      <c r="E59" s="188" t="s">
        <v>299</v>
      </c>
      <c r="F59" s="210">
        <v>1</v>
      </c>
      <c r="G59" s="189" t="s">
        <v>298</v>
      </c>
      <c r="H59" s="188">
        <v>45</v>
      </c>
      <c r="I59" s="188">
        <v>1</v>
      </c>
      <c r="J59" s="188">
        <v>2</v>
      </c>
      <c r="K59" s="188">
        <v>6</v>
      </c>
      <c r="L59" s="188">
        <v>0</v>
      </c>
      <c r="M59" s="144"/>
      <c r="N59" s="157"/>
      <c r="O59" s="158" t="s">
        <v>217</v>
      </c>
      <c r="P59" s="167"/>
      <c r="Q59" s="154"/>
      <c r="R59" s="154"/>
      <c r="S59" s="154"/>
      <c r="T59" s="159">
        <f>SUM(T46:T58)</f>
        <v>2018.8</v>
      </c>
      <c r="U59" s="159">
        <f>SUM(U46:U58)</f>
        <v>159</v>
      </c>
      <c r="V59" s="159">
        <f>SUM(V46:V58)</f>
        <v>48.312000000000005</v>
      </c>
      <c r="W59" s="159">
        <f>SUM(W46:W58)</f>
        <v>239.8</v>
      </c>
      <c r="X59" s="159">
        <f>SUM(X46:X58)</f>
        <v>29</v>
      </c>
      <c r="Y59" s="145"/>
    </row>
    <row r="60" spans="1:25">
      <c r="A60" s="145" t="s">
        <v>239</v>
      </c>
      <c r="B60" s="163">
        <f>IF(B45="M", (10*B44)+(6.25*B43)-(5*B42)+5, (10*B44)+(6.25*B43)-(5*B42)-161)</f>
        <v>1828.75</v>
      </c>
      <c r="C60" s="162" t="s">
        <v>226</v>
      </c>
      <c r="D60" s="144"/>
      <c r="E60" s="188" t="s">
        <v>300</v>
      </c>
      <c r="F60" s="210">
        <v>1</v>
      </c>
      <c r="G60" s="189" t="s">
        <v>213</v>
      </c>
      <c r="H60" s="188">
        <v>250</v>
      </c>
      <c r="I60" s="188">
        <v>33</v>
      </c>
      <c r="J60" s="188">
        <v>4</v>
      </c>
      <c r="K60" s="188">
        <v>21</v>
      </c>
      <c r="L60" s="188">
        <v>0</v>
      </c>
      <c r="M60" s="144"/>
      <c r="N60" s="157"/>
      <c r="O60" s="158" t="s">
        <v>220</v>
      </c>
      <c r="P60" s="167"/>
      <c r="Q60" s="154"/>
      <c r="R60" s="154"/>
      <c r="S60" s="154"/>
      <c r="T60" s="161">
        <f>$B$27</f>
        <v>2228.28125</v>
      </c>
      <c r="U60" s="161">
        <f>$B$29</f>
        <v>140.4</v>
      </c>
      <c r="V60" s="161">
        <f>$B$30</f>
        <v>64.739999999999995</v>
      </c>
      <c r="W60" s="161">
        <f>$B$31</f>
        <v>271.0053125</v>
      </c>
      <c r="X60" s="161">
        <f>$B$32</f>
        <v>31.195937500000003</v>
      </c>
      <c r="Y60" s="145"/>
    </row>
    <row r="61" spans="1:25">
      <c r="A61" s="145" t="s">
        <v>242</v>
      </c>
      <c r="B61" s="163">
        <f>B60 * VLOOKUP(B46, A49:B53, 2, FALSE)</f>
        <v>2514.53125</v>
      </c>
      <c r="C61" s="162" t="s">
        <v>226</v>
      </c>
      <c r="D61" s="144"/>
      <c r="E61" s="194" t="s">
        <v>301</v>
      </c>
      <c r="F61" s="216">
        <v>1</v>
      </c>
      <c r="G61" s="195" t="s">
        <v>227</v>
      </c>
      <c r="H61" s="194">
        <v>160</v>
      </c>
      <c r="I61" s="194">
        <v>2</v>
      </c>
      <c r="J61" s="194">
        <v>8</v>
      </c>
      <c r="K61" s="194">
        <v>19</v>
      </c>
      <c r="L61" s="194">
        <v>0</v>
      </c>
      <c r="M61" s="144"/>
      <c r="N61" s="157"/>
      <c r="O61" s="158" t="s">
        <v>222</v>
      </c>
      <c r="P61" s="167"/>
      <c r="Q61" s="154"/>
      <c r="R61" s="154"/>
      <c r="S61" s="154"/>
      <c r="T61" s="161">
        <f>T59-T60</f>
        <v>-209.48125000000005</v>
      </c>
      <c r="U61" s="161">
        <f>U59-U60</f>
        <v>18.599999999999994</v>
      </c>
      <c r="V61" s="161">
        <f>V59-V60</f>
        <v>-16.42799999999999</v>
      </c>
      <c r="W61" s="161">
        <f>W59-W60</f>
        <v>-31.205312499999991</v>
      </c>
      <c r="X61" s="161">
        <f>X59-X60</f>
        <v>-2.195937500000003</v>
      </c>
      <c r="Y61" s="145"/>
    </row>
    <row r="62" spans="1:25">
      <c r="A62" s="145" t="s">
        <v>244</v>
      </c>
      <c r="B62" s="163">
        <f>B61 + VLOOKUP(B47, A55:B57, 2, FALSE)</f>
        <v>2514.53125</v>
      </c>
      <c r="C62" s="162" t="s">
        <v>226</v>
      </c>
      <c r="D62" s="144"/>
      <c r="E62" s="185" t="s">
        <v>302</v>
      </c>
      <c r="F62" s="185">
        <v>1</v>
      </c>
      <c r="G62" s="186" t="s">
        <v>303</v>
      </c>
      <c r="H62" s="185">
        <v>450</v>
      </c>
      <c r="I62" s="185">
        <v>35</v>
      </c>
      <c r="J62" s="185">
        <v>32</v>
      </c>
      <c r="K62" s="185">
        <v>5</v>
      </c>
      <c r="L62" s="185">
        <v>0</v>
      </c>
      <c r="M62" s="144"/>
      <c r="N62" s="168">
        <v>46005</v>
      </c>
      <c r="O62" s="169">
        <v>0.54166666666666663</v>
      </c>
      <c r="P62" s="145" t="s">
        <v>185</v>
      </c>
      <c r="Q62" s="145" t="s">
        <v>255</v>
      </c>
      <c r="R62" s="151">
        <v>1</v>
      </c>
      <c r="S62" s="145" t="str">
        <f t="shared" ref="S62:S75" si="24">IFERROR(VLOOKUP(Q62, $E$5:$L$109, 3, FALSE), "")</f>
        <v>bottle</v>
      </c>
      <c r="T62" s="152">
        <f t="shared" ref="T62:T75" si="25">IFERROR(VLOOKUP(Q62, $E$5:$L$109, 4, FALSE) * (R62 / VLOOKUP(Q62, $E$5:$L$109, 2, FALSE)), "")</f>
        <v>190</v>
      </c>
      <c r="U62" s="152">
        <f t="shared" ref="U62:U75" si="26">IFERROR(VLOOKUP(Q62, $E$5:$L$109, 5, FALSE) * (R62 / VLOOKUP(Q62, $E$5:$L$109, 2, FALSE)), "")</f>
        <v>36</v>
      </c>
      <c r="V62" s="152">
        <f t="shared" ref="V62:V75" si="27">IFERROR(VLOOKUP(Q62, $E$5:$L$109, 6, FALSE) * (R62 / VLOOKUP(Q62, $E$5:$L$109, 2, FALSE)), "")</f>
        <v>1.5</v>
      </c>
      <c r="W62" s="152">
        <f t="shared" ref="W62:W75" si="28">IFERROR(VLOOKUP(Q62, $E$5:$L$109, 7, FALSE) * (R62 / VLOOKUP(Q62, $E$5:$L$109, 2, FALSE)), "")</f>
        <v>6</v>
      </c>
      <c r="X62" s="152">
        <f t="shared" ref="X62:X75" si="29">IFERROR(VLOOKUP(Q62, $E$5:$L$109, 8, FALSE) * (R62 / VLOOKUP(Q62, $E$5:$L$109, 2, FALSE)), "")</f>
        <v>1</v>
      </c>
      <c r="Y62" s="145"/>
    </row>
    <row r="63" spans="1:25">
      <c r="A63" s="147" t="s">
        <v>246</v>
      </c>
      <c r="B63" s="147" t="s">
        <v>233</v>
      </c>
      <c r="C63" s="147" t="s">
        <v>165</v>
      </c>
      <c r="D63" s="144"/>
      <c r="E63" s="183" t="s">
        <v>304</v>
      </c>
      <c r="F63" s="183">
        <v>1</v>
      </c>
      <c r="G63" s="184" t="s">
        <v>305</v>
      </c>
      <c r="H63" s="183">
        <v>150</v>
      </c>
      <c r="I63" s="183">
        <v>1</v>
      </c>
      <c r="J63" s="183">
        <v>0</v>
      </c>
      <c r="K63" s="183">
        <v>13</v>
      </c>
      <c r="L63" s="183">
        <v>0</v>
      </c>
      <c r="M63" s="144"/>
      <c r="N63" s="149">
        <v>46005</v>
      </c>
      <c r="O63" s="150">
        <v>0.54166666666666663</v>
      </c>
      <c r="P63" s="145" t="s">
        <v>185</v>
      </c>
      <c r="Q63" s="145" t="s">
        <v>176</v>
      </c>
      <c r="R63" s="151">
        <v>200</v>
      </c>
      <c r="S63" s="145" t="str">
        <f t="shared" si="24"/>
        <v>g</v>
      </c>
      <c r="T63" s="152">
        <f t="shared" si="25"/>
        <v>330</v>
      </c>
      <c r="U63" s="152">
        <f t="shared" si="26"/>
        <v>50</v>
      </c>
      <c r="V63" s="152">
        <f t="shared" si="27"/>
        <v>7.2</v>
      </c>
      <c r="W63" s="152">
        <f t="shared" si="28"/>
        <v>0</v>
      </c>
      <c r="X63" s="152">
        <f t="shared" si="29"/>
        <v>0</v>
      </c>
      <c r="Y63" s="145"/>
    </row>
    <row r="64" spans="1:25">
      <c r="A64" s="145" t="s">
        <v>248</v>
      </c>
      <c r="B64" s="163">
        <f>B44 * 2</f>
        <v>154</v>
      </c>
      <c r="C64" s="162" t="s">
        <v>177</v>
      </c>
      <c r="D64" s="144"/>
      <c r="E64" s="194" t="s">
        <v>306</v>
      </c>
      <c r="F64" s="216">
        <v>1</v>
      </c>
      <c r="G64" s="195" t="s">
        <v>235</v>
      </c>
      <c r="H64" s="194">
        <v>260</v>
      </c>
      <c r="I64" s="194">
        <v>2</v>
      </c>
      <c r="J64" s="194">
        <v>17</v>
      </c>
      <c r="K64" s="194">
        <v>30</v>
      </c>
      <c r="L64" s="194">
        <v>1</v>
      </c>
      <c r="M64" s="144"/>
      <c r="N64" s="149">
        <v>46005</v>
      </c>
      <c r="O64" s="150">
        <v>0.54166666666666663</v>
      </c>
      <c r="P64" s="145" t="s">
        <v>185</v>
      </c>
      <c r="Q64" s="145" t="s">
        <v>181</v>
      </c>
      <c r="R64" s="151">
        <v>2</v>
      </c>
      <c r="S64" s="145" t="str">
        <f t="shared" si="24"/>
        <v>slice</v>
      </c>
      <c r="T64" s="152">
        <f t="shared" si="25"/>
        <v>140</v>
      </c>
      <c r="U64" s="152">
        <f t="shared" si="26"/>
        <v>5</v>
      </c>
      <c r="V64" s="152">
        <f t="shared" si="27"/>
        <v>2.5</v>
      </c>
      <c r="W64" s="152">
        <f t="shared" si="28"/>
        <v>24</v>
      </c>
      <c r="X64" s="152">
        <f t="shared" si="29"/>
        <v>2</v>
      </c>
      <c r="Y64" s="145"/>
    </row>
    <row r="65" spans="1:25">
      <c r="A65" s="145" t="s">
        <v>250</v>
      </c>
      <c r="B65" s="163">
        <f>B44 * 0.83</f>
        <v>63.91</v>
      </c>
      <c r="C65" s="162" t="s">
        <v>177</v>
      </c>
      <c r="D65" s="144"/>
      <c r="E65" s="201" t="s">
        <v>307</v>
      </c>
      <c r="F65" s="158">
        <v>1</v>
      </c>
      <c r="G65" s="147" t="s">
        <v>276</v>
      </c>
      <c r="H65" s="145">
        <v>5</v>
      </c>
      <c r="I65" s="145">
        <v>0.1</v>
      </c>
      <c r="J65" s="145">
        <v>0</v>
      </c>
      <c r="K65" s="145">
        <v>1.3</v>
      </c>
      <c r="L65" s="145">
        <v>0.1</v>
      </c>
      <c r="M65" s="144"/>
      <c r="N65" s="149">
        <v>46005</v>
      </c>
      <c r="O65" s="150">
        <v>0.54166666666666663</v>
      </c>
      <c r="P65" s="145" t="s">
        <v>289</v>
      </c>
      <c r="Q65" s="145" t="s">
        <v>214</v>
      </c>
      <c r="R65" s="151">
        <v>1</v>
      </c>
      <c r="S65" s="145" t="str">
        <f t="shared" si="24"/>
        <v>bar</v>
      </c>
      <c r="T65" s="152">
        <f t="shared" si="25"/>
        <v>67</v>
      </c>
      <c r="U65" s="152">
        <f t="shared" si="26"/>
        <v>1</v>
      </c>
      <c r="V65" s="152">
        <f t="shared" si="27"/>
        <v>3.5</v>
      </c>
      <c r="W65" s="152">
        <f t="shared" si="28"/>
        <v>22</v>
      </c>
      <c r="X65" s="152">
        <f t="shared" si="29"/>
        <v>0.3</v>
      </c>
      <c r="Y65" s="145"/>
    </row>
    <row r="66" spans="1:25">
      <c r="A66" s="145" t="s">
        <v>252</v>
      </c>
      <c r="B66" s="163">
        <f>(B62 - (B64*4 + B65*9))/4</f>
        <v>330.83531249999999</v>
      </c>
      <c r="C66" s="162" t="s">
        <v>177</v>
      </c>
      <c r="D66" s="144"/>
      <c r="E66" s="206" t="s">
        <v>308</v>
      </c>
      <c r="F66" s="158">
        <v>1</v>
      </c>
      <c r="G66" s="147" t="s">
        <v>276</v>
      </c>
      <c r="H66" s="145">
        <v>110</v>
      </c>
      <c r="I66" s="145">
        <v>8</v>
      </c>
      <c r="J66" s="145">
        <v>7</v>
      </c>
      <c r="K66" s="145">
        <v>5</v>
      </c>
      <c r="L66" s="145">
        <v>0</v>
      </c>
      <c r="M66" s="144"/>
      <c r="N66" s="149">
        <v>46005</v>
      </c>
      <c r="O66" s="150">
        <v>0.58333333333333337</v>
      </c>
      <c r="P66" s="145" t="s">
        <v>289</v>
      </c>
      <c r="Q66" s="145" t="s">
        <v>253</v>
      </c>
      <c r="R66" s="151">
        <v>1</v>
      </c>
      <c r="S66" s="145" t="str">
        <f t="shared" si="24"/>
        <v>medium</v>
      </c>
      <c r="T66" s="152">
        <f t="shared" si="25"/>
        <v>42</v>
      </c>
      <c r="U66" s="152">
        <f t="shared" si="26"/>
        <v>0.8</v>
      </c>
      <c r="V66" s="152">
        <f t="shared" si="27"/>
        <v>0.4</v>
      </c>
      <c r="W66" s="152">
        <f t="shared" si="28"/>
        <v>10</v>
      </c>
      <c r="X66" s="152">
        <f t="shared" si="29"/>
        <v>2.1</v>
      </c>
      <c r="Y66" s="145"/>
    </row>
    <row r="67" spans="1:25">
      <c r="A67" s="145" t="s">
        <v>254</v>
      </c>
      <c r="B67" s="163">
        <f>(B62 / 1000) * 14</f>
        <v>35.2034375</v>
      </c>
      <c r="C67" s="162" t="s">
        <v>177</v>
      </c>
      <c r="D67" s="144"/>
      <c r="E67" s="202" t="s">
        <v>309</v>
      </c>
      <c r="F67" s="203">
        <v>0.16666666666666666</v>
      </c>
      <c r="G67" s="189" t="s">
        <v>235</v>
      </c>
      <c r="H67" s="188">
        <v>170</v>
      </c>
      <c r="I67" s="188">
        <v>3</v>
      </c>
      <c r="J67" s="188">
        <v>11</v>
      </c>
      <c r="K67" s="188">
        <v>14</v>
      </c>
      <c r="L67" s="188">
        <v>0</v>
      </c>
      <c r="M67" s="144"/>
      <c r="N67" s="149">
        <v>46005</v>
      </c>
      <c r="O67" s="150">
        <v>0.58333333333333337</v>
      </c>
      <c r="P67" s="145" t="s">
        <v>289</v>
      </c>
      <c r="Q67" s="145" t="s">
        <v>214</v>
      </c>
      <c r="R67" s="151">
        <v>1</v>
      </c>
      <c r="S67" s="145" t="str">
        <f t="shared" si="24"/>
        <v>bar</v>
      </c>
      <c r="T67" s="152">
        <f t="shared" si="25"/>
        <v>67</v>
      </c>
      <c r="U67" s="152">
        <f t="shared" si="26"/>
        <v>1</v>
      </c>
      <c r="V67" s="152">
        <f t="shared" si="27"/>
        <v>3.5</v>
      </c>
      <c r="W67" s="152">
        <f t="shared" si="28"/>
        <v>22</v>
      </c>
      <c r="X67" s="152">
        <f t="shared" si="29"/>
        <v>0.3</v>
      </c>
      <c r="Y67" s="145"/>
    </row>
    <row r="68" spans="1:25">
      <c r="A68" s="147" t="s">
        <v>256</v>
      </c>
      <c r="B68" s="147" t="s">
        <v>257</v>
      </c>
      <c r="C68" s="147" t="s">
        <v>165</v>
      </c>
      <c r="D68" s="144"/>
      <c r="E68" s="207" t="s">
        <v>310</v>
      </c>
      <c r="F68" s="204">
        <v>1</v>
      </c>
      <c r="G68" s="189" t="s">
        <v>311</v>
      </c>
      <c r="H68" s="188">
        <v>1650</v>
      </c>
      <c r="I68" s="188">
        <v>24</v>
      </c>
      <c r="J68" s="188">
        <v>115</v>
      </c>
      <c r="K68" s="188">
        <v>175</v>
      </c>
      <c r="L68" s="188">
        <v>14</v>
      </c>
      <c r="M68" s="144"/>
      <c r="N68" s="149">
        <v>46005</v>
      </c>
      <c r="O68" s="150">
        <v>0.75</v>
      </c>
      <c r="P68" s="145" t="s">
        <v>199</v>
      </c>
      <c r="Q68" s="145" t="s">
        <v>194</v>
      </c>
      <c r="R68" s="151">
        <v>1</v>
      </c>
      <c r="S68" s="145" t="str">
        <f t="shared" si="24"/>
        <v>cup</v>
      </c>
      <c r="T68" s="152">
        <f t="shared" si="25"/>
        <v>126</v>
      </c>
      <c r="U68" s="152">
        <f t="shared" si="26"/>
        <v>26</v>
      </c>
      <c r="V68" s="152">
        <f t="shared" si="27"/>
        <v>0.4</v>
      </c>
      <c r="W68" s="152">
        <f t="shared" si="28"/>
        <v>1.8</v>
      </c>
      <c r="X68" s="152">
        <f t="shared" si="29"/>
        <v>0</v>
      </c>
      <c r="Y68" s="145"/>
    </row>
    <row r="69" spans="1:25">
      <c r="A69" s="145" t="s">
        <v>260</v>
      </c>
      <c r="B69" s="164">
        <f>B64 * 4</f>
        <v>616</v>
      </c>
      <c r="C69" s="162" t="s">
        <v>226</v>
      </c>
      <c r="D69" s="144"/>
      <c r="E69" s="196" t="s">
        <v>312</v>
      </c>
      <c r="F69" s="198">
        <v>1</v>
      </c>
      <c r="G69" s="195" t="s">
        <v>184</v>
      </c>
      <c r="H69" s="194">
        <v>470</v>
      </c>
      <c r="I69" s="194">
        <v>19</v>
      </c>
      <c r="J69" s="194">
        <v>27</v>
      </c>
      <c r="K69" s="194">
        <v>37</v>
      </c>
      <c r="L69" s="194">
        <v>2</v>
      </c>
      <c r="M69" s="144"/>
      <c r="N69" s="149">
        <v>46005</v>
      </c>
      <c r="O69" s="150">
        <v>0.75</v>
      </c>
      <c r="P69" s="145" t="s">
        <v>199</v>
      </c>
      <c r="Q69" s="145" t="s">
        <v>176</v>
      </c>
      <c r="R69" s="151">
        <v>100</v>
      </c>
      <c r="S69" s="145" t="str">
        <f t="shared" si="24"/>
        <v>g</v>
      </c>
      <c r="T69" s="152">
        <f t="shared" si="25"/>
        <v>165</v>
      </c>
      <c r="U69" s="152">
        <f t="shared" si="26"/>
        <v>25</v>
      </c>
      <c r="V69" s="152">
        <f t="shared" si="27"/>
        <v>3.6</v>
      </c>
      <c r="W69" s="152">
        <f t="shared" si="28"/>
        <v>0</v>
      </c>
      <c r="X69" s="152">
        <f t="shared" si="29"/>
        <v>0</v>
      </c>
      <c r="Y69" s="145"/>
    </row>
    <row r="70" spans="1:25">
      <c r="A70" s="145" t="s">
        <v>263</v>
      </c>
      <c r="B70" s="164">
        <f>B65 * 9</f>
        <v>575.18999999999994</v>
      </c>
      <c r="C70" s="162" t="s">
        <v>226</v>
      </c>
      <c r="D70" s="144"/>
      <c r="E70" s="190" t="s">
        <v>313</v>
      </c>
      <c r="F70" s="199">
        <v>1</v>
      </c>
      <c r="G70" s="191" t="s">
        <v>314</v>
      </c>
      <c r="H70" s="190">
        <v>620</v>
      </c>
      <c r="I70" s="190">
        <v>38</v>
      </c>
      <c r="J70" s="190">
        <v>42</v>
      </c>
      <c r="K70" s="190">
        <v>22</v>
      </c>
      <c r="L70" s="190">
        <v>1</v>
      </c>
      <c r="M70" s="144"/>
      <c r="N70" s="149">
        <v>46005</v>
      </c>
      <c r="O70" s="150">
        <v>0.75</v>
      </c>
      <c r="P70" s="145" t="s">
        <v>199</v>
      </c>
      <c r="Q70" s="145" t="s">
        <v>181</v>
      </c>
      <c r="R70" s="151">
        <v>2</v>
      </c>
      <c r="S70" s="145" t="str">
        <f t="shared" si="24"/>
        <v>slice</v>
      </c>
      <c r="T70" s="152">
        <f t="shared" si="25"/>
        <v>140</v>
      </c>
      <c r="U70" s="152">
        <f t="shared" si="26"/>
        <v>5</v>
      </c>
      <c r="V70" s="152">
        <f t="shared" si="27"/>
        <v>2.5</v>
      </c>
      <c r="W70" s="152">
        <f t="shared" si="28"/>
        <v>24</v>
      </c>
      <c r="X70" s="152">
        <f t="shared" si="29"/>
        <v>2</v>
      </c>
      <c r="Y70" s="145"/>
    </row>
    <row r="71" spans="1:25">
      <c r="A71" s="145" t="s">
        <v>265</v>
      </c>
      <c r="B71" s="164">
        <f>B66 * 4</f>
        <v>1323.3412499999999</v>
      </c>
      <c r="C71" s="162" t="s">
        <v>226</v>
      </c>
      <c r="D71" s="144"/>
      <c r="E71" s="192" t="s">
        <v>315</v>
      </c>
      <c r="F71" s="200">
        <v>1</v>
      </c>
      <c r="G71" s="193" t="s">
        <v>288</v>
      </c>
      <c r="H71" s="192">
        <v>520</v>
      </c>
      <c r="I71" s="192">
        <v>30</v>
      </c>
      <c r="J71" s="192">
        <v>26</v>
      </c>
      <c r="K71" s="192">
        <v>42</v>
      </c>
      <c r="L71" s="192">
        <v>2</v>
      </c>
      <c r="M71" s="144"/>
      <c r="N71" s="149">
        <v>46005</v>
      </c>
      <c r="O71" s="150">
        <v>0.75</v>
      </c>
      <c r="P71" s="145" t="s">
        <v>289</v>
      </c>
      <c r="Q71" s="145" t="s">
        <v>204</v>
      </c>
      <c r="R71" s="151">
        <v>1</v>
      </c>
      <c r="S71" s="145" t="str">
        <f t="shared" si="24"/>
        <v>tbsp</v>
      </c>
      <c r="T71" s="152">
        <f t="shared" si="25"/>
        <v>50</v>
      </c>
      <c r="U71" s="152">
        <f t="shared" si="26"/>
        <v>1</v>
      </c>
      <c r="V71" s="152">
        <f t="shared" si="27"/>
        <v>5</v>
      </c>
      <c r="W71" s="152">
        <f t="shared" si="28"/>
        <v>1</v>
      </c>
      <c r="X71" s="152">
        <f t="shared" si="29"/>
        <v>0</v>
      </c>
      <c r="Y71" s="145"/>
    </row>
    <row r="72" spans="1:25">
      <c r="A72" s="145" t="s">
        <v>55</v>
      </c>
      <c r="B72" s="164">
        <f>SUM(B69:B71)</f>
        <v>2514.53125</v>
      </c>
      <c r="C72" s="162" t="s">
        <v>226</v>
      </c>
      <c r="D72" s="144"/>
      <c r="E72" s="205" t="s">
        <v>316</v>
      </c>
      <c r="F72" s="192">
        <v>1</v>
      </c>
      <c r="G72" s="193" t="s">
        <v>317</v>
      </c>
      <c r="H72" s="192">
        <v>480</v>
      </c>
      <c r="I72" s="192">
        <v>7</v>
      </c>
      <c r="J72" s="192">
        <v>23</v>
      </c>
      <c r="K72" s="192">
        <v>65</v>
      </c>
      <c r="L72" s="192">
        <v>6</v>
      </c>
      <c r="M72" s="144"/>
      <c r="N72" s="149">
        <v>46005</v>
      </c>
      <c r="O72" s="150">
        <v>0.75</v>
      </c>
      <c r="P72" s="145" t="s">
        <v>199</v>
      </c>
      <c r="Q72" s="145" t="s">
        <v>209</v>
      </c>
      <c r="R72" s="151">
        <v>3</v>
      </c>
      <c r="S72" s="145" t="str">
        <f t="shared" si="24"/>
        <v>tbsp</v>
      </c>
      <c r="T72" s="152">
        <f t="shared" si="25"/>
        <v>60</v>
      </c>
      <c r="U72" s="152">
        <f t="shared" si="26"/>
        <v>0</v>
      </c>
      <c r="V72" s="152">
        <f t="shared" si="27"/>
        <v>0</v>
      </c>
      <c r="W72" s="152">
        <f t="shared" si="28"/>
        <v>15</v>
      </c>
      <c r="X72" s="152">
        <f t="shared" si="29"/>
        <v>13.5</v>
      </c>
      <c r="Y72" s="145"/>
    </row>
    <row r="73" spans="1:25">
      <c r="A73" s="144"/>
      <c r="B73" s="144"/>
      <c r="C73" s="144"/>
      <c r="D73" s="144"/>
      <c r="E73" s="208" t="s">
        <v>318</v>
      </c>
      <c r="F73" s="208">
        <v>1</v>
      </c>
      <c r="G73" s="209" t="s">
        <v>319</v>
      </c>
      <c r="H73" s="208">
        <v>380</v>
      </c>
      <c r="I73" s="208">
        <v>0</v>
      </c>
      <c r="J73" s="208">
        <v>0</v>
      </c>
      <c r="K73" s="208">
        <v>100</v>
      </c>
      <c r="L73" s="208">
        <v>0</v>
      </c>
      <c r="M73" s="144"/>
      <c r="N73" s="149">
        <v>46005</v>
      </c>
      <c r="O73" s="150">
        <v>0.75</v>
      </c>
      <c r="P73" s="145" t="s">
        <v>199</v>
      </c>
      <c r="Q73" s="145" t="s">
        <v>212</v>
      </c>
      <c r="R73" s="151">
        <v>1</v>
      </c>
      <c r="S73" s="145" t="str">
        <f t="shared" si="24"/>
        <v>bottle</v>
      </c>
      <c r="T73" s="152">
        <f t="shared" si="25"/>
        <v>70</v>
      </c>
      <c r="U73" s="152">
        <f t="shared" si="26"/>
        <v>0</v>
      </c>
      <c r="V73" s="152">
        <f t="shared" si="27"/>
        <v>0</v>
      </c>
      <c r="W73" s="152">
        <f t="shared" si="28"/>
        <v>17</v>
      </c>
      <c r="X73" s="152">
        <f t="shared" si="29"/>
        <v>1</v>
      </c>
      <c r="Y73" s="145"/>
    </row>
    <row r="74" spans="1:25">
      <c r="A74" s="144"/>
      <c r="B74" s="144"/>
      <c r="C74" s="144"/>
      <c r="D74" s="144"/>
      <c r="E74" s="192" t="s">
        <v>320</v>
      </c>
      <c r="F74" s="192">
        <v>1</v>
      </c>
      <c r="G74" s="193" t="s">
        <v>317</v>
      </c>
      <c r="H74" s="192">
        <v>200</v>
      </c>
      <c r="I74" s="192">
        <v>4</v>
      </c>
      <c r="J74" s="192">
        <v>8</v>
      </c>
      <c r="K74" s="192">
        <v>28</v>
      </c>
      <c r="L74" s="192">
        <v>3</v>
      </c>
      <c r="M74" s="144"/>
      <c r="N74" s="149">
        <v>46005</v>
      </c>
      <c r="O74" s="150">
        <v>0.75</v>
      </c>
      <c r="P74" s="145" t="s">
        <v>199</v>
      </c>
      <c r="Q74" s="145" t="s">
        <v>190</v>
      </c>
      <c r="R74" s="151">
        <v>1</v>
      </c>
      <c r="S74" s="145" t="str">
        <f t="shared" si="24"/>
        <v>medium</v>
      </c>
      <c r="T74" s="152">
        <f t="shared" si="25"/>
        <v>62</v>
      </c>
      <c r="U74" s="152">
        <f t="shared" si="26"/>
        <v>1.2</v>
      </c>
      <c r="V74" s="152">
        <f t="shared" si="27"/>
        <v>0.2</v>
      </c>
      <c r="W74" s="152">
        <f t="shared" si="28"/>
        <v>15.4</v>
      </c>
      <c r="X74" s="152">
        <f t="shared" si="29"/>
        <v>3.1</v>
      </c>
      <c r="Y74" s="145"/>
    </row>
    <row r="75" spans="1:25">
      <c r="A75" s="144"/>
      <c r="B75" s="144"/>
      <c r="C75" s="144"/>
      <c r="D75" s="144"/>
      <c r="E75" s="196" t="s">
        <v>321</v>
      </c>
      <c r="F75" s="217">
        <v>1</v>
      </c>
      <c r="G75" s="197" t="s">
        <v>322</v>
      </c>
      <c r="H75" s="196">
        <v>140</v>
      </c>
      <c r="I75" s="196">
        <v>2</v>
      </c>
      <c r="J75" s="196">
        <v>6</v>
      </c>
      <c r="K75" s="196">
        <v>20</v>
      </c>
      <c r="L75" s="196">
        <v>0</v>
      </c>
      <c r="M75" s="144"/>
      <c r="N75" s="149">
        <v>46006</v>
      </c>
      <c r="O75" s="150">
        <v>0.79166666666666696</v>
      </c>
      <c r="P75" s="145" t="s">
        <v>199</v>
      </c>
      <c r="Q75" s="145" t="s">
        <v>214</v>
      </c>
      <c r="R75" s="151">
        <v>1</v>
      </c>
      <c r="S75" s="145" t="str">
        <f t="shared" si="24"/>
        <v>bar</v>
      </c>
      <c r="T75" s="152">
        <f t="shared" si="25"/>
        <v>67</v>
      </c>
      <c r="U75" s="152">
        <f t="shared" si="26"/>
        <v>1</v>
      </c>
      <c r="V75" s="152">
        <f t="shared" si="27"/>
        <v>3.5</v>
      </c>
      <c r="W75" s="152">
        <f t="shared" si="28"/>
        <v>22</v>
      </c>
      <c r="X75" s="152">
        <f t="shared" si="29"/>
        <v>0.3</v>
      </c>
      <c r="Y75" s="145"/>
    </row>
    <row r="76" spans="1:25">
      <c r="A76" s="144"/>
      <c r="B76" s="144"/>
      <c r="C76" s="144"/>
      <c r="D76" s="144"/>
      <c r="E76" s="218" t="s">
        <v>323</v>
      </c>
      <c r="F76" s="219">
        <v>1</v>
      </c>
      <c r="G76" s="220" t="s">
        <v>317</v>
      </c>
      <c r="H76" s="218">
        <v>180</v>
      </c>
      <c r="I76" s="218">
        <v>2</v>
      </c>
      <c r="J76" s="218">
        <v>9</v>
      </c>
      <c r="K76" s="218">
        <v>24</v>
      </c>
      <c r="L76" s="218">
        <v>0</v>
      </c>
      <c r="M76" s="144"/>
      <c r="N76" s="157"/>
      <c r="O76" s="158" t="s">
        <v>217</v>
      </c>
      <c r="P76" s="154"/>
      <c r="Q76" s="154"/>
      <c r="R76" s="154"/>
      <c r="S76" s="154"/>
      <c r="T76" s="159">
        <f>SUM(T62:T75)</f>
        <v>1576</v>
      </c>
      <c r="U76" s="159">
        <f>SUM(U62:U75)</f>
        <v>153</v>
      </c>
      <c r="V76" s="159">
        <f>SUM(V62:V75)</f>
        <v>33.799999999999997</v>
      </c>
      <c r="W76" s="159">
        <f>SUM(W62:W75)</f>
        <v>180.20000000000002</v>
      </c>
      <c r="X76" s="159">
        <f>SUM(X62:X75)</f>
        <v>25.6</v>
      </c>
      <c r="Y76" s="145"/>
    </row>
    <row r="77" spans="1:25">
      <c r="A77" s="144"/>
      <c r="B77" s="144"/>
      <c r="C77" s="144"/>
      <c r="D77" s="144"/>
      <c r="E77" s="218" t="s">
        <v>324</v>
      </c>
      <c r="F77" s="219">
        <v>1</v>
      </c>
      <c r="G77" s="220" t="s">
        <v>213</v>
      </c>
      <c r="H77" s="218">
        <v>306</v>
      </c>
      <c r="I77" s="218">
        <v>48</v>
      </c>
      <c r="J77" s="218">
        <v>4</v>
      </c>
      <c r="K77" s="218">
        <v>18</v>
      </c>
      <c r="L77" s="218">
        <v>1</v>
      </c>
      <c r="M77" s="144"/>
      <c r="N77" s="157"/>
      <c r="O77" s="158" t="s">
        <v>220</v>
      </c>
      <c r="P77" s="154"/>
      <c r="Q77" s="154"/>
      <c r="R77" s="154"/>
      <c r="S77" s="154"/>
      <c r="T77" s="161">
        <f>$B$27</f>
        <v>2228.28125</v>
      </c>
      <c r="U77" s="161">
        <f>$B$29</f>
        <v>140.4</v>
      </c>
      <c r="V77" s="161">
        <f>$B$30</f>
        <v>64.739999999999995</v>
      </c>
      <c r="W77" s="161">
        <f>$B$31</f>
        <v>271.0053125</v>
      </c>
      <c r="X77" s="161">
        <f>$B$32</f>
        <v>31.195937500000003</v>
      </c>
      <c r="Y77" s="145"/>
    </row>
    <row r="78" spans="1:25">
      <c r="A78" s="144"/>
      <c r="B78" s="144"/>
      <c r="C78" s="144"/>
      <c r="D78" s="144"/>
      <c r="E78" s="221" t="s">
        <v>325</v>
      </c>
      <c r="F78" s="221">
        <v>150</v>
      </c>
      <c r="G78" s="222" t="s">
        <v>177</v>
      </c>
      <c r="H78" s="221">
        <v>200</v>
      </c>
      <c r="I78" s="221">
        <v>16</v>
      </c>
      <c r="J78" s="221">
        <v>14</v>
      </c>
      <c r="K78" s="221">
        <v>3</v>
      </c>
      <c r="L78" s="221">
        <v>0</v>
      </c>
      <c r="M78" s="144"/>
      <c r="N78" s="157"/>
      <c r="O78" s="158" t="s">
        <v>222</v>
      </c>
      <c r="P78" s="154"/>
      <c r="Q78" s="154"/>
      <c r="R78" s="154"/>
      <c r="S78" s="154"/>
      <c r="T78" s="161">
        <f>T76-T77</f>
        <v>-652.28125</v>
      </c>
      <c r="U78" s="161">
        <f>U76-U77</f>
        <v>12.599999999999994</v>
      </c>
      <c r="V78" s="161">
        <f>V76-V77</f>
        <v>-30.939999999999998</v>
      </c>
      <c r="W78" s="161">
        <f>W76-W77</f>
        <v>-90.805312499999985</v>
      </c>
      <c r="X78" s="161">
        <f>X76-X77</f>
        <v>-5.5959375000000016</v>
      </c>
      <c r="Y78" s="145"/>
    </row>
    <row r="79" spans="1:25">
      <c r="A79" s="144"/>
      <c r="B79" s="144"/>
      <c r="C79" s="144"/>
      <c r="D79" s="144"/>
      <c r="E79" s="224" t="s">
        <v>326</v>
      </c>
      <c r="F79" s="224">
        <v>10</v>
      </c>
      <c r="G79" s="225" t="s">
        <v>327</v>
      </c>
      <c r="H79" s="224">
        <v>40</v>
      </c>
      <c r="I79" s="224">
        <v>1</v>
      </c>
      <c r="J79" s="224">
        <v>0</v>
      </c>
      <c r="K79" s="224">
        <v>9</v>
      </c>
      <c r="L79" s="224">
        <v>2</v>
      </c>
      <c r="M79" s="144"/>
      <c r="N79" s="149">
        <v>46006</v>
      </c>
      <c r="O79" s="150">
        <v>0.33333333333333331</v>
      </c>
      <c r="P79" s="145" t="s">
        <v>178</v>
      </c>
      <c r="Q79" s="145" t="s">
        <v>179</v>
      </c>
      <c r="R79" s="151">
        <v>1</v>
      </c>
      <c r="S79" s="145" t="str">
        <f t="shared" ref="S79:S91" si="30">IFERROR(VLOOKUP(Q79, $E$5:$L$109, 3, FALSE), "")</f>
        <v>bottle</v>
      </c>
      <c r="T79" s="152">
        <f t="shared" ref="T79:T91" si="31">IFERROR(VLOOKUP(Q79, $E$5:$L$109, 4, FALSE) * (R79 / VLOOKUP(Q79, $E$5:$L$109, 2, FALSE)), "")</f>
        <v>260</v>
      </c>
      <c r="U79" s="152">
        <f t="shared" ref="U79:U91" si="32">IFERROR(VLOOKUP(Q79, $E$5:$L$109, 5, FALSE) * (R79 / VLOOKUP(Q79, $E$5:$L$109, 2, FALSE)), "")</f>
        <v>33</v>
      </c>
      <c r="V79" s="152">
        <f t="shared" ref="V79:V91" si="33">IFERROR(VLOOKUP(Q79, $E$5:$L$109, 6, FALSE) * (R79 / VLOOKUP(Q79, $E$5:$L$109, 2, FALSE)), "")</f>
        <v>6</v>
      </c>
      <c r="W79" s="152">
        <f t="shared" ref="W79:W91" si="34">IFERROR(VLOOKUP(Q79, $E$5:$L$109, 7, FALSE) * (R79 / VLOOKUP(Q79, $E$5:$L$109, 2, FALSE)), "")</f>
        <v>20</v>
      </c>
      <c r="X79" s="152">
        <f t="shared" ref="X79:X91" si="35">IFERROR(VLOOKUP(Q79, $E$5:$L$109, 8, FALSE) * (R79 / VLOOKUP(Q79, $E$5:$L$109, 2, FALSE)), "")</f>
        <v>0</v>
      </c>
      <c r="Y79" s="145"/>
    </row>
    <row r="80" spans="1:25">
      <c r="A80" s="144"/>
      <c r="B80" s="144"/>
      <c r="C80" s="144"/>
      <c r="D80" s="144"/>
      <c r="E80" s="218" t="s">
        <v>328</v>
      </c>
      <c r="F80" s="219">
        <v>100</v>
      </c>
      <c r="G80" s="220" t="s">
        <v>177</v>
      </c>
      <c r="H80" s="218">
        <v>290</v>
      </c>
      <c r="I80" s="218">
        <v>25</v>
      </c>
      <c r="J80" s="218">
        <v>21</v>
      </c>
      <c r="K80" s="218">
        <v>0</v>
      </c>
      <c r="L80" s="218">
        <v>0</v>
      </c>
      <c r="M80" s="144"/>
      <c r="N80" s="149">
        <v>46006</v>
      </c>
      <c r="O80" s="150">
        <v>0.33333333333333331</v>
      </c>
      <c r="P80" s="145" t="s">
        <v>178</v>
      </c>
      <c r="Q80" s="145" t="s">
        <v>181</v>
      </c>
      <c r="R80" s="151">
        <v>2</v>
      </c>
      <c r="S80" s="145" t="str">
        <f t="shared" si="30"/>
        <v>slice</v>
      </c>
      <c r="T80" s="152">
        <f t="shared" si="31"/>
        <v>140</v>
      </c>
      <c r="U80" s="152">
        <f t="shared" si="32"/>
        <v>5</v>
      </c>
      <c r="V80" s="152">
        <f t="shared" si="33"/>
        <v>2.5</v>
      </c>
      <c r="W80" s="152">
        <f t="shared" si="34"/>
        <v>24</v>
      </c>
      <c r="X80" s="152">
        <f t="shared" si="35"/>
        <v>2</v>
      </c>
      <c r="Y80" s="145"/>
    </row>
    <row r="81" spans="1:25">
      <c r="A81" s="144"/>
      <c r="B81" s="144"/>
      <c r="C81" s="144"/>
      <c r="D81" s="144"/>
      <c r="E81" s="196" t="s">
        <v>329</v>
      </c>
      <c r="F81" s="217">
        <v>100</v>
      </c>
      <c r="G81" s="197" t="s">
        <v>177</v>
      </c>
      <c r="H81" s="196">
        <v>420</v>
      </c>
      <c r="I81" s="196">
        <v>15</v>
      </c>
      <c r="J81" s="196">
        <v>33</v>
      </c>
      <c r="K81" s="196">
        <v>18</v>
      </c>
      <c r="L81" s="196">
        <v>1</v>
      </c>
      <c r="M81" s="144"/>
      <c r="N81" s="149">
        <v>46006</v>
      </c>
      <c r="O81" s="150">
        <v>0.41666666666666669</v>
      </c>
      <c r="P81" s="145" t="s">
        <v>289</v>
      </c>
      <c r="Q81" s="145" t="s">
        <v>190</v>
      </c>
      <c r="R81" s="151">
        <v>2</v>
      </c>
      <c r="S81" s="145" t="str">
        <f t="shared" ref="S81" si="36">IFERROR(VLOOKUP(Q81, $E$5:$L$109, 3, FALSE), "")</f>
        <v>medium</v>
      </c>
      <c r="T81" s="152">
        <f t="shared" ref="T81" si="37">IFERROR(VLOOKUP(Q81, $E$5:$L$109, 4, FALSE) * (R81 / VLOOKUP(Q81, $E$5:$L$109, 2, FALSE)), "")</f>
        <v>124</v>
      </c>
      <c r="U81" s="152">
        <f t="shared" ref="U81" si="38">IFERROR(VLOOKUP(Q81, $E$5:$L$109, 5, FALSE) * (R81 / VLOOKUP(Q81, $E$5:$L$109, 2, FALSE)), "")</f>
        <v>2.4</v>
      </c>
      <c r="V81" s="152">
        <f t="shared" ref="V81" si="39">IFERROR(VLOOKUP(Q81, $E$5:$L$109, 6, FALSE) * (R81 / VLOOKUP(Q81, $E$5:$L$109, 2, FALSE)), "")</f>
        <v>0.4</v>
      </c>
      <c r="W81" s="152">
        <f t="shared" ref="W81" si="40">IFERROR(VLOOKUP(Q81, $E$5:$L$109, 7, FALSE) * (R81 / VLOOKUP(Q81, $E$5:$L$109, 2, FALSE)), "")</f>
        <v>30.8</v>
      </c>
      <c r="X81" s="152">
        <f t="shared" ref="X81" si="41">IFERROR(VLOOKUP(Q81, $E$5:$L$109, 8, FALSE) * (R81 / VLOOKUP(Q81, $E$5:$L$109, 2, FALSE)), "")</f>
        <v>6.2</v>
      </c>
      <c r="Y81" s="145"/>
    </row>
    <row r="82" spans="1:25">
      <c r="A82" s="144"/>
      <c r="B82" s="144"/>
      <c r="C82" s="144"/>
      <c r="D82" s="144"/>
      <c r="E82" s="218" t="s">
        <v>330</v>
      </c>
      <c r="F82" s="219">
        <v>100</v>
      </c>
      <c r="G82" s="220" t="s">
        <v>177</v>
      </c>
      <c r="H82" s="218">
        <v>140</v>
      </c>
      <c r="I82" s="218">
        <v>4</v>
      </c>
      <c r="J82" s="218">
        <v>1</v>
      </c>
      <c r="K82" s="218">
        <v>30</v>
      </c>
      <c r="L82" s="218">
        <v>2</v>
      </c>
      <c r="M82" s="144"/>
      <c r="N82" s="149">
        <v>46006</v>
      </c>
      <c r="O82" s="150">
        <v>0.5</v>
      </c>
      <c r="P82" s="145" t="s">
        <v>185</v>
      </c>
      <c r="Q82" s="145" t="s">
        <v>176</v>
      </c>
      <c r="R82" s="151">
        <v>100</v>
      </c>
      <c r="S82" s="145" t="str">
        <f t="shared" si="30"/>
        <v>g</v>
      </c>
      <c r="T82" s="152">
        <f t="shared" si="31"/>
        <v>165</v>
      </c>
      <c r="U82" s="152">
        <f t="shared" si="32"/>
        <v>25</v>
      </c>
      <c r="V82" s="152">
        <f t="shared" si="33"/>
        <v>3.6</v>
      </c>
      <c r="W82" s="152">
        <f t="shared" si="34"/>
        <v>0</v>
      </c>
      <c r="X82" s="152">
        <f t="shared" si="35"/>
        <v>0</v>
      </c>
      <c r="Y82" s="145"/>
    </row>
    <row r="83" spans="1:25">
      <c r="A83" s="144"/>
      <c r="B83" s="144"/>
      <c r="C83" s="144"/>
      <c r="D83" s="144"/>
      <c r="E83" s="196" t="s">
        <v>331</v>
      </c>
      <c r="F83" s="217">
        <v>100</v>
      </c>
      <c r="G83" s="197" t="s">
        <v>177</v>
      </c>
      <c r="H83" s="196">
        <v>280</v>
      </c>
      <c r="I83" s="196">
        <v>5</v>
      </c>
      <c r="J83" s="196">
        <v>16</v>
      </c>
      <c r="K83" s="196">
        <v>30</v>
      </c>
      <c r="L83" s="196">
        <v>1</v>
      </c>
      <c r="M83" s="144"/>
      <c r="N83" s="149">
        <v>46006</v>
      </c>
      <c r="O83" s="150">
        <v>0.5</v>
      </c>
      <c r="P83" s="145" t="s">
        <v>185</v>
      </c>
      <c r="Q83" s="145" t="s">
        <v>194</v>
      </c>
      <c r="R83" s="151">
        <v>1.5</v>
      </c>
      <c r="S83" s="145" t="str">
        <f t="shared" si="30"/>
        <v>cup</v>
      </c>
      <c r="T83" s="152">
        <f t="shared" si="31"/>
        <v>189</v>
      </c>
      <c r="U83" s="152">
        <f t="shared" si="32"/>
        <v>39</v>
      </c>
      <c r="V83" s="152">
        <f t="shared" si="33"/>
        <v>0.60000000000000009</v>
      </c>
      <c r="W83" s="152">
        <f t="shared" si="34"/>
        <v>2.7</v>
      </c>
      <c r="X83" s="152">
        <f t="shared" si="35"/>
        <v>0</v>
      </c>
      <c r="Y83" s="145"/>
    </row>
    <row r="84" spans="1:25">
      <c r="A84" s="144"/>
      <c r="B84" s="144"/>
      <c r="C84" s="144"/>
      <c r="D84" s="144"/>
      <c r="E84" s="196" t="s">
        <v>332</v>
      </c>
      <c r="F84" s="217">
        <v>350</v>
      </c>
      <c r="G84" s="197" t="s">
        <v>177</v>
      </c>
      <c r="H84" s="196">
        <v>420</v>
      </c>
      <c r="I84" s="196">
        <v>25</v>
      </c>
      <c r="J84" s="196">
        <v>22</v>
      </c>
      <c r="K84" s="196">
        <v>30</v>
      </c>
      <c r="L84" s="196">
        <v>3</v>
      </c>
      <c r="M84" s="144"/>
      <c r="N84" s="149">
        <v>46006</v>
      </c>
      <c r="O84" s="150">
        <v>0.625</v>
      </c>
      <c r="P84" s="145" t="s">
        <v>289</v>
      </c>
      <c r="Q84" s="145" t="s">
        <v>214</v>
      </c>
      <c r="R84" s="151">
        <v>1</v>
      </c>
      <c r="S84" s="145" t="str">
        <f t="shared" si="30"/>
        <v>bar</v>
      </c>
      <c r="T84" s="152">
        <f t="shared" si="31"/>
        <v>67</v>
      </c>
      <c r="U84" s="152">
        <f t="shared" si="32"/>
        <v>1</v>
      </c>
      <c r="V84" s="152">
        <f t="shared" si="33"/>
        <v>3.5</v>
      </c>
      <c r="W84" s="152">
        <f t="shared" si="34"/>
        <v>22</v>
      </c>
      <c r="X84" s="152">
        <f t="shared" si="35"/>
        <v>0.3</v>
      </c>
      <c r="Y84" s="145"/>
    </row>
    <row r="85" spans="1:25">
      <c r="A85" s="144"/>
      <c r="B85" s="144"/>
      <c r="C85" s="144"/>
      <c r="D85" s="144"/>
      <c r="E85" s="196" t="s">
        <v>333</v>
      </c>
      <c r="F85" s="217">
        <v>35</v>
      </c>
      <c r="G85" s="197" t="s">
        <v>177</v>
      </c>
      <c r="H85" s="196">
        <v>190</v>
      </c>
      <c r="I85" s="196">
        <v>4</v>
      </c>
      <c r="J85" s="196">
        <v>13</v>
      </c>
      <c r="K85" s="196">
        <v>17</v>
      </c>
      <c r="L85" s="196">
        <v>1</v>
      </c>
      <c r="M85" s="144"/>
      <c r="N85" s="149">
        <v>46006</v>
      </c>
      <c r="O85" s="150">
        <v>0.70833333333333337</v>
      </c>
      <c r="P85" s="145" t="s">
        <v>289</v>
      </c>
      <c r="Q85" s="145" t="s">
        <v>258</v>
      </c>
      <c r="R85" s="151">
        <v>0.5</v>
      </c>
      <c r="S85" s="145" t="str">
        <f t="shared" si="30"/>
        <v>doughnut</v>
      </c>
      <c r="T85" s="152">
        <f t="shared" si="31"/>
        <v>95</v>
      </c>
      <c r="U85" s="152">
        <f t="shared" si="32"/>
        <v>1.5</v>
      </c>
      <c r="V85" s="152">
        <f t="shared" si="33"/>
        <v>5.5</v>
      </c>
      <c r="W85" s="152">
        <f t="shared" si="34"/>
        <v>11</v>
      </c>
      <c r="X85" s="152">
        <f t="shared" si="35"/>
        <v>0</v>
      </c>
      <c r="Y85" s="145"/>
    </row>
    <row r="86" spans="1:25">
      <c r="A86" s="144"/>
      <c r="B86" s="144"/>
      <c r="C86" s="144"/>
      <c r="D86" s="144"/>
      <c r="E86" s="218" t="s">
        <v>334</v>
      </c>
      <c r="F86" s="219">
        <v>1</v>
      </c>
      <c r="G86" s="220" t="s">
        <v>322</v>
      </c>
      <c r="H86" s="218">
        <v>140</v>
      </c>
      <c r="I86" s="218">
        <v>2</v>
      </c>
      <c r="J86" s="218">
        <v>7</v>
      </c>
      <c r="K86" s="218">
        <v>18</v>
      </c>
      <c r="L86" s="218">
        <v>0</v>
      </c>
      <c r="M86" s="144"/>
      <c r="N86" s="149">
        <v>46006</v>
      </c>
      <c r="O86" s="150">
        <v>0.79166666666666663</v>
      </c>
      <c r="P86" s="145" t="s">
        <v>199</v>
      </c>
      <c r="Q86" s="145" t="s">
        <v>176</v>
      </c>
      <c r="R86" s="151">
        <v>198</v>
      </c>
      <c r="S86" s="145" t="str">
        <f t="shared" si="30"/>
        <v>g</v>
      </c>
      <c r="T86" s="152">
        <f t="shared" si="31"/>
        <v>326.7</v>
      </c>
      <c r="U86" s="152">
        <f t="shared" si="32"/>
        <v>49.5</v>
      </c>
      <c r="V86" s="152">
        <f t="shared" si="33"/>
        <v>7.1280000000000001</v>
      </c>
      <c r="W86" s="152">
        <f t="shared" si="34"/>
        <v>0</v>
      </c>
      <c r="X86" s="152">
        <f t="shared" si="35"/>
        <v>0</v>
      </c>
      <c r="Y86" s="145"/>
    </row>
    <row r="87" spans="1:25">
      <c r="A87" s="144"/>
      <c r="B87" s="144"/>
      <c r="C87" s="144"/>
      <c r="D87" s="144"/>
      <c r="E87" s="218" t="s">
        <v>335</v>
      </c>
      <c r="F87" s="219">
        <v>100</v>
      </c>
      <c r="G87" s="220" t="s">
        <v>177</v>
      </c>
      <c r="H87" s="218">
        <v>220</v>
      </c>
      <c r="I87" s="218">
        <v>18</v>
      </c>
      <c r="J87" s="218">
        <v>15</v>
      </c>
      <c r="K87" s="218">
        <v>5</v>
      </c>
      <c r="L87" s="218">
        <v>0</v>
      </c>
      <c r="M87" s="144"/>
      <c r="N87" s="149">
        <v>46006</v>
      </c>
      <c r="O87" s="150">
        <v>0.79166666666666663</v>
      </c>
      <c r="P87" s="145" t="s">
        <v>199</v>
      </c>
      <c r="Q87" s="145" t="s">
        <v>181</v>
      </c>
      <c r="R87" s="151">
        <v>4</v>
      </c>
      <c r="S87" s="145" t="str">
        <f t="shared" si="30"/>
        <v>slice</v>
      </c>
      <c r="T87" s="152">
        <f t="shared" si="31"/>
        <v>280</v>
      </c>
      <c r="U87" s="152">
        <f t="shared" si="32"/>
        <v>10</v>
      </c>
      <c r="V87" s="152">
        <f t="shared" si="33"/>
        <v>5</v>
      </c>
      <c r="W87" s="152">
        <f t="shared" si="34"/>
        <v>48</v>
      </c>
      <c r="X87" s="152">
        <f t="shared" si="35"/>
        <v>4</v>
      </c>
      <c r="Y87" s="145"/>
    </row>
    <row r="88" spans="1:25">
      <c r="A88" s="144"/>
      <c r="B88" s="144"/>
      <c r="C88" s="144"/>
      <c r="D88" s="144"/>
      <c r="E88" s="218" t="s">
        <v>336</v>
      </c>
      <c r="F88" s="219">
        <v>100</v>
      </c>
      <c r="G88" s="220" t="s">
        <v>177</v>
      </c>
      <c r="H88" s="218">
        <v>290</v>
      </c>
      <c r="I88" s="218">
        <v>16</v>
      </c>
      <c r="J88" s="218">
        <v>24</v>
      </c>
      <c r="K88" s="218">
        <v>3</v>
      </c>
      <c r="L88" s="218">
        <v>0</v>
      </c>
      <c r="M88" s="144"/>
      <c r="N88" s="149">
        <v>46006</v>
      </c>
      <c r="O88" s="150">
        <v>0.79166666666666663</v>
      </c>
      <c r="P88" s="145" t="s">
        <v>199</v>
      </c>
      <c r="Q88" s="145" t="s">
        <v>214</v>
      </c>
      <c r="R88" s="151">
        <v>1</v>
      </c>
      <c r="S88" s="145" t="str">
        <f t="shared" si="30"/>
        <v>bar</v>
      </c>
      <c r="T88" s="152">
        <f t="shared" si="31"/>
        <v>67</v>
      </c>
      <c r="U88" s="152">
        <f t="shared" si="32"/>
        <v>1</v>
      </c>
      <c r="V88" s="152">
        <f t="shared" si="33"/>
        <v>3.5</v>
      </c>
      <c r="W88" s="152">
        <f t="shared" si="34"/>
        <v>22</v>
      </c>
      <c r="X88" s="152">
        <f t="shared" si="35"/>
        <v>0.3</v>
      </c>
      <c r="Y88" s="145"/>
    </row>
    <row r="89" spans="1:25">
      <c r="A89" s="144"/>
      <c r="B89" s="144"/>
      <c r="C89" s="144"/>
      <c r="D89" s="144"/>
      <c r="E89" s="196" t="s">
        <v>337</v>
      </c>
      <c r="F89" s="217">
        <v>100</v>
      </c>
      <c r="G89" s="197" t="s">
        <v>177</v>
      </c>
      <c r="H89" s="196">
        <v>260</v>
      </c>
      <c r="I89" s="196">
        <v>20</v>
      </c>
      <c r="J89" s="196">
        <v>18</v>
      </c>
      <c r="K89" s="196">
        <v>8</v>
      </c>
      <c r="L89" s="196">
        <v>0</v>
      </c>
      <c r="M89" s="144"/>
      <c r="N89" s="149">
        <v>46006</v>
      </c>
      <c r="O89" s="150">
        <v>0.79166666666666663</v>
      </c>
      <c r="P89" s="145" t="s">
        <v>199</v>
      </c>
      <c r="Q89" s="145" t="s">
        <v>212</v>
      </c>
      <c r="R89" s="151">
        <v>1</v>
      </c>
      <c r="S89" s="145" t="str">
        <f t="shared" si="30"/>
        <v>bottle</v>
      </c>
      <c r="T89" s="152">
        <f t="shared" si="31"/>
        <v>70</v>
      </c>
      <c r="U89" s="152">
        <f t="shared" si="32"/>
        <v>0</v>
      </c>
      <c r="V89" s="152">
        <f t="shared" si="33"/>
        <v>0</v>
      </c>
      <c r="W89" s="152">
        <f t="shared" si="34"/>
        <v>17</v>
      </c>
      <c r="X89" s="152">
        <f t="shared" si="35"/>
        <v>1</v>
      </c>
      <c r="Y89" s="145"/>
    </row>
    <row r="90" spans="1:25">
      <c r="A90" s="144"/>
      <c r="B90" s="144"/>
      <c r="C90" s="144"/>
      <c r="D90" s="144"/>
      <c r="E90" s="196" t="s">
        <v>338</v>
      </c>
      <c r="F90" s="217">
        <v>1</v>
      </c>
      <c r="G90" s="197" t="s">
        <v>314</v>
      </c>
      <c r="H90" s="196">
        <v>380</v>
      </c>
      <c r="I90" s="196">
        <v>22</v>
      </c>
      <c r="J90" s="196">
        <v>18</v>
      </c>
      <c r="K90" s="196">
        <v>32</v>
      </c>
      <c r="L90" s="196">
        <v>5</v>
      </c>
      <c r="M90" s="144"/>
      <c r="N90" s="149">
        <v>46006</v>
      </c>
      <c r="O90" s="150">
        <v>0.79166666666666663</v>
      </c>
      <c r="P90" s="145" t="s">
        <v>199</v>
      </c>
      <c r="Q90" s="145" t="s">
        <v>209</v>
      </c>
      <c r="R90" s="151">
        <v>2</v>
      </c>
      <c r="S90" s="145" t="str">
        <f t="shared" si="30"/>
        <v>tbsp</v>
      </c>
      <c r="T90" s="152">
        <f t="shared" si="31"/>
        <v>40</v>
      </c>
      <c r="U90" s="152">
        <f t="shared" si="32"/>
        <v>0</v>
      </c>
      <c r="V90" s="152">
        <f t="shared" si="33"/>
        <v>0</v>
      </c>
      <c r="W90" s="152">
        <f t="shared" si="34"/>
        <v>10</v>
      </c>
      <c r="X90" s="152">
        <f t="shared" si="35"/>
        <v>9</v>
      </c>
      <c r="Y90" s="145"/>
    </row>
    <row r="91" spans="1:25">
      <c r="A91" s="144"/>
      <c r="B91" s="144"/>
      <c r="C91" s="144"/>
      <c r="D91" s="144"/>
      <c r="E91" s="218" t="s">
        <v>339</v>
      </c>
      <c r="F91" s="219">
        <v>1</v>
      </c>
      <c r="G91" s="220" t="s">
        <v>340</v>
      </c>
      <c r="H91" s="218">
        <v>340</v>
      </c>
      <c r="I91" s="218">
        <v>4</v>
      </c>
      <c r="J91" s="218">
        <v>20</v>
      </c>
      <c r="K91" s="218">
        <v>34</v>
      </c>
      <c r="L91" s="218">
        <v>1</v>
      </c>
      <c r="M91" s="144"/>
      <c r="N91" s="149">
        <v>46006</v>
      </c>
      <c r="O91" s="150">
        <v>0.79166666666666663</v>
      </c>
      <c r="P91" s="145" t="s">
        <v>199</v>
      </c>
      <c r="Q91" s="145" t="s">
        <v>219</v>
      </c>
      <c r="R91" s="151">
        <v>1</v>
      </c>
      <c r="S91" s="145" t="str">
        <f t="shared" si="30"/>
        <v>bottle</v>
      </c>
      <c r="T91" s="152">
        <f t="shared" si="31"/>
        <v>0</v>
      </c>
      <c r="U91" s="152">
        <f t="shared" si="32"/>
        <v>0</v>
      </c>
      <c r="V91" s="152">
        <f t="shared" si="33"/>
        <v>0</v>
      </c>
      <c r="W91" s="152">
        <f t="shared" si="34"/>
        <v>0</v>
      </c>
      <c r="X91" s="152">
        <f t="shared" si="35"/>
        <v>0</v>
      </c>
      <c r="Y91" s="145"/>
    </row>
    <row r="92" spans="1:25">
      <c r="A92" s="144"/>
      <c r="B92" s="144"/>
      <c r="C92" s="144"/>
      <c r="D92" s="144"/>
      <c r="E92" s="196" t="s">
        <v>341</v>
      </c>
      <c r="F92" s="217">
        <v>1</v>
      </c>
      <c r="G92" s="197" t="s">
        <v>342</v>
      </c>
      <c r="H92" s="196">
        <v>165</v>
      </c>
      <c r="I92" s="196">
        <v>3.5</v>
      </c>
      <c r="J92" s="196">
        <v>9.5</v>
      </c>
      <c r="K92" s="196">
        <v>18</v>
      </c>
      <c r="L92" s="196">
        <v>1</v>
      </c>
      <c r="M92" s="144"/>
      <c r="N92" s="157"/>
      <c r="O92" s="158" t="s">
        <v>217</v>
      </c>
      <c r="P92" s="154"/>
      <c r="Q92" s="154"/>
      <c r="R92" s="154"/>
      <c r="S92" s="154"/>
      <c r="T92" s="159">
        <f>SUM(T79:T91)</f>
        <v>1823.7</v>
      </c>
      <c r="U92" s="159">
        <f>SUM(U79:U91)</f>
        <v>167.4</v>
      </c>
      <c r="V92" s="159">
        <f>SUM(V79:V91)</f>
        <v>37.728000000000002</v>
      </c>
      <c r="W92" s="159">
        <f>SUM(W79:W91)</f>
        <v>207.5</v>
      </c>
      <c r="X92" s="159">
        <f>SUM(X79:X91)</f>
        <v>22.8</v>
      </c>
      <c r="Y92" s="145"/>
    </row>
    <row r="93" spans="1:25">
      <c r="A93" s="144"/>
      <c r="B93" s="144"/>
      <c r="C93" s="144"/>
      <c r="D93" s="144"/>
      <c r="E93" s="196" t="s">
        <v>343</v>
      </c>
      <c r="F93" s="217">
        <v>1</v>
      </c>
      <c r="G93" s="197" t="s">
        <v>227</v>
      </c>
      <c r="H93" s="196">
        <v>200</v>
      </c>
      <c r="I93" s="196">
        <v>2</v>
      </c>
      <c r="J93" s="196">
        <v>13</v>
      </c>
      <c r="K93" s="196">
        <v>19</v>
      </c>
      <c r="L93" s="196">
        <v>2</v>
      </c>
      <c r="M93" s="144"/>
      <c r="N93" s="157"/>
      <c r="O93" s="158" t="s">
        <v>220</v>
      </c>
      <c r="P93" s="154"/>
      <c r="Q93" s="154"/>
      <c r="R93" s="154"/>
      <c r="S93" s="154"/>
      <c r="T93" s="161">
        <f>$B$27</f>
        <v>2228.28125</v>
      </c>
      <c r="U93" s="161">
        <f>$B$29</f>
        <v>140.4</v>
      </c>
      <c r="V93" s="161">
        <f>$B$30</f>
        <v>64.739999999999995</v>
      </c>
      <c r="W93" s="161">
        <f>$B$31</f>
        <v>271.0053125</v>
      </c>
      <c r="X93" s="161">
        <f>$B$32</f>
        <v>31.195937500000003</v>
      </c>
      <c r="Y93" s="145"/>
    </row>
    <row r="94" spans="1:25">
      <c r="A94" s="144"/>
      <c r="B94" s="144"/>
      <c r="C94" s="144"/>
      <c r="D94" s="144"/>
      <c r="E94" s="196" t="s">
        <v>344</v>
      </c>
      <c r="F94" s="217">
        <v>1</v>
      </c>
      <c r="G94" s="197" t="s">
        <v>227</v>
      </c>
      <c r="H94" s="196">
        <v>110</v>
      </c>
      <c r="I94" s="196">
        <v>1</v>
      </c>
      <c r="J94" s="196">
        <v>4</v>
      </c>
      <c r="K94" s="196">
        <v>16</v>
      </c>
      <c r="L94" s="196">
        <v>0</v>
      </c>
      <c r="M94" s="144"/>
      <c r="N94" s="157"/>
      <c r="O94" s="158" t="s">
        <v>222</v>
      </c>
      <c r="P94" s="154"/>
      <c r="Q94" s="154"/>
      <c r="R94" s="154"/>
      <c r="S94" s="154"/>
      <c r="T94" s="161">
        <f>T92-T93</f>
        <v>-404.58124999999995</v>
      </c>
      <c r="U94" s="161">
        <f>U92-U93</f>
        <v>27</v>
      </c>
      <c r="V94" s="161">
        <f>V92-V93</f>
        <v>-27.011999999999993</v>
      </c>
      <c r="W94" s="161">
        <f>W92-W93</f>
        <v>-63.505312500000002</v>
      </c>
      <c r="X94" s="161">
        <f>X92-X93</f>
        <v>-8.3959375000000023</v>
      </c>
      <c r="Y94" s="145"/>
    </row>
    <row r="95" spans="1:25">
      <c r="E95" s="218" t="s">
        <v>345</v>
      </c>
      <c r="F95" s="219">
        <v>1</v>
      </c>
      <c r="G95" s="220" t="s">
        <v>346</v>
      </c>
      <c r="H95" s="218">
        <v>220</v>
      </c>
      <c r="I95" s="218">
        <v>3</v>
      </c>
      <c r="J95" s="218">
        <v>8</v>
      </c>
      <c r="K95" s="218">
        <v>35</v>
      </c>
      <c r="L95" s="218">
        <v>2</v>
      </c>
      <c r="N95" s="149">
        <v>46007</v>
      </c>
      <c r="O95" s="150">
        <v>0.25</v>
      </c>
      <c r="P95" s="145" t="s">
        <v>178</v>
      </c>
      <c r="Q95" s="145" t="s">
        <v>181</v>
      </c>
      <c r="R95" s="151">
        <v>1</v>
      </c>
      <c r="S95" s="145" t="str">
        <f t="shared" ref="S95:S105" si="42">IFERROR(VLOOKUP(Q95, $E$5:$L$109, 3, FALSE), "")</f>
        <v>slice</v>
      </c>
      <c r="T95" s="152">
        <f t="shared" ref="T95:T105" si="43">IFERROR(VLOOKUP(Q95, $E$5:$L$109, 4, FALSE) * (R95 / VLOOKUP(Q95, $E$5:$L$109, 2, FALSE)), "")</f>
        <v>70</v>
      </c>
      <c r="U95" s="152">
        <f t="shared" ref="U95:U105" si="44">IFERROR(VLOOKUP(Q95, $E$5:$L$109, 5, FALSE) * (R95 / VLOOKUP(Q95, $E$5:$L$109, 2, FALSE)), "")</f>
        <v>2.5</v>
      </c>
      <c r="V95" s="152">
        <f t="shared" ref="V95:V105" si="45">IFERROR(VLOOKUP(Q95, $E$5:$L$109, 6, FALSE) * (R95 / VLOOKUP(Q95, $E$5:$L$109, 2, FALSE)), "")</f>
        <v>1.25</v>
      </c>
      <c r="W95" s="152">
        <f t="shared" ref="W95:W105" si="46">IFERROR(VLOOKUP(Q95, $E$5:$L$109, 7, FALSE) * (R95 / VLOOKUP(Q95, $E$5:$L$109, 2, FALSE)), "")</f>
        <v>12</v>
      </c>
      <c r="X95" s="152">
        <f t="shared" ref="X95:X105" si="47">IFERROR(VLOOKUP(Q95, $E$5:$L$109, 8, FALSE) * (R95 / VLOOKUP(Q95, $E$5:$L$109, 2, FALSE)), "")</f>
        <v>1</v>
      </c>
      <c r="Y95" s="145"/>
    </row>
    <row r="96" spans="1:25">
      <c r="E96" s="188" t="s">
        <v>347</v>
      </c>
      <c r="F96" s="210">
        <v>1</v>
      </c>
      <c r="G96" s="189" t="s">
        <v>213</v>
      </c>
      <c r="H96" s="188">
        <v>170</v>
      </c>
      <c r="I96" s="188">
        <v>27</v>
      </c>
      <c r="J96" s="188">
        <v>3</v>
      </c>
      <c r="K96" s="188">
        <v>9</v>
      </c>
      <c r="L96" s="188">
        <v>0</v>
      </c>
      <c r="N96" s="149">
        <v>46007</v>
      </c>
      <c r="O96" s="150">
        <v>0.33333333333333331</v>
      </c>
      <c r="P96" s="145" t="s">
        <v>178</v>
      </c>
      <c r="Q96" s="145" t="s">
        <v>179</v>
      </c>
      <c r="R96" s="151">
        <v>1</v>
      </c>
      <c r="S96" s="145" t="str">
        <f t="shared" si="42"/>
        <v>bottle</v>
      </c>
      <c r="T96" s="152">
        <f t="shared" si="43"/>
        <v>260</v>
      </c>
      <c r="U96" s="152">
        <f t="shared" si="44"/>
        <v>33</v>
      </c>
      <c r="V96" s="152">
        <f t="shared" si="45"/>
        <v>6</v>
      </c>
      <c r="W96" s="152">
        <f t="shared" si="46"/>
        <v>20</v>
      </c>
      <c r="X96" s="152">
        <f t="shared" si="47"/>
        <v>0</v>
      </c>
      <c r="Y96" s="145"/>
    </row>
    <row r="97" spans="5:25">
      <c r="E97" s="234" t="s">
        <v>348</v>
      </c>
      <c r="F97" s="235">
        <v>1</v>
      </c>
      <c r="G97" s="236" t="s">
        <v>349</v>
      </c>
      <c r="H97" s="234">
        <v>320</v>
      </c>
      <c r="I97" s="234">
        <v>8</v>
      </c>
      <c r="J97" s="234">
        <v>19</v>
      </c>
      <c r="K97" s="234">
        <v>28</v>
      </c>
      <c r="L97" s="234">
        <v>1</v>
      </c>
      <c r="N97" s="149">
        <v>46007</v>
      </c>
      <c r="O97" s="150">
        <v>0.33333333333333331</v>
      </c>
      <c r="P97" s="145" t="s">
        <v>178</v>
      </c>
      <c r="Q97" s="145" t="s">
        <v>258</v>
      </c>
      <c r="R97" s="151">
        <v>0.5</v>
      </c>
      <c r="S97" s="145" t="str">
        <f t="shared" si="42"/>
        <v>doughnut</v>
      </c>
      <c r="T97" s="152">
        <f t="shared" si="43"/>
        <v>95</v>
      </c>
      <c r="U97" s="152">
        <f t="shared" si="44"/>
        <v>1.5</v>
      </c>
      <c r="V97" s="152">
        <f t="shared" si="45"/>
        <v>5.5</v>
      </c>
      <c r="W97" s="152">
        <f t="shared" si="46"/>
        <v>11</v>
      </c>
      <c r="X97" s="152">
        <f t="shared" si="47"/>
        <v>0</v>
      </c>
      <c r="Y97" s="145"/>
    </row>
    <row r="98" spans="5:25">
      <c r="E98" s="188" t="s">
        <v>350</v>
      </c>
      <c r="F98" s="235">
        <v>1</v>
      </c>
      <c r="G98" s="189" t="s">
        <v>340</v>
      </c>
      <c r="H98" s="234">
        <v>380</v>
      </c>
      <c r="I98" s="234">
        <v>6</v>
      </c>
      <c r="J98" s="234">
        <v>18</v>
      </c>
      <c r="K98" s="234">
        <v>46</v>
      </c>
      <c r="L98" s="234">
        <v>0</v>
      </c>
      <c r="N98" s="149">
        <v>46007</v>
      </c>
      <c r="O98" s="150">
        <v>0.5</v>
      </c>
      <c r="P98" s="145" t="s">
        <v>185</v>
      </c>
      <c r="Q98" s="145" t="s">
        <v>247</v>
      </c>
      <c r="R98" s="151">
        <v>1.5</v>
      </c>
      <c r="S98" s="145" t="str">
        <f t="shared" si="42"/>
        <v>large bowl</v>
      </c>
      <c r="T98" s="152">
        <f t="shared" si="43"/>
        <v>600</v>
      </c>
      <c r="U98" s="152">
        <f t="shared" si="44"/>
        <v>30</v>
      </c>
      <c r="V98" s="152">
        <f t="shared" si="45"/>
        <v>15</v>
      </c>
      <c r="W98" s="152">
        <f t="shared" si="46"/>
        <v>82.5</v>
      </c>
      <c r="X98" s="152">
        <f t="shared" si="47"/>
        <v>4.5</v>
      </c>
      <c r="Y98" s="145"/>
    </row>
    <row r="99" spans="5:25">
      <c r="E99" s="188" t="s">
        <v>351</v>
      </c>
      <c r="F99" s="235">
        <v>1</v>
      </c>
      <c r="G99" s="236" t="s">
        <v>241</v>
      </c>
      <c r="H99" s="234">
        <v>70</v>
      </c>
      <c r="I99" s="234">
        <v>6</v>
      </c>
      <c r="J99" s="234">
        <v>5</v>
      </c>
      <c r="K99" s="234">
        <v>0</v>
      </c>
      <c r="L99" s="234">
        <v>0</v>
      </c>
      <c r="N99" s="149">
        <v>46007</v>
      </c>
      <c r="O99" s="150">
        <v>0.5</v>
      </c>
      <c r="P99" s="145" t="s">
        <v>289</v>
      </c>
      <c r="Q99" s="145" t="s">
        <v>275</v>
      </c>
      <c r="R99" s="151">
        <v>1</v>
      </c>
      <c r="S99" s="145" t="str">
        <f t="shared" si="42"/>
        <v>piece</v>
      </c>
      <c r="T99" s="152">
        <f t="shared" si="43"/>
        <v>90</v>
      </c>
      <c r="U99" s="152">
        <f t="shared" si="44"/>
        <v>0.5</v>
      </c>
      <c r="V99" s="152">
        <f t="shared" si="45"/>
        <v>4.5</v>
      </c>
      <c r="W99" s="152">
        <f t="shared" si="46"/>
        <v>12</v>
      </c>
      <c r="X99" s="152">
        <f t="shared" si="47"/>
        <v>1</v>
      </c>
      <c r="Y99" s="145"/>
    </row>
    <row r="100" spans="5:25">
      <c r="E100" s="237" t="s">
        <v>354</v>
      </c>
      <c r="F100" s="239">
        <v>1</v>
      </c>
      <c r="G100" s="238" t="s">
        <v>353</v>
      </c>
      <c r="H100" s="237">
        <v>45</v>
      </c>
      <c r="I100" s="237">
        <v>1</v>
      </c>
      <c r="J100" s="237">
        <v>3</v>
      </c>
      <c r="K100" s="237">
        <v>5</v>
      </c>
      <c r="L100" s="237">
        <v>0.5</v>
      </c>
      <c r="N100" s="149">
        <v>46007</v>
      </c>
      <c r="O100" s="150">
        <v>0.66666666666666663</v>
      </c>
      <c r="P100" s="145" t="s">
        <v>289</v>
      </c>
      <c r="Q100" s="145" t="s">
        <v>277</v>
      </c>
      <c r="R100" s="151">
        <v>0.5</v>
      </c>
      <c r="S100" s="145" t="str">
        <f t="shared" si="42"/>
        <v>small bag</v>
      </c>
      <c r="T100" s="152">
        <f t="shared" si="43"/>
        <v>30</v>
      </c>
      <c r="U100" s="152">
        <f t="shared" si="44"/>
        <v>0</v>
      </c>
      <c r="V100" s="152">
        <f t="shared" si="45"/>
        <v>1</v>
      </c>
      <c r="W100" s="152">
        <f t="shared" si="46"/>
        <v>4</v>
      </c>
      <c r="X100" s="152">
        <f t="shared" si="47"/>
        <v>0</v>
      </c>
      <c r="Y100" s="145"/>
    </row>
    <row r="101" spans="5:25">
      <c r="E101" s="241" t="s">
        <v>357</v>
      </c>
      <c r="F101" s="171">
        <v>4</v>
      </c>
      <c r="G101" s="172" t="s">
        <v>352</v>
      </c>
      <c r="H101" s="170">
        <v>70</v>
      </c>
      <c r="I101" s="170">
        <v>1</v>
      </c>
      <c r="J101" s="170">
        <v>0</v>
      </c>
      <c r="K101" s="170">
        <v>16</v>
      </c>
      <c r="L101" s="170">
        <v>0</v>
      </c>
      <c r="N101" s="149">
        <v>46007</v>
      </c>
      <c r="O101" s="150">
        <v>0.70833333333333337</v>
      </c>
      <c r="P101" s="145" t="s">
        <v>289</v>
      </c>
      <c r="Q101" s="145" t="s">
        <v>176</v>
      </c>
      <c r="R101" s="151">
        <v>189</v>
      </c>
      <c r="S101" s="145" t="str">
        <f>IFERROR(VLOOKUP(Q101, $E$5:$L$109, 3, FALSE), "")</f>
        <v>g</v>
      </c>
      <c r="T101" s="152">
        <f t="shared" si="43"/>
        <v>311.84999999999997</v>
      </c>
      <c r="U101" s="152">
        <f t="shared" si="44"/>
        <v>47.25</v>
      </c>
      <c r="V101" s="152">
        <f t="shared" si="45"/>
        <v>6.8039999999999994</v>
      </c>
      <c r="W101" s="152">
        <f t="shared" si="46"/>
        <v>0</v>
      </c>
      <c r="X101" s="152">
        <f t="shared" si="47"/>
        <v>0</v>
      </c>
      <c r="Y101" s="145"/>
    </row>
    <row r="102" spans="5:25">
      <c r="E102" s="170" t="s">
        <v>355</v>
      </c>
      <c r="F102" s="171">
        <v>1</v>
      </c>
      <c r="G102" s="172" t="s">
        <v>356</v>
      </c>
      <c r="H102" s="170">
        <v>60</v>
      </c>
      <c r="I102" s="170">
        <v>2</v>
      </c>
      <c r="J102" s="170">
        <v>1</v>
      </c>
      <c r="K102" s="170">
        <v>14</v>
      </c>
      <c r="L102" s="170">
        <v>5</v>
      </c>
      <c r="N102" s="149">
        <v>46007</v>
      </c>
      <c r="O102" s="150">
        <v>0.79166666666666663</v>
      </c>
      <c r="P102" s="145" t="s">
        <v>199</v>
      </c>
      <c r="Q102" s="145" t="s">
        <v>194</v>
      </c>
      <c r="R102" s="151">
        <v>2</v>
      </c>
      <c r="S102" s="145" t="str">
        <f>IFERROR(VLOOKUP(Q102, $E$5:$L$109, 3, FALSE), "")</f>
        <v>cup</v>
      </c>
      <c r="T102" s="152">
        <f t="shared" si="43"/>
        <v>252</v>
      </c>
      <c r="U102" s="152">
        <f t="shared" si="44"/>
        <v>52</v>
      </c>
      <c r="V102" s="152">
        <f t="shared" si="45"/>
        <v>0.8</v>
      </c>
      <c r="W102" s="152">
        <f t="shared" si="46"/>
        <v>3.6</v>
      </c>
      <c r="X102" s="152">
        <f t="shared" si="47"/>
        <v>0</v>
      </c>
      <c r="Y102" s="145"/>
    </row>
    <row r="103" spans="5:25">
      <c r="E103" s="170" t="s">
        <v>358</v>
      </c>
      <c r="F103" s="171">
        <v>100</v>
      </c>
      <c r="G103" s="172" t="s">
        <v>177</v>
      </c>
      <c r="H103" s="170">
        <v>520</v>
      </c>
      <c r="I103" s="170">
        <v>60</v>
      </c>
      <c r="J103" s="170">
        <v>30</v>
      </c>
      <c r="K103" s="170">
        <v>0</v>
      </c>
      <c r="L103" s="170">
        <v>0</v>
      </c>
      <c r="N103" s="149">
        <v>46007</v>
      </c>
      <c r="O103" s="150">
        <v>0.79166666666666663</v>
      </c>
      <c r="P103" s="145" t="s">
        <v>199</v>
      </c>
      <c r="Q103" s="145" t="s">
        <v>214</v>
      </c>
      <c r="R103" s="151">
        <v>1</v>
      </c>
      <c r="S103" s="145" t="str">
        <f t="shared" si="42"/>
        <v>bar</v>
      </c>
      <c r="T103" s="152">
        <f t="shared" si="43"/>
        <v>67</v>
      </c>
      <c r="U103" s="152">
        <f t="shared" si="44"/>
        <v>1</v>
      </c>
      <c r="V103" s="152">
        <f t="shared" si="45"/>
        <v>3.5</v>
      </c>
      <c r="W103" s="152">
        <f t="shared" si="46"/>
        <v>22</v>
      </c>
      <c r="X103" s="152">
        <f t="shared" si="47"/>
        <v>0.3</v>
      </c>
      <c r="Y103" s="145"/>
    </row>
    <row r="104" spans="5:25" ht="31.5">
      <c r="E104" s="254" t="s">
        <v>359</v>
      </c>
      <c r="F104" s="253">
        <v>1</v>
      </c>
      <c r="G104" s="253" t="s">
        <v>276</v>
      </c>
      <c r="H104" s="253">
        <v>520</v>
      </c>
      <c r="I104" s="253">
        <v>9</v>
      </c>
      <c r="J104" s="253">
        <v>31</v>
      </c>
      <c r="K104" s="253">
        <v>60</v>
      </c>
      <c r="L104" s="253">
        <v>3.5</v>
      </c>
      <c r="N104" s="149">
        <v>46007</v>
      </c>
      <c r="O104" s="150">
        <v>0.875</v>
      </c>
      <c r="P104" s="145" t="s">
        <v>199</v>
      </c>
      <c r="Q104" s="145" t="s">
        <v>212</v>
      </c>
      <c r="R104" s="151">
        <v>1</v>
      </c>
      <c r="S104" s="145" t="str">
        <f t="shared" si="42"/>
        <v>bottle</v>
      </c>
      <c r="T104" s="152">
        <f t="shared" si="43"/>
        <v>70</v>
      </c>
      <c r="U104" s="152">
        <f t="shared" si="44"/>
        <v>0</v>
      </c>
      <c r="V104" s="152">
        <f t="shared" si="45"/>
        <v>0</v>
      </c>
      <c r="W104" s="152">
        <f t="shared" si="46"/>
        <v>17</v>
      </c>
      <c r="X104" s="152">
        <f t="shared" si="47"/>
        <v>1</v>
      </c>
      <c r="Y104" s="145"/>
    </row>
    <row r="105" spans="5:25">
      <c r="E105" s="265" t="s">
        <v>360</v>
      </c>
      <c r="F105" s="253">
        <v>1</v>
      </c>
      <c r="G105" s="253" t="s">
        <v>361</v>
      </c>
      <c r="H105" s="253">
        <v>700</v>
      </c>
      <c r="I105" s="253">
        <v>8</v>
      </c>
      <c r="J105" s="253">
        <v>40</v>
      </c>
      <c r="K105" s="253">
        <v>76</v>
      </c>
      <c r="L105" s="253">
        <v>0</v>
      </c>
      <c r="N105" s="149">
        <v>46007</v>
      </c>
      <c r="O105" s="150">
        <v>0.875</v>
      </c>
      <c r="P105" s="145" t="s">
        <v>199</v>
      </c>
      <c r="Q105" s="145" t="s">
        <v>209</v>
      </c>
      <c r="R105" s="151">
        <v>3</v>
      </c>
      <c r="S105" s="145" t="str">
        <f t="shared" si="42"/>
        <v>tbsp</v>
      </c>
      <c r="T105" s="152">
        <f t="shared" si="43"/>
        <v>60</v>
      </c>
      <c r="U105" s="152">
        <f t="shared" si="44"/>
        <v>0</v>
      </c>
      <c r="V105" s="152">
        <f t="shared" si="45"/>
        <v>0</v>
      </c>
      <c r="W105" s="152">
        <f t="shared" si="46"/>
        <v>15</v>
      </c>
      <c r="X105" s="152">
        <f t="shared" si="47"/>
        <v>13.5</v>
      </c>
      <c r="Y105" s="145"/>
    </row>
    <row r="106" spans="5:25">
      <c r="E106" s="265" t="s">
        <v>420</v>
      </c>
      <c r="F106" s="144">
        <v>1</v>
      </c>
      <c r="G106" s="252" t="s">
        <v>340</v>
      </c>
      <c r="H106" s="241">
        <v>230</v>
      </c>
      <c r="I106" s="241">
        <v>3</v>
      </c>
      <c r="J106" s="241">
        <v>14</v>
      </c>
      <c r="K106" s="241">
        <v>26</v>
      </c>
      <c r="L106" s="241">
        <v>0</v>
      </c>
      <c r="N106" s="157"/>
      <c r="O106" s="158" t="s">
        <v>217</v>
      </c>
      <c r="P106" s="154"/>
      <c r="Q106" s="154"/>
      <c r="R106" s="154"/>
      <c r="S106" s="154"/>
      <c r="T106" s="159">
        <f>SUM(T95:T105)</f>
        <v>1905.85</v>
      </c>
      <c r="U106" s="159">
        <f>SUM(U95:U105)</f>
        <v>167.75</v>
      </c>
      <c r="V106" s="159">
        <f>SUM(V95:V105)</f>
        <v>44.353999999999999</v>
      </c>
      <c r="W106" s="159">
        <f>SUM(W95:W105)</f>
        <v>199.1</v>
      </c>
      <c r="X106" s="159">
        <f>SUM(X95:X105)</f>
        <v>21.3</v>
      </c>
      <c r="Y106" s="145"/>
    </row>
    <row r="107" spans="5:25">
      <c r="E107" s="265" t="s">
        <v>363</v>
      </c>
      <c r="F107" s="144">
        <v>1</v>
      </c>
      <c r="G107" s="252" t="s">
        <v>288</v>
      </c>
      <c r="H107" s="241">
        <v>240</v>
      </c>
      <c r="I107" s="241">
        <v>10</v>
      </c>
      <c r="J107" s="241">
        <v>9</v>
      </c>
      <c r="K107" s="241">
        <v>30</v>
      </c>
      <c r="L107" s="241">
        <v>0</v>
      </c>
      <c r="N107" s="157"/>
      <c r="O107" s="158" t="s">
        <v>220</v>
      </c>
      <c r="P107" s="154"/>
      <c r="Q107" s="154"/>
      <c r="R107" s="154"/>
      <c r="S107" s="154"/>
      <c r="T107" s="161">
        <f>$B$27</f>
        <v>2228.28125</v>
      </c>
      <c r="U107" s="161">
        <f>$B$29</f>
        <v>140.4</v>
      </c>
      <c r="V107" s="161">
        <f>$B$30</f>
        <v>64.739999999999995</v>
      </c>
      <c r="W107" s="161">
        <f>$B$31</f>
        <v>271.0053125</v>
      </c>
      <c r="X107" s="161">
        <f>$B$32</f>
        <v>31.195937500000003</v>
      </c>
      <c r="Y107" s="145"/>
    </row>
    <row r="108" spans="5:25">
      <c r="E108" s="269" t="s">
        <v>365</v>
      </c>
      <c r="F108" s="267">
        <v>100</v>
      </c>
      <c r="G108" s="266" t="s">
        <v>177</v>
      </c>
      <c r="H108" s="268">
        <v>354</v>
      </c>
      <c r="I108" s="268">
        <v>3.3</v>
      </c>
      <c r="J108" s="268">
        <v>33.5</v>
      </c>
      <c r="K108" s="268">
        <v>15.2</v>
      </c>
      <c r="L108" s="268">
        <v>9</v>
      </c>
      <c r="N108" s="157"/>
      <c r="O108" s="158" t="s">
        <v>222</v>
      </c>
      <c r="P108" s="154"/>
      <c r="Q108" s="154"/>
      <c r="R108" s="154"/>
      <c r="S108" s="154"/>
      <c r="T108" s="161">
        <f>T106-T107</f>
        <v>-322.43125000000009</v>
      </c>
      <c r="U108" s="161">
        <f>U106-U107</f>
        <v>27.349999999999994</v>
      </c>
      <c r="V108" s="161">
        <f>V106-V107</f>
        <v>-20.385999999999996</v>
      </c>
      <c r="W108" s="161">
        <f>W106-W107</f>
        <v>-71.905312500000008</v>
      </c>
      <c r="X108" s="161">
        <f>X106-X107</f>
        <v>-9.8959375000000023</v>
      </c>
      <c r="Y108" s="145"/>
    </row>
    <row r="109" spans="5:25">
      <c r="E109" s="270" t="s">
        <v>366</v>
      </c>
      <c r="F109" s="267">
        <v>1</v>
      </c>
      <c r="G109" s="266" t="s">
        <v>364</v>
      </c>
      <c r="H109" s="268">
        <v>430</v>
      </c>
      <c r="I109" s="268">
        <v>5</v>
      </c>
      <c r="J109" s="268">
        <v>34</v>
      </c>
      <c r="K109" s="268">
        <v>28</v>
      </c>
      <c r="L109" s="268">
        <v>10</v>
      </c>
      <c r="N109" s="149">
        <v>46008</v>
      </c>
      <c r="O109" s="150">
        <v>0.33333333333333331</v>
      </c>
      <c r="P109" s="145" t="s">
        <v>178</v>
      </c>
      <c r="Q109" s="145" t="s">
        <v>279</v>
      </c>
      <c r="R109" s="151">
        <v>1.5</v>
      </c>
      <c r="S109" s="145" t="str">
        <f t="shared" ref="S109:S119" si="48">IFERROR(VLOOKUP(Q109, $E$5:$L$109, 3, FALSE), "")</f>
        <v>medium</v>
      </c>
      <c r="T109" s="152">
        <f t="shared" ref="T109:T119" si="49">IFERROR(VLOOKUP(Q109, $E$5:$L$109, 4, FALSE) * (R109 / VLOOKUP(Q109, $E$5:$L$109, 2, FALSE)), "")</f>
        <v>51</v>
      </c>
      <c r="U109" s="152">
        <f t="shared" ref="U109:U119" si="50">IFERROR(VLOOKUP(Q109, $E$5:$L$109, 5, FALSE) * (R109 / VLOOKUP(Q109, $E$5:$L$109, 2, FALSE)), "")</f>
        <v>0.89999999999999991</v>
      </c>
      <c r="V109" s="152">
        <f t="shared" ref="V109:V119" si="51">IFERROR(VLOOKUP(Q109, $E$5:$L$109, 6, FALSE) * (R109 / VLOOKUP(Q109, $E$5:$L$109, 2, FALSE)), "")</f>
        <v>0.30000000000000004</v>
      </c>
      <c r="W109" s="152">
        <f t="shared" ref="W109:W119" si="52">IFERROR(VLOOKUP(Q109, $E$5:$L$109, 7, FALSE) * (R109 / VLOOKUP(Q109, $E$5:$L$109, 2, FALSE)), "")</f>
        <v>12.299999999999999</v>
      </c>
      <c r="X109" s="152">
        <f t="shared" ref="X109:X119" si="53">IFERROR(VLOOKUP(Q109, $E$5:$L$109, 8, FALSE) * (R109 / VLOOKUP(Q109, $E$5:$L$109, 2, FALSE)), "")</f>
        <v>3.1500000000000004</v>
      </c>
      <c r="Y109" s="145"/>
    </row>
    <row r="110" spans="5:25">
      <c r="E110" s="270" t="s">
        <v>367</v>
      </c>
      <c r="F110" s="267">
        <v>1</v>
      </c>
      <c r="G110" s="266" t="s">
        <v>276</v>
      </c>
      <c r="H110" s="268">
        <v>110</v>
      </c>
      <c r="I110" s="268">
        <v>1.5</v>
      </c>
      <c r="J110" s="268">
        <v>4</v>
      </c>
      <c r="K110" s="268">
        <v>18</v>
      </c>
      <c r="L110" s="268">
        <v>1</v>
      </c>
      <c r="N110" s="149">
        <v>46008</v>
      </c>
      <c r="O110" s="150">
        <v>0.33333333333333331</v>
      </c>
      <c r="P110" s="145" t="s">
        <v>178</v>
      </c>
      <c r="Q110" s="145" t="s">
        <v>179</v>
      </c>
      <c r="R110" s="151">
        <v>1</v>
      </c>
      <c r="S110" s="145" t="str">
        <f t="shared" si="48"/>
        <v>bottle</v>
      </c>
      <c r="T110" s="152">
        <f t="shared" si="49"/>
        <v>260</v>
      </c>
      <c r="U110" s="152">
        <f t="shared" si="50"/>
        <v>33</v>
      </c>
      <c r="V110" s="152">
        <f t="shared" si="51"/>
        <v>6</v>
      </c>
      <c r="W110" s="152">
        <f t="shared" si="52"/>
        <v>20</v>
      </c>
      <c r="X110" s="152">
        <f t="shared" si="53"/>
        <v>0</v>
      </c>
      <c r="Y110" s="145"/>
    </row>
    <row r="111" spans="5:25" ht="31.5">
      <c r="E111" s="270" t="s">
        <v>368</v>
      </c>
      <c r="F111" s="267">
        <v>1</v>
      </c>
      <c r="G111" s="266" t="s">
        <v>298</v>
      </c>
      <c r="H111" s="268">
        <v>320</v>
      </c>
      <c r="I111" s="268">
        <v>12</v>
      </c>
      <c r="J111" s="268">
        <v>10</v>
      </c>
      <c r="K111" s="268">
        <v>45</v>
      </c>
      <c r="L111" s="268">
        <v>3</v>
      </c>
      <c r="N111" s="149">
        <v>46008</v>
      </c>
      <c r="O111" s="150">
        <v>0.33333333333333331</v>
      </c>
      <c r="P111" s="145" t="s">
        <v>178</v>
      </c>
      <c r="Q111" s="145" t="s">
        <v>181</v>
      </c>
      <c r="R111" s="151">
        <v>2</v>
      </c>
      <c r="S111" s="145" t="str">
        <f t="shared" si="48"/>
        <v>slice</v>
      </c>
      <c r="T111" s="152">
        <f t="shared" si="49"/>
        <v>140</v>
      </c>
      <c r="U111" s="152">
        <f t="shared" si="50"/>
        <v>5</v>
      </c>
      <c r="V111" s="152">
        <f t="shared" si="51"/>
        <v>2.5</v>
      </c>
      <c r="W111" s="152">
        <f t="shared" si="52"/>
        <v>24</v>
      </c>
      <c r="X111" s="152">
        <f t="shared" si="53"/>
        <v>2</v>
      </c>
      <c r="Y111" s="145"/>
    </row>
    <row r="112" spans="5:25">
      <c r="E112" s="241" t="s">
        <v>369</v>
      </c>
      <c r="F112" s="144">
        <v>1</v>
      </c>
      <c r="G112" s="252" t="s">
        <v>370</v>
      </c>
      <c r="H112" s="241">
        <v>10</v>
      </c>
      <c r="I112" s="241">
        <v>0</v>
      </c>
      <c r="J112" s="241">
        <v>0</v>
      </c>
      <c r="K112" s="241">
        <v>3</v>
      </c>
      <c r="L112" s="241">
        <v>0</v>
      </c>
      <c r="N112" s="149">
        <v>46008</v>
      </c>
      <c r="O112" s="150">
        <v>0.45833333333333331</v>
      </c>
      <c r="P112" s="145" t="s">
        <v>289</v>
      </c>
      <c r="Q112" s="145" t="s">
        <v>253</v>
      </c>
      <c r="R112" s="151">
        <v>1</v>
      </c>
      <c r="S112" s="145" t="str">
        <f t="shared" si="48"/>
        <v>medium</v>
      </c>
      <c r="T112" s="152">
        <f t="shared" si="49"/>
        <v>42</v>
      </c>
      <c r="U112" s="152">
        <f t="shared" si="50"/>
        <v>0.8</v>
      </c>
      <c r="V112" s="152">
        <f t="shared" si="51"/>
        <v>0.4</v>
      </c>
      <c r="W112" s="152">
        <f t="shared" si="52"/>
        <v>10</v>
      </c>
      <c r="X112" s="152">
        <f t="shared" si="53"/>
        <v>2.1</v>
      </c>
      <c r="Y112" s="145"/>
    </row>
    <row r="113" spans="5:25">
      <c r="E113" s="268" t="s">
        <v>371</v>
      </c>
      <c r="F113" s="144">
        <v>1</v>
      </c>
      <c r="G113" s="252" t="s">
        <v>276</v>
      </c>
      <c r="H113" s="241">
        <v>85</v>
      </c>
      <c r="I113" s="241">
        <v>2</v>
      </c>
      <c r="J113" s="241">
        <v>5</v>
      </c>
      <c r="K113" s="241">
        <v>8</v>
      </c>
      <c r="L113" s="241">
        <v>0.5</v>
      </c>
      <c r="N113" s="149">
        <v>46008</v>
      </c>
      <c r="O113" s="150">
        <v>0.5</v>
      </c>
      <c r="P113" s="145" t="s">
        <v>289</v>
      </c>
      <c r="Q113" s="145" t="s">
        <v>280</v>
      </c>
      <c r="R113" s="151">
        <v>15</v>
      </c>
      <c r="S113" s="145" t="str">
        <f t="shared" si="48"/>
        <v>pieces</v>
      </c>
      <c r="T113" s="152">
        <f t="shared" si="49"/>
        <v>150</v>
      </c>
      <c r="U113" s="152">
        <f t="shared" si="50"/>
        <v>4.2857142857142856</v>
      </c>
      <c r="V113" s="152">
        <f t="shared" si="51"/>
        <v>0</v>
      </c>
      <c r="W113" s="152">
        <f t="shared" si="52"/>
        <v>34.285714285714285</v>
      </c>
      <c r="X113" s="152">
        <f t="shared" si="53"/>
        <v>0</v>
      </c>
      <c r="Y113" s="145"/>
    </row>
    <row r="114" spans="5:25">
      <c r="E114" s="170" t="s">
        <v>372</v>
      </c>
      <c r="F114" s="171">
        <v>1</v>
      </c>
      <c r="G114" s="252" t="s">
        <v>276</v>
      </c>
      <c r="H114" s="170">
        <v>120</v>
      </c>
      <c r="I114" s="170">
        <v>1</v>
      </c>
      <c r="J114" s="170">
        <v>8</v>
      </c>
      <c r="K114" s="170">
        <v>12</v>
      </c>
      <c r="L114" s="170">
        <v>0</v>
      </c>
      <c r="N114" s="149">
        <v>46008</v>
      </c>
      <c r="O114" s="150">
        <v>0.5</v>
      </c>
      <c r="P114" s="145" t="s">
        <v>185</v>
      </c>
      <c r="Q114" s="145" t="s">
        <v>180</v>
      </c>
      <c r="R114" s="151">
        <v>200</v>
      </c>
      <c r="S114" s="145" t="str">
        <f t="shared" si="48"/>
        <v>g</v>
      </c>
      <c r="T114" s="152">
        <f t="shared" si="49"/>
        <v>260</v>
      </c>
      <c r="U114" s="152">
        <f t="shared" si="50"/>
        <v>5.4</v>
      </c>
      <c r="V114" s="152">
        <f t="shared" si="51"/>
        <v>0.6</v>
      </c>
      <c r="W114" s="152">
        <f t="shared" si="52"/>
        <v>56</v>
      </c>
      <c r="X114" s="152">
        <f t="shared" si="53"/>
        <v>0.8</v>
      </c>
      <c r="Y114" s="145"/>
    </row>
    <row r="115" spans="5:25">
      <c r="E115" s="241" t="s">
        <v>374</v>
      </c>
      <c r="F115" s="144">
        <v>1</v>
      </c>
      <c r="G115" s="252" t="s">
        <v>241</v>
      </c>
      <c r="H115" s="241">
        <v>80</v>
      </c>
      <c r="I115" s="241">
        <v>7</v>
      </c>
      <c r="J115" s="241">
        <v>6</v>
      </c>
      <c r="K115" s="241">
        <v>0</v>
      </c>
      <c r="L115" s="241">
        <v>0</v>
      </c>
      <c r="N115" s="149">
        <v>46008</v>
      </c>
      <c r="O115" s="150">
        <v>0.5</v>
      </c>
      <c r="P115" s="145" t="s">
        <v>185</v>
      </c>
      <c r="Q115" s="145" t="s">
        <v>282</v>
      </c>
      <c r="R115" s="151">
        <v>2</v>
      </c>
      <c r="S115" s="145" t="str">
        <f t="shared" si="48"/>
        <v>bowl</v>
      </c>
      <c r="T115" s="152">
        <f t="shared" si="49"/>
        <v>640</v>
      </c>
      <c r="U115" s="152">
        <f t="shared" si="50"/>
        <v>30</v>
      </c>
      <c r="V115" s="152">
        <f t="shared" si="51"/>
        <v>36</v>
      </c>
      <c r="W115" s="152">
        <f t="shared" si="52"/>
        <v>40</v>
      </c>
      <c r="X115" s="152">
        <f t="shared" si="53"/>
        <v>6</v>
      </c>
      <c r="Y115" s="145"/>
    </row>
    <row r="116" spans="5:25">
      <c r="E116" s="170" t="s">
        <v>375</v>
      </c>
      <c r="F116" s="171">
        <v>1</v>
      </c>
      <c r="G116" s="172" t="s">
        <v>276</v>
      </c>
      <c r="H116" s="170">
        <v>110</v>
      </c>
      <c r="I116" s="170">
        <v>9</v>
      </c>
      <c r="J116" s="170">
        <v>8</v>
      </c>
      <c r="K116" s="170">
        <v>3</v>
      </c>
      <c r="L116" s="170">
        <v>0</v>
      </c>
      <c r="N116" s="149">
        <v>46008</v>
      </c>
      <c r="O116" s="150">
        <v>0.58333333333333337</v>
      </c>
      <c r="P116" s="145" t="s">
        <v>289</v>
      </c>
      <c r="Q116" s="145" t="s">
        <v>275</v>
      </c>
      <c r="R116" s="151">
        <v>2</v>
      </c>
      <c r="S116" s="145" t="str">
        <f t="shared" si="48"/>
        <v>piece</v>
      </c>
      <c r="T116" s="152">
        <f t="shared" si="49"/>
        <v>180</v>
      </c>
      <c r="U116" s="152">
        <f t="shared" si="50"/>
        <v>1</v>
      </c>
      <c r="V116" s="152">
        <f t="shared" si="51"/>
        <v>9</v>
      </c>
      <c r="W116" s="152">
        <f t="shared" si="52"/>
        <v>24</v>
      </c>
      <c r="X116" s="152">
        <f t="shared" si="53"/>
        <v>2</v>
      </c>
      <c r="Y116" s="145"/>
    </row>
    <row r="117" spans="5:25">
      <c r="E117" s="241" t="s">
        <v>376</v>
      </c>
      <c r="F117" s="144">
        <v>3</v>
      </c>
      <c r="G117" s="252" t="s">
        <v>322</v>
      </c>
      <c r="H117" s="170">
        <v>120</v>
      </c>
      <c r="I117" s="170">
        <v>2</v>
      </c>
      <c r="J117" s="170">
        <v>5</v>
      </c>
      <c r="K117" s="170">
        <v>17</v>
      </c>
      <c r="L117" s="170">
        <v>0</v>
      </c>
      <c r="N117" s="149">
        <v>46008</v>
      </c>
      <c r="O117" s="150">
        <v>0.70833333333333337</v>
      </c>
      <c r="P117" s="145" t="s">
        <v>289</v>
      </c>
      <c r="Q117" s="145" t="s">
        <v>214</v>
      </c>
      <c r="R117" s="151">
        <v>1</v>
      </c>
      <c r="S117" s="145" t="str">
        <f t="shared" si="48"/>
        <v>bar</v>
      </c>
      <c r="T117" s="152">
        <f t="shared" si="49"/>
        <v>67</v>
      </c>
      <c r="U117" s="152">
        <f t="shared" si="50"/>
        <v>1</v>
      </c>
      <c r="V117" s="152">
        <f t="shared" si="51"/>
        <v>3.5</v>
      </c>
      <c r="W117" s="152">
        <f t="shared" si="52"/>
        <v>22</v>
      </c>
      <c r="X117" s="152">
        <f t="shared" si="53"/>
        <v>0.3</v>
      </c>
      <c r="Y117" s="145"/>
    </row>
    <row r="118" spans="5:25">
      <c r="E118" s="170" t="s">
        <v>418</v>
      </c>
      <c r="F118" s="171">
        <v>1</v>
      </c>
      <c r="G118" s="172" t="s">
        <v>419</v>
      </c>
      <c r="H118" s="170">
        <v>150</v>
      </c>
      <c r="I118" s="170">
        <v>2</v>
      </c>
      <c r="J118" s="170">
        <v>0</v>
      </c>
      <c r="K118" s="170">
        <v>35</v>
      </c>
      <c r="L118" s="170">
        <v>5</v>
      </c>
      <c r="N118" s="149">
        <v>46008</v>
      </c>
      <c r="O118" s="150">
        <v>0.79166666666666663</v>
      </c>
      <c r="P118" s="145" t="s">
        <v>199</v>
      </c>
      <c r="Q118" s="145" t="s">
        <v>194</v>
      </c>
      <c r="R118" s="151">
        <v>2.5</v>
      </c>
      <c r="S118" s="145" t="str">
        <f t="shared" si="48"/>
        <v>cup</v>
      </c>
      <c r="T118" s="152">
        <f t="shared" si="49"/>
        <v>315</v>
      </c>
      <c r="U118" s="152">
        <f t="shared" si="50"/>
        <v>65</v>
      </c>
      <c r="V118" s="152">
        <f t="shared" si="51"/>
        <v>1</v>
      </c>
      <c r="W118" s="152">
        <f t="shared" si="52"/>
        <v>4.5</v>
      </c>
      <c r="X118" s="152">
        <f t="shared" si="53"/>
        <v>0</v>
      </c>
      <c r="Y118" s="145"/>
    </row>
    <row r="119" spans="5:25">
      <c r="E119" s="265" t="s">
        <v>421</v>
      </c>
      <c r="F119" s="144">
        <v>1</v>
      </c>
      <c r="G119" s="252" t="s">
        <v>340</v>
      </c>
      <c r="H119" s="241">
        <v>340</v>
      </c>
      <c r="I119" s="241">
        <v>4</v>
      </c>
      <c r="J119" s="241">
        <v>22</v>
      </c>
      <c r="K119" s="241">
        <v>32</v>
      </c>
      <c r="L119" s="241">
        <v>2</v>
      </c>
      <c r="N119" s="149">
        <v>46008</v>
      </c>
      <c r="O119" s="150">
        <v>0.79166666666666663</v>
      </c>
      <c r="P119" s="145" t="s">
        <v>199</v>
      </c>
      <c r="Q119" s="145" t="s">
        <v>181</v>
      </c>
      <c r="R119" s="151">
        <v>4</v>
      </c>
      <c r="S119" s="145" t="str">
        <f t="shared" si="48"/>
        <v>slice</v>
      </c>
      <c r="T119" s="152">
        <f t="shared" si="49"/>
        <v>280</v>
      </c>
      <c r="U119" s="152">
        <f t="shared" si="50"/>
        <v>10</v>
      </c>
      <c r="V119" s="152">
        <f t="shared" si="51"/>
        <v>5</v>
      </c>
      <c r="W119" s="152">
        <f t="shared" si="52"/>
        <v>48</v>
      </c>
      <c r="X119" s="152">
        <f t="shared" si="53"/>
        <v>4</v>
      </c>
      <c r="Y119" s="145"/>
    </row>
    <row r="120" spans="5:25">
      <c r="E120" s="170" t="s">
        <v>422</v>
      </c>
      <c r="F120" s="171">
        <v>1</v>
      </c>
      <c r="G120" s="172" t="s">
        <v>283</v>
      </c>
      <c r="H120" s="170">
        <v>280</v>
      </c>
      <c r="I120" s="170">
        <v>20</v>
      </c>
      <c r="J120" s="170">
        <v>18</v>
      </c>
      <c r="K120" s="170">
        <v>8</v>
      </c>
      <c r="L120" s="170">
        <v>2</v>
      </c>
      <c r="N120" s="149">
        <v>46008</v>
      </c>
      <c r="O120" s="150">
        <v>0.79166666666666663</v>
      </c>
      <c r="P120" s="145" t="s">
        <v>199</v>
      </c>
      <c r="Q120" s="145" t="s">
        <v>209</v>
      </c>
      <c r="R120" s="151">
        <v>2</v>
      </c>
      <c r="S120" s="145" t="str">
        <f>IFERROR(VLOOKUP(Q120, $E$5:$L$109, 3, FALSE), "")</f>
        <v>tbsp</v>
      </c>
      <c r="T120" s="152">
        <f>IFERROR(VLOOKUP(Q120, $E$5:$L$109, 4, FALSE) * (R120 / VLOOKUP(Q120, $E$5:$L$109, 2, FALSE)), "")</f>
        <v>40</v>
      </c>
      <c r="U120" s="152">
        <f>IFERROR(VLOOKUP(Q120, $E$5:$L$109, 5, FALSE) * (R120 / VLOOKUP(Q120, $E$5:$L$109, 2, FALSE)), "")</f>
        <v>0</v>
      </c>
      <c r="V120" s="152">
        <f>IFERROR(VLOOKUP(Q120, $E$5:$L$109, 6, FALSE) * (R120 / VLOOKUP(Q120, $E$5:$L$109, 2, FALSE)), "")</f>
        <v>0</v>
      </c>
      <c r="W120" s="152">
        <f>IFERROR(VLOOKUP(Q120, $E$5:$L$109, 7, FALSE) * (R120 / VLOOKUP(Q120, $E$5:$L$109, 2, FALSE)), "")</f>
        <v>10</v>
      </c>
      <c r="X120" s="152">
        <f>IFERROR(VLOOKUP(Q120, $E$5:$L$109, 8, FALSE) * (R120 / VLOOKUP(Q120, $E$5:$L$109, 2, FALSE)), "")</f>
        <v>9</v>
      </c>
      <c r="Y120" s="145"/>
    </row>
    <row r="121" spans="5:25">
      <c r="E121" s="241" t="s">
        <v>423</v>
      </c>
      <c r="F121" s="171">
        <v>2</v>
      </c>
      <c r="G121" s="252" t="s">
        <v>281</v>
      </c>
      <c r="H121" s="170">
        <v>15</v>
      </c>
      <c r="I121" s="170">
        <v>0</v>
      </c>
      <c r="J121" s="170">
        <v>0</v>
      </c>
      <c r="K121" s="170">
        <v>3</v>
      </c>
      <c r="L121" s="170">
        <v>0</v>
      </c>
      <c r="N121" s="149">
        <v>46008</v>
      </c>
      <c r="O121" s="150">
        <v>0.79166666666666663</v>
      </c>
      <c r="P121" s="145" t="s">
        <v>199</v>
      </c>
      <c r="Q121" s="145" t="s">
        <v>212</v>
      </c>
      <c r="R121" s="151">
        <v>1</v>
      </c>
      <c r="S121" s="145" t="str">
        <f>IFERROR(VLOOKUP(Q121, $E$5:$L$109, 3, FALSE), "")</f>
        <v>bottle</v>
      </c>
      <c r="T121" s="152">
        <f>IFERROR(VLOOKUP(Q121, $E$5:$L$109, 4, FALSE) * (R121 / VLOOKUP(Q121, $E$5:$L$109, 2, FALSE)), "")</f>
        <v>70</v>
      </c>
      <c r="U121" s="152">
        <f>IFERROR(VLOOKUP(Q121, $E$5:$L$109, 5, FALSE) * (R121 / VLOOKUP(Q121, $E$5:$L$109, 2, FALSE)), "")</f>
        <v>0</v>
      </c>
      <c r="V121" s="152">
        <f>IFERROR(VLOOKUP(Q121, $E$5:$L$109, 6, FALSE) * (R121 / VLOOKUP(Q121, $E$5:$L$109, 2, FALSE)), "")</f>
        <v>0</v>
      </c>
      <c r="W121" s="152">
        <f>IFERROR(VLOOKUP(Q121, $E$5:$L$109, 7, FALSE) * (R121 / VLOOKUP(Q121, $E$5:$L$109, 2, FALSE)), "")</f>
        <v>17</v>
      </c>
      <c r="X121" s="152">
        <f>IFERROR(VLOOKUP(Q121, $E$5:$L$109, 8, FALSE) * (R121 / VLOOKUP(Q121, $E$5:$L$109, 2, FALSE)), "")</f>
        <v>1</v>
      </c>
      <c r="Y121" s="145"/>
    </row>
    <row r="122" spans="5:25">
      <c r="N122" s="149">
        <v>46008</v>
      </c>
      <c r="O122" s="150">
        <v>0.79166666666666663</v>
      </c>
      <c r="P122" s="145" t="s">
        <v>199</v>
      </c>
      <c r="Q122" s="145" t="s">
        <v>219</v>
      </c>
      <c r="R122" s="151">
        <v>1</v>
      </c>
      <c r="S122" s="145" t="str">
        <f>IFERROR(VLOOKUP(Q122, $E$5:$L$109, 3, FALSE), "")</f>
        <v>bottle</v>
      </c>
      <c r="T122" s="152">
        <f>IFERROR(VLOOKUP(Q122, $E$5:$L$109, 4, FALSE) * (R122 / VLOOKUP(Q122, $E$5:$L$109, 2, FALSE)), "")</f>
        <v>0</v>
      </c>
      <c r="U122" s="152">
        <f>IFERROR(VLOOKUP(Q122, $E$5:$L$109, 5, FALSE) * (R122 / VLOOKUP(Q122, $E$5:$L$109, 2, FALSE)), "")</f>
        <v>0</v>
      </c>
      <c r="V122" s="152">
        <f>IFERROR(VLOOKUP(Q122, $E$5:$L$109, 6, FALSE) * (R122 / VLOOKUP(Q122, $E$5:$L$109, 2, FALSE)), "")</f>
        <v>0</v>
      </c>
      <c r="W122" s="152">
        <f>IFERROR(VLOOKUP(Q122, $E$5:$L$109, 7, FALSE) * (R122 / VLOOKUP(Q122, $E$5:$L$109, 2, FALSE)), "")</f>
        <v>0</v>
      </c>
      <c r="X122" s="152">
        <f>IFERROR(VLOOKUP(Q122, $E$5:$L$109, 8, FALSE) * (R122 / VLOOKUP(Q122, $E$5:$L$109, 2, FALSE)), "")</f>
        <v>0</v>
      </c>
      <c r="Y122" s="145"/>
    </row>
    <row r="123" spans="5:25">
      <c r="N123" s="157"/>
      <c r="O123" s="158" t="s">
        <v>217</v>
      </c>
      <c r="P123" s="154"/>
      <c r="Q123" s="154"/>
      <c r="R123" s="154"/>
      <c r="S123" s="154"/>
      <c r="T123" s="159">
        <f>SUM(T109:T122)</f>
        <v>2495</v>
      </c>
      <c r="U123" s="159">
        <f>SUM(U109:U122)</f>
        <v>156.38571428571427</v>
      </c>
      <c r="V123" s="159">
        <f>SUM(V109:V122)</f>
        <v>64.3</v>
      </c>
      <c r="W123" s="159">
        <f>SUM(W109:W122)</f>
        <v>322.08571428571429</v>
      </c>
      <c r="X123" s="159">
        <f>SUM(X109:X122)</f>
        <v>30.35</v>
      </c>
      <c r="Y123" s="145"/>
    </row>
    <row r="124" spans="5:25">
      <c r="N124" s="157"/>
      <c r="O124" s="158" t="s">
        <v>220</v>
      </c>
      <c r="P124" s="154"/>
      <c r="Q124" s="154"/>
      <c r="R124" s="154"/>
      <c r="S124" s="154"/>
      <c r="T124" s="161">
        <f>$B$27</f>
        <v>2228.28125</v>
      </c>
      <c r="U124" s="161">
        <f>$B$29</f>
        <v>140.4</v>
      </c>
      <c r="V124" s="161">
        <f>$B$30</f>
        <v>64.739999999999995</v>
      </c>
      <c r="W124" s="161">
        <f>$B$31</f>
        <v>271.0053125</v>
      </c>
      <c r="X124" s="161">
        <f>$B$32</f>
        <v>31.195937500000003</v>
      </c>
      <c r="Y124" s="145"/>
    </row>
    <row r="125" spans="5:25">
      <c r="N125" s="157"/>
      <c r="O125" s="158" t="s">
        <v>222</v>
      </c>
      <c r="P125" s="154"/>
      <c r="Q125" s="154"/>
      <c r="R125" s="154"/>
      <c r="S125" s="154"/>
      <c r="T125" s="161">
        <f>T123-T124</f>
        <v>266.71875</v>
      </c>
      <c r="U125" s="161">
        <f>U123-U124</f>
        <v>15.985714285714266</v>
      </c>
      <c r="V125" s="161">
        <f>V123-V124</f>
        <v>-0.43999999999999773</v>
      </c>
      <c r="W125" s="161">
        <f>W123-W124</f>
        <v>51.080401785714287</v>
      </c>
      <c r="X125" s="161">
        <f>X123-X124</f>
        <v>-0.84593750000000156</v>
      </c>
      <c r="Y125" s="145"/>
    </row>
    <row r="126" spans="5:25">
      <c r="N126" s="149">
        <v>46009</v>
      </c>
      <c r="O126" s="150">
        <v>0.20833333333333334</v>
      </c>
      <c r="P126" s="145" t="s">
        <v>178</v>
      </c>
      <c r="Q126" s="145" t="s">
        <v>181</v>
      </c>
      <c r="R126" s="151">
        <v>2</v>
      </c>
      <c r="S126" s="145" t="str">
        <f t="shared" ref="S126:S133" si="54">IFERROR(VLOOKUP(Q126, $E$5:$L$109, 3, FALSE), "")</f>
        <v>slice</v>
      </c>
      <c r="T126" s="152">
        <f t="shared" ref="T126:T133" si="55">IFERROR(VLOOKUP(Q126, $E$5:$L$109, 4, FALSE) * (R126 / VLOOKUP(Q126, $E$5:$L$109, 2, FALSE)), "")</f>
        <v>140</v>
      </c>
      <c r="U126" s="152">
        <f t="shared" ref="U126:U133" si="56">IFERROR(VLOOKUP(Q126, $E$5:$L$109, 5, FALSE) * (R126 / VLOOKUP(Q126, $E$5:$L$109, 2, FALSE)), "")</f>
        <v>5</v>
      </c>
      <c r="V126" s="152">
        <f t="shared" ref="V126:V133" si="57">IFERROR(VLOOKUP(Q126, $E$5:$L$109, 6, FALSE) * (R126 / VLOOKUP(Q126, $E$5:$L$109, 2, FALSE)), "")</f>
        <v>2.5</v>
      </c>
      <c r="W126" s="152">
        <f t="shared" ref="W126:W133" si="58">IFERROR(VLOOKUP(Q126, $E$5:$L$109, 7, FALSE) * (R126 / VLOOKUP(Q126, $E$5:$L$109, 2, FALSE)), "")</f>
        <v>24</v>
      </c>
      <c r="X126" s="152">
        <f t="shared" ref="X126:X133" si="59">IFERROR(VLOOKUP(Q126, $E$5:$L$109, 8, FALSE) * (R126 / VLOOKUP(Q126, $E$5:$L$109, 2, FALSE)), "")</f>
        <v>2</v>
      </c>
      <c r="Y126" s="145"/>
    </row>
    <row r="127" spans="5:25">
      <c r="N127" s="149">
        <v>46009</v>
      </c>
      <c r="O127" s="150">
        <v>0.29166666666666669</v>
      </c>
      <c r="P127" s="145" t="s">
        <v>178</v>
      </c>
      <c r="Q127" s="145" t="s">
        <v>179</v>
      </c>
      <c r="R127" s="151">
        <v>1</v>
      </c>
      <c r="S127" s="145" t="str">
        <f t="shared" si="54"/>
        <v>bottle</v>
      </c>
      <c r="T127" s="152">
        <f t="shared" si="55"/>
        <v>260</v>
      </c>
      <c r="U127" s="152">
        <f t="shared" si="56"/>
        <v>33</v>
      </c>
      <c r="V127" s="152">
        <f t="shared" si="57"/>
        <v>6</v>
      </c>
      <c r="W127" s="152">
        <f t="shared" si="58"/>
        <v>20</v>
      </c>
      <c r="X127" s="152">
        <f t="shared" si="59"/>
        <v>0</v>
      </c>
      <c r="Y127" s="145"/>
    </row>
    <row r="128" spans="5:25">
      <c r="N128" s="149">
        <v>46009</v>
      </c>
      <c r="O128" s="150">
        <v>0.29166666666666669</v>
      </c>
      <c r="P128" s="145" t="s">
        <v>178</v>
      </c>
      <c r="Q128" s="145" t="s">
        <v>273</v>
      </c>
      <c r="R128" s="151">
        <v>2</v>
      </c>
      <c r="S128" s="145" t="str">
        <f t="shared" si="54"/>
        <v>medium bag</v>
      </c>
      <c r="T128" s="152">
        <f t="shared" si="55"/>
        <v>420</v>
      </c>
      <c r="U128" s="152">
        <f t="shared" si="56"/>
        <v>10</v>
      </c>
      <c r="V128" s="152">
        <f t="shared" si="57"/>
        <v>2</v>
      </c>
      <c r="W128" s="152">
        <f t="shared" si="58"/>
        <v>90</v>
      </c>
      <c r="X128" s="152">
        <f t="shared" si="59"/>
        <v>4</v>
      </c>
      <c r="Y128" s="145"/>
    </row>
    <row r="129" spans="14:25">
      <c r="N129" s="149">
        <v>46009</v>
      </c>
      <c r="O129" s="150">
        <v>0.29166666666666669</v>
      </c>
      <c r="P129" s="145" t="s">
        <v>178</v>
      </c>
      <c r="Q129" s="145" t="s">
        <v>261</v>
      </c>
      <c r="R129" s="151">
        <v>1</v>
      </c>
      <c r="S129" s="145" t="str">
        <f t="shared" si="54"/>
        <v>stick</v>
      </c>
      <c r="T129" s="152">
        <f t="shared" si="55"/>
        <v>110</v>
      </c>
      <c r="U129" s="152">
        <f t="shared" si="56"/>
        <v>12</v>
      </c>
      <c r="V129" s="152">
        <f t="shared" si="57"/>
        <v>4</v>
      </c>
      <c r="W129" s="152">
        <f t="shared" si="58"/>
        <v>5</v>
      </c>
      <c r="X129" s="152">
        <f t="shared" si="59"/>
        <v>0</v>
      </c>
      <c r="Y129" s="145"/>
    </row>
    <row r="130" spans="14:25">
      <c r="N130" s="149">
        <v>46009</v>
      </c>
      <c r="O130" s="150">
        <v>0.5</v>
      </c>
      <c r="P130" s="145" t="s">
        <v>185</v>
      </c>
      <c r="Q130" s="145" t="s">
        <v>273</v>
      </c>
      <c r="R130" s="151">
        <v>2</v>
      </c>
      <c r="S130" s="145" t="str">
        <f t="shared" si="54"/>
        <v>medium bag</v>
      </c>
      <c r="T130" s="152">
        <f t="shared" si="55"/>
        <v>420</v>
      </c>
      <c r="U130" s="152">
        <f t="shared" si="56"/>
        <v>10</v>
      </c>
      <c r="V130" s="152">
        <f t="shared" si="57"/>
        <v>2</v>
      </c>
      <c r="W130" s="152">
        <f t="shared" si="58"/>
        <v>90</v>
      </c>
      <c r="X130" s="152">
        <f t="shared" si="59"/>
        <v>4</v>
      </c>
      <c r="Y130" s="145"/>
    </row>
    <row r="131" spans="14:25">
      <c r="N131" s="149">
        <v>46009</v>
      </c>
      <c r="O131" s="150">
        <v>0.5</v>
      </c>
      <c r="P131" s="145" t="s">
        <v>185</v>
      </c>
      <c r="Q131" s="145" t="s">
        <v>261</v>
      </c>
      <c r="R131" s="151">
        <v>1</v>
      </c>
      <c r="S131" s="145" t="str">
        <f t="shared" si="54"/>
        <v>stick</v>
      </c>
      <c r="T131" s="152">
        <f t="shared" si="55"/>
        <v>110</v>
      </c>
      <c r="U131" s="152">
        <f t="shared" si="56"/>
        <v>12</v>
      </c>
      <c r="V131" s="152">
        <f t="shared" si="57"/>
        <v>4</v>
      </c>
      <c r="W131" s="152">
        <f t="shared" si="58"/>
        <v>5</v>
      </c>
      <c r="X131" s="152">
        <f t="shared" si="59"/>
        <v>0</v>
      </c>
      <c r="Y131" s="145"/>
    </row>
    <row r="132" spans="14:25">
      <c r="N132" s="149">
        <v>46009</v>
      </c>
      <c r="O132" s="150">
        <v>0.83333333333333337</v>
      </c>
      <c r="P132" s="145" t="s">
        <v>199</v>
      </c>
      <c r="Q132" s="145" t="s">
        <v>180</v>
      </c>
      <c r="R132" s="151">
        <v>300</v>
      </c>
      <c r="S132" s="145" t="str">
        <f t="shared" si="54"/>
        <v>g</v>
      </c>
      <c r="T132" s="152">
        <f t="shared" si="55"/>
        <v>390</v>
      </c>
      <c r="U132" s="152">
        <f t="shared" si="56"/>
        <v>8.1000000000000014</v>
      </c>
      <c r="V132" s="152">
        <f t="shared" si="57"/>
        <v>0.89999999999999991</v>
      </c>
      <c r="W132" s="152">
        <f t="shared" si="58"/>
        <v>84</v>
      </c>
      <c r="X132" s="152">
        <f t="shared" si="59"/>
        <v>1.2000000000000002</v>
      </c>
      <c r="Y132" s="145"/>
    </row>
    <row r="133" spans="14:25">
      <c r="N133" s="149">
        <v>46009</v>
      </c>
      <c r="O133" s="150">
        <v>0.83333333333333337</v>
      </c>
      <c r="P133" s="145" t="s">
        <v>199</v>
      </c>
      <c r="Q133" s="145" t="s">
        <v>282</v>
      </c>
      <c r="R133" s="151">
        <v>1</v>
      </c>
      <c r="S133" s="145" t="str">
        <f t="shared" si="54"/>
        <v>bowl</v>
      </c>
      <c r="T133" s="152">
        <f t="shared" si="55"/>
        <v>320</v>
      </c>
      <c r="U133" s="152">
        <f t="shared" si="56"/>
        <v>15</v>
      </c>
      <c r="V133" s="152">
        <f t="shared" si="57"/>
        <v>18</v>
      </c>
      <c r="W133" s="152">
        <f t="shared" si="58"/>
        <v>20</v>
      </c>
      <c r="X133" s="152">
        <f t="shared" si="59"/>
        <v>3</v>
      </c>
      <c r="Y133" s="145"/>
    </row>
    <row r="134" spans="14:25">
      <c r="N134" s="157"/>
      <c r="O134" s="158" t="s">
        <v>217</v>
      </c>
      <c r="P134" s="154"/>
      <c r="Q134" s="154"/>
      <c r="R134" s="154"/>
      <c r="S134" s="154"/>
      <c r="T134" s="159">
        <f>SUM(T126:T133)</f>
        <v>2170</v>
      </c>
      <c r="U134" s="159">
        <f>SUM(U126:U133)</f>
        <v>105.1</v>
      </c>
      <c r="V134" s="159">
        <f>SUM(V126:V133)</f>
        <v>39.4</v>
      </c>
      <c r="W134" s="159">
        <f>SUM(W126:W133)</f>
        <v>338</v>
      </c>
      <c r="X134" s="159">
        <f>SUM(X126:X133)</f>
        <v>14.2</v>
      </c>
      <c r="Y134" s="145"/>
    </row>
    <row r="135" spans="14:25">
      <c r="N135" s="157"/>
      <c r="O135" s="158" t="s">
        <v>220</v>
      </c>
      <c r="P135" s="154"/>
      <c r="Q135" s="154"/>
      <c r="R135" s="154"/>
      <c r="S135" s="154"/>
      <c r="T135" s="161">
        <f>$B$27</f>
        <v>2228.28125</v>
      </c>
      <c r="U135" s="161">
        <f>$B$29</f>
        <v>140.4</v>
      </c>
      <c r="V135" s="161">
        <f>$B$30</f>
        <v>64.739999999999995</v>
      </c>
      <c r="W135" s="161">
        <f>$B$31</f>
        <v>271.0053125</v>
      </c>
      <c r="X135" s="161">
        <f>$B$32</f>
        <v>31.195937500000003</v>
      </c>
      <c r="Y135" s="145"/>
    </row>
    <row r="136" spans="14:25">
      <c r="N136" s="157"/>
      <c r="O136" s="158" t="s">
        <v>222</v>
      </c>
      <c r="P136" s="154"/>
      <c r="Q136" s="154"/>
      <c r="R136" s="154"/>
      <c r="S136" s="154"/>
      <c r="T136" s="161">
        <f>T134-T135</f>
        <v>-58.28125</v>
      </c>
      <c r="U136" s="161">
        <f>U134-U135</f>
        <v>-35.300000000000011</v>
      </c>
      <c r="V136" s="161">
        <f>V134-V135</f>
        <v>-25.339999999999996</v>
      </c>
      <c r="W136" s="161">
        <f>W134-W135</f>
        <v>66.994687499999998</v>
      </c>
      <c r="X136" s="161">
        <f>X134-X135</f>
        <v>-16.995937500000004</v>
      </c>
      <c r="Y136" s="145"/>
    </row>
    <row r="137" spans="14:25">
      <c r="N137" s="149">
        <v>46010</v>
      </c>
      <c r="O137" s="150">
        <v>0.29166666666666669</v>
      </c>
      <c r="P137" s="145" t="s">
        <v>178</v>
      </c>
      <c r="Q137" s="145" t="s">
        <v>240</v>
      </c>
      <c r="R137" s="151">
        <v>2</v>
      </c>
      <c r="S137" s="145" t="str">
        <f t="shared" ref="S137:S145" si="60">IFERROR(VLOOKUP(Q137, $E$5:$L$109, 3, FALSE), "")</f>
        <v>egg</v>
      </c>
      <c r="T137" s="152">
        <f t="shared" ref="T137:T145" si="61">IFERROR(VLOOKUP(Q137, $E$5:$L$109, 4, FALSE) * (R137 / VLOOKUP(Q137, $E$5:$L$109, 2, FALSE)), "")</f>
        <v>180</v>
      </c>
      <c r="U137" s="152">
        <f t="shared" ref="U137:U145" si="62">IFERROR(VLOOKUP(Q137, $E$5:$L$109, 5, FALSE) * (R137 / VLOOKUP(Q137, $E$5:$L$109, 2, FALSE)), "")</f>
        <v>12</v>
      </c>
      <c r="V137" s="152">
        <f t="shared" ref="V137:V145" si="63">IFERROR(VLOOKUP(Q137, $E$5:$L$109, 6, FALSE) * (R137 / VLOOKUP(Q137, $E$5:$L$109, 2, FALSE)), "")</f>
        <v>14</v>
      </c>
      <c r="W137" s="152">
        <f t="shared" ref="W137:W145" si="64">IFERROR(VLOOKUP(Q137, $E$5:$L$109, 7, FALSE) * (R137 / VLOOKUP(Q137, $E$5:$L$109, 2, FALSE)), "")</f>
        <v>1</v>
      </c>
      <c r="X137" s="152">
        <f t="shared" ref="X137:X145" si="65">IFERROR(VLOOKUP(Q137, $E$5:$L$109, 8, FALSE) * (R137 / VLOOKUP(Q137, $E$5:$L$109, 2, FALSE)), "")</f>
        <v>0</v>
      </c>
      <c r="Y137" s="145"/>
    </row>
    <row r="138" spans="14:25">
      <c r="N138" s="149">
        <v>46010</v>
      </c>
      <c r="O138" s="150">
        <v>0.29166666666666669</v>
      </c>
      <c r="P138" s="145" t="s">
        <v>178</v>
      </c>
      <c r="Q138" s="145" t="s">
        <v>247</v>
      </c>
      <c r="R138" s="151">
        <v>0.75</v>
      </c>
      <c r="S138" s="145" t="str">
        <f t="shared" si="60"/>
        <v>large bowl</v>
      </c>
      <c r="T138" s="152">
        <f t="shared" si="61"/>
        <v>300</v>
      </c>
      <c r="U138" s="152">
        <f t="shared" si="62"/>
        <v>15</v>
      </c>
      <c r="V138" s="152">
        <f t="shared" si="63"/>
        <v>7.5</v>
      </c>
      <c r="W138" s="152">
        <f t="shared" si="64"/>
        <v>41.25</v>
      </c>
      <c r="X138" s="152">
        <f t="shared" si="65"/>
        <v>2.25</v>
      </c>
      <c r="Y138" s="145"/>
    </row>
    <row r="139" spans="14:25">
      <c r="N139" s="149">
        <v>46010</v>
      </c>
      <c r="O139" s="150">
        <v>0.5</v>
      </c>
      <c r="P139" s="145" t="s">
        <v>185</v>
      </c>
      <c r="Q139" s="145" t="s">
        <v>229</v>
      </c>
      <c r="R139" s="151">
        <v>0.75</v>
      </c>
      <c r="S139" s="145" t="str">
        <f t="shared" si="60"/>
        <v>large plate</v>
      </c>
      <c r="T139" s="152">
        <f t="shared" si="61"/>
        <v>375</v>
      </c>
      <c r="U139" s="152">
        <f t="shared" si="62"/>
        <v>15</v>
      </c>
      <c r="V139" s="152">
        <f t="shared" si="63"/>
        <v>22.5</v>
      </c>
      <c r="W139" s="152">
        <f t="shared" si="64"/>
        <v>30</v>
      </c>
      <c r="X139" s="152">
        <f t="shared" si="65"/>
        <v>2.25</v>
      </c>
      <c r="Y139" s="145"/>
    </row>
    <row r="140" spans="14:25">
      <c r="N140" s="149">
        <v>46010</v>
      </c>
      <c r="O140" s="150">
        <v>0.5</v>
      </c>
      <c r="P140" s="145" t="s">
        <v>185</v>
      </c>
      <c r="Q140" s="145" t="s">
        <v>180</v>
      </c>
      <c r="R140" s="151">
        <v>100</v>
      </c>
      <c r="S140" s="145" t="str">
        <f t="shared" si="60"/>
        <v>g</v>
      </c>
      <c r="T140" s="152">
        <f t="shared" si="61"/>
        <v>130</v>
      </c>
      <c r="U140" s="152">
        <f t="shared" si="62"/>
        <v>2.7</v>
      </c>
      <c r="V140" s="152">
        <f t="shared" si="63"/>
        <v>0.3</v>
      </c>
      <c r="W140" s="152">
        <f t="shared" si="64"/>
        <v>28</v>
      </c>
      <c r="X140" s="152">
        <f t="shared" si="65"/>
        <v>0.4</v>
      </c>
      <c r="Y140" s="145"/>
    </row>
    <row r="141" spans="14:25">
      <c r="N141" s="149">
        <v>46010</v>
      </c>
      <c r="O141" s="150">
        <v>0.83333333333333337</v>
      </c>
      <c r="P141" s="145" t="s">
        <v>199</v>
      </c>
      <c r="Q141" s="145" t="s">
        <v>179</v>
      </c>
      <c r="R141" s="151">
        <v>1</v>
      </c>
      <c r="S141" s="145" t="str">
        <f t="shared" si="60"/>
        <v>bottle</v>
      </c>
      <c r="T141" s="152">
        <f t="shared" si="61"/>
        <v>260</v>
      </c>
      <c r="U141" s="152">
        <f t="shared" si="62"/>
        <v>33</v>
      </c>
      <c r="V141" s="152">
        <f t="shared" si="63"/>
        <v>6</v>
      </c>
      <c r="W141" s="152">
        <f t="shared" si="64"/>
        <v>20</v>
      </c>
      <c r="X141" s="152">
        <f t="shared" si="65"/>
        <v>0</v>
      </c>
      <c r="Y141" s="145"/>
    </row>
    <row r="142" spans="14:25">
      <c r="N142" s="149">
        <v>46010</v>
      </c>
      <c r="O142" s="150">
        <v>0.83333333333333337</v>
      </c>
      <c r="P142" s="145" t="s">
        <v>199</v>
      </c>
      <c r="Q142" s="145" t="s">
        <v>176</v>
      </c>
      <c r="R142" s="151">
        <v>299</v>
      </c>
      <c r="S142" s="145" t="str">
        <f t="shared" si="60"/>
        <v>g</v>
      </c>
      <c r="T142" s="152">
        <f t="shared" si="61"/>
        <v>493.35</v>
      </c>
      <c r="U142" s="152">
        <f t="shared" si="62"/>
        <v>74.75</v>
      </c>
      <c r="V142" s="152">
        <f t="shared" si="63"/>
        <v>10.764000000000001</v>
      </c>
      <c r="W142" s="152">
        <f t="shared" si="64"/>
        <v>0</v>
      </c>
      <c r="X142" s="152">
        <f t="shared" si="65"/>
        <v>0</v>
      </c>
      <c r="Y142" s="145"/>
    </row>
    <row r="143" spans="14:25">
      <c r="N143" s="149">
        <v>46010</v>
      </c>
      <c r="O143" s="150">
        <v>0.83333333333333337</v>
      </c>
      <c r="P143" s="145" t="s">
        <v>199</v>
      </c>
      <c r="Q143" s="145" t="s">
        <v>181</v>
      </c>
      <c r="R143" s="151">
        <v>2</v>
      </c>
      <c r="S143" s="145" t="str">
        <f t="shared" si="60"/>
        <v>slice</v>
      </c>
      <c r="T143" s="152">
        <f t="shared" si="61"/>
        <v>140</v>
      </c>
      <c r="U143" s="152">
        <f t="shared" si="62"/>
        <v>5</v>
      </c>
      <c r="V143" s="152">
        <f t="shared" si="63"/>
        <v>2.5</v>
      </c>
      <c r="W143" s="152">
        <f t="shared" si="64"/>
        <v>24</v>
      </c>
      <c r="X143" s="152">
        <f t="shared" si="65"/>
        <v>2</v>
      </c>
      <c r="Y143" s="145"/>
    </row>
    <row r="144" spans="14:25">
      <c r="N144" s="149">
        <v>46010</v>
      </c>
      <c r="O144" s="150">
        <v>0.83333333333333337</v>
      </c>
      <c r="P144" s="145" t="s">
        <v>199</v>
      </c>
      <c r="Q144" s="145" t="s">
        <v>219</v>
      </c>
      <c r="R144" s="151">
        <v>0.5</v>
      </c>
      <c r="S144" s="145" t="str">
        <f t="shared" si="60"/>
        <v>bottle</v>
      </c>
      <c r="T144" s="152">
        <f t="shared" si="61"/>
        <v>0</v>
      </c>
      <c r="U144" s="152">
        <f t="shared" si="62"/>
        <v>0</v>
      </c>
      <c r="V144" s="152">
        <f t="shared" si="63"/>
        <v>0</v>
      </c>
      <c r="W144" s="152">
        <f t="shared" si="64"/>
        <v>0</v>
      </c>
      <c r="X144" s="152">
        <f t="shared" si="65"/>
        <v>0</v>
      </c>
      <c r="Y144" s="145"/>
    </row>
    <row r="145" spans="14:25">
      <c r="N145" s="149">
        <v>46010</v>
      </c>
      <c r="O145" s="150">
        <v>0.83333333333333337</v>
      </c>
      <c r="P145" s="145" t="s">
        <v>199</v>
      </c>
      <c r="Q145" s="145" t="s">
        <v>214</v>
      </c>
      <c r="R145" s="151">
        <v>1</v>
      </c>
      <c r="S145" s="145" t="str">
        <f t="shared" si="60"/>
        <v>bar</v>
      </c>
      <c r="T145" s="152">
        <f t="shared" si="61"/>
        <v>67</v>
      </c>
      <c r="U145" s="152">
        <f t="shared" si="62"/>
        <v>1</v>
      </c>
      <c r="V145" s="152">
        <f t="shared" si="63"/>
        <v>3.5</v>
      </c>
      <c r="W145" s="152">
        <f t="shared" si="64"/>
        <v>22</v>
      </c>
      <c r="X145" s="152">
        <f t="shared" si="65"/>
        <v>0.3</v>
      </c>
      <c r="Y145" s="145"/>
    </row>
    <row r="146" spans="14:25">
      <c r="N146" s="157"/>
      <c r="O146" s="158" t="s">
        <v>217</v>
      </c>
      <c r="P146" s="154"/>
      <c r="Q146" s="154"/>
      <c r="R146" s="154"/>
      <c r="S146" s="154"/>
      <c r="T146" s="159">
        <f>SUM(T137:T145)</f>
        <v>1945.35</v>
      </c>
      <c r="U146" s="159">
        <f>SUM(U137:U145)</f>
        <v>158.44999999999999</v>
      </c>
      <c r="V146" s="159">
        <f>SUM(V137:V145)</f>
        <v>67.063999999999993</v>
      </c>
      <c r="W146" s="159">
        <f>SUM(W137:W145)</f>
        <v>166.25</v>
      </c>
      <c r="X146" s="159">
        <f>SUM(X137:X145)</f>
        <v>7.2</v>
      </c>
      <c r="Y146" s="145"/>
    </row>
    <row r="147" spans="14:25">
      <c r="N147" s="157"/>
      <c r="O147" s="158" t="s">
        <v>220</v>
      </c>
      <c r="P147" s="154"/>
      <c r="Q147" s="154"/>
      <c r="R147" s="154"/>
      <c r="S147" s="154"/>
      <c r="T147" s="161">
        <f>$B$27</f>
        <v>2228.28125</v>
      </c>
      <c r="U147" s="161">
        <f>$B$29</f>
        <v>140.4</v>
      </c>
      <c r="V147" s="161">
        <f>$B$30</f>
        <v>64.739999999999995</v>
      </c>
      <c r="W147" s="161">
        <f>$B$31</f>
        <v>271.0053125</v>
      </c>
      <c r="X147" s="161">
        <f>$B$32</f>
        <v>31.195937500000003</v>
      </c>
      <c r="Y147" s="145"/>
    </row>
    <row r="148" spans="14:25">
      <c r="N148" s="157"/>
      <c r="O148" s="158" t="s">
        <v>222</v>
      </c>
      <c r="P148" s="154"/>
      <c r="Q148" s="154"/>
      <c r="R148" s="154"/>
      <c r="S148" s="154"/>
      <c r="T148" s="161">
        <f>T146-T147</f>
        <v>-282.93125000000009</v>
      </c>
      <c r="U148" s="161">
        <f>U146-U147</f>
        <v>18.049999999999983</v>
      </c>
      <c r="V148" s="161">
        <f>V146-V147</f>
        <v>2.3239999999999981</v>
      </c>
      <c r="W148" s="161">
        <f>W146-W147</f>
        <v>-104.7553125</v>
      </c>
      <c r="X148" s="161">
        <f>X146-X147</f>
        <v>-23.995937500000004</v>
      </c>
      <c r="Y148" s="145"/>
    </row>
    <row r="149" spans="14:25">
      <c r="N149" s="149">
        <v>46011</v>
      </c>
      <c r="O149" s="150">
        <v>0.5</v>
      </c>
      <c r="P149" s="145" t="s">
        <v>185</v>
      </c>
      <c r="Q149" s="145" t="s">
        <v>179</v>
      </c>
      <c r="R149" s="151">
        <v>1</v>
      </c>
      <c r="S149" s="145" t="str">
        <f t="shared" ref="S149:S158" si="66">IFERROR(VLOOKUP(Q149, $E$5:$L$109, 3, FALSE), "")</f>
        <v>bottle</v>
      </c>
      <c r="T149" s="152">
        <f t="shared" ref="T149:T158" si="67">IFERROR(VLOOKUP(Q149, $E$5:$L$109, 4, FALSE) * (R149 / VLOOKUP(Q149, $E$5:$L$109, 2, FALSE)), "")</f>
        <v>260</v>
      </c>
      <c r="U149" s="152">
        <f t="shared" ref="U149:U158" si="68">IFERROR(VLOOKUP(Q149, $E$5:$L$109, 5, FALSE) * (R149 / VLOOKUP(Q149, $E$5:$L$109, 2, FALSE)), "")</f>
        <v>33</v>
      </c>
      <c r="V149" s="152">
        <f t="shared" ref="V149:V158" si="69">IFERROR(VLOOKUP(Q149, $E$5:$L$109, 6, FALSE) * (R149 / VLOOKUP(Q149, $E$5:$L$109, 2, FALSE)), "")</f>
        <v>6</v>
      </c>
      <c r="W149" s="152">
        <f t="shared" ref="W149:W158" si="70">IFERROR(VLOOKUP(Q149, $E$5:$L$109, 7, FALSE) * (R149 / VLOOKUP(Q149, $E$5:$L$109, 2, FALSE)), "")</f>
        <v>20</v>
      </c>
      <c r="X149" s="152">
        <f t="shared" ref="X149:X158" si="71">IFERROR(VLOOKUP(Q149, $E$5:$L$109, 8, FALSE) * (R149 / VLOOKUP(Q149, $E$5:$L$109, 2, FALSE)), "")</f>
        <v>0</v>
      </c>
      <c r="Y149" s="145"/>
    </row>
    <row r="150" spans="14:25">
      <c r="N150" s="149">
        <v>46011</v>
      </c>
      <c r="O150" s="150">
        <v>0.5</v>
      </c>
      <c r="P150" s="145" t="s">
        <v>185</v>
      </c>
      <c r="Q150" s="145" t="s">
        <v>214</v>
      </c>
      <c r="R150" s="151">
        <v>1</v>
      </c>
      <c r="S150" s="145" t="str">
        <f t="shared" si="66"/>
        <v>bar</v>
      </c>
      <c r="T150" s="152">
        <f t="shared" si="67"/>
        <v>67</v>
      </c>
      <c r="U150" s="152">
        <f t="shared" si="68"/>
        <v>1</v>
      </c>
      <c r="V150" s="152">
        <f t="shared" si="69"/>
        <v>3.5</v>
      </c>
      <c r="W150" s="152">
        <f t="shared" si="70"/>
        <v>22</v>
      </c>
      <c r="X150" s="152">
        <f t="shared" si="71"/>
        <v>0.3</v>
      </c>
      <c r="Y150" s="145"/>
    </row>
    <row r="151" spans="14:25">
      <c r="N151" s="149">
        <v>46011</v>
      </c>
      <c r="O151" s="150">
        <v>0.5</v>
      </c>
      <c r="P151" s="145" t="s">
        <v>185</v>
      </c>
      <c r="Q151" s="145" t="s">
        <v>176</v>
      </c>
      <c r="R151" s="151">
        <v>312</v>
      </c>
      <c r="S151" s="145" t="str">
        <f t="shared" si="66"/>
        <v>g</v>
      </c>
      <c r="T151" s="152">
        <f t="shared" si="67"/>
        <v>514.80000000000007</v>
      </c>
      <c r="U151" s="152">
        <f t="shared" si="68"/>
        <v>78</v>
      </c>
      <c r="V151" s="152">
        <f t="shared" si="69"/>
        <v>11.232000000000001</v>
      </c>
      <c r="W151" s="152">
        <f t="shared" si="70"/>
        <v>0</v>
      </c>
      <c r="X151" s="152">
        <f t="shared" si="71"/>
        <v>0</v>
      </c>
      <c r="Y151" s="145"/>
    </row>
    <row r="152" spans="14:25">
      <c r="N152" s="149">
        <v>46011</v>
      </c>
      <c r="O152" s="150">
        <v>0.5</v>
      </c>
      <c r="P152" s="145" t="s">
        <v>185</v>
      </c>
      <c r="Q152" s="145" t="s">
        <v>181</v>
      </c>
      <c r="R152" s="151">
        <v>4</v>
      </c>
      <c r="S152" s="145" t="str">
        <f t="shared" si="66"/>
        <v>slice</v>
      </c>
      <c r="T152" s="152">
        <f t="shared" si="67"/>
        <v>280</v>
      </c>
      <c r="U152" s="152">
        <f t="shared" si="68"/>
        <v>10</v>
      </c>
      <c r="V152" s="152">
        <f t="shared" si="69"/>
        <v>5</v>
      </c>
      <c r="W152" s="152">
        <f t="shared" si="70"/>
        <v>48</v>
      </c>
      <c r="X152" s="152">
        <f t="shared" si="71"/>
        <v>4</v>
      </c>
      <c r="Y152" s="145"/>
    </row>
    <row r="153" spans="14:25">
      <c r="N153" s="149">
        <v>46011</v>
      </c>
      <c r="O153" s="150">
        <v>0.66666666666666663</v>
      </c>
      <c r="P153" s="145" t="s">
        <v>289</v>
      </c>
      <c r="Q153" s="145" t="s">
        <v>214</v>
      </c>
      <c r="R153" s="151">
        <v>1</v>
      </c>
      <c r="S153" s="145" t="str">
        <f t="shared" si="66"/>
        <v>bar</v>
      </c>
      <c r="T153" s="152">
        <f t="shared" si="67"/>
        <v>67</v>
      </c>
      <c r="U153" s="152">
        <f t="shared" si="68"/>
        <v>1</v>
      </c>
      <c r="V153" s="152">
        <f t="shared" si="69"/>
        <v>3.5</v>
      </c>
      <c r="W153" s="152">
        <f t="shared" si="70"/>
        <v>22</v>
      </c>
      <c r="X153" s="152">
        <f t="shared" si="71"/>
        <v>0.3</v>
      </c>
      <c r="Y153" s="145"/>
    </row>
    <row r="154" spans="14:25">
      <c r="N154" s="149">
        <v>46011</v>
      </c>
      <c r="O154" s="150">
        <v>0.83333333333333337</v>
      </c>
      <c r="P154" s="145" t="s">
        <v>199</v>
      </c>
      <c r="Q154" s="145" t="s">
        <v>286</v>
      </c>
      <c r="R154" s="151">
        <v>5</v>
      </c>
      <c r="S154" s="145" t="str">
        <f t="shared" si="66"/>
        <v>pieces</v>
      </c>
      <c r="T154" s="152">
        <f t="shared" si="67"/>
        <v>575</v>
      </c>
      <c r="U154" s="152">
        <f t="shared" si="68"/>
        <v>20</v>
      </c>
      <c r="V154" s="152">
        <f t="shared" si="69"/>
        <v>32.5</v>
      </c>
      <c r="W154" s="152">
        <f t="shared" si="70"/>
        <v>47.5</v>
      </c>
      <c r="X154" s="152">
        <f t="shared" si="71"/>
        <v>0</v>
      </c>
      <c r="Y154" s="145"/>
    </row>
    <row r="155" spans="14:25">
      <c r="N155" s="149">
        <v>46011</v>
      </c>
      <c r="O155" s="150">
        <v>0.83333333333333337</v>
      </c>
      <c r="P155" s="145" t="s">
        <v>199</v>
      </c>
      <c r="Q155" s="145" t="s">
        <v>189</v>
      </c>
      <c r="R155" s="151">
        <v>150</v>
      </c>
      <c r="S155" s="145" t="str">
        <f t="shared" si="66"/>
        <v>g</v>
      </c>
      <c r="T155" s="152">
        <f t="shared" si="67"/>
        <v>52.5</v>
      </c>
      <c r="U155" s="152">
        <f t="shared" si="68"/>
        <v>3.75</v>
      </c>
      <c r="V155" s="152">
        <f t="shared" si="69"/>
        <v>0.60000000000000009</v>
      </c>
      <c r="W155" s="152">
        <f t="shared" si="70"/>
        <v>10.5</v>
      </c>
      <c r="X155" s="152">
        <f t="shared" si="71"/>
        <v>3.9000000000000004</v>
      </c>
      <c r="Y155" s="145"/>
    </row>
    <row r="156" spans="14:25">
      <c r="N156" s="149">
        <v>46011</v>
      </c>
      <c r="O156" s="150">
        <v>0.91666666666666663</v>
      </c>
      <c r="P156" s="145" t="s">
        <v>199</v>
      </c>
      <c r="Q156" s="145" t="s">
        <v>209</v>
      </c>
      <c r="R156" s="151">
        <v>3</v>
      </c>
      <c r="S156" s="145" t="str">
        <f t="shared" si="66"/>
        <v>tbsp</v>
      </c>
      <c r="T156" s="152">
        <f t="shared" si="67"/>
        <v>60</v>
      </c>
      <c r="U156" s="152">
        <f t="shared" si="68"/>
        <v>0</v>
      </c>
      <c r="V156" s="152">
        <f t="shared" si="69"/>
        <v>0</v>
      </c>
      <c r="W156" s="152">
        <f t="shared" si="70"/>
        <v>15</v>
      </c>
      <c r="X156" s="152">
        <f t="shared" si="71"/>
        <v>13.5</v>
      </c>
      <c r="Y156" s="145"/>
    </row>
    <row r="157" spans="14:25">
      <c r="N157" s="149">
        <v>46011</v>
      </c>
      <c r="O157" s="150">
        <v>0.91666666666666663</v>
      </c>
      <c r="P157" s="145" t="s">
        <v>199</v>
      </c>
      <c r="Q157" s="145" t="s">
        <v>212</v>
      </c>
      <c r="R157" s="151">
        <v>1</v>
      </c>
      <c r="S157" s="145" t="str">
        <f t="shared" si="66"/>
        <v>bottle</v>
      </c>
      <c r="T157" s="152">
        <f t="shared" si="67"/>
        <v>70</v>
      </c>
      <c r="U157" s="152">
        <f t="shared" si="68"/>
        <v>0</v>
      </c>
      <c r="V157" s="152">
        <f t="shared" si="69"/>
        <v>0</v>
      </c>
      <c r="W157" s="152">
        <f t="shared" si="70"/>
        <v>17</v>
      </c>
      <c r="X157" s="152">
        <f t="shared" si="71"/>
        <v>1</v>
      </c>
      <c r="Y157" s="145"/>
    </row>
    <row r="158" spans="14:25">
      <c r="N158" s="149">
        <v>46011</v>
      </c>
      <c r="O158" s="150">
        <v>0.91666666666666663</v>
      </c>
      <c r="P158" s="145" t="s">
        <v>289</v>
      </c>
      <c r="Q158" s="145" t="s">
        <v>285</v>
      </c>
      <c r="R158" s="151">
        <v>0.5</v>
      </c>
      <c r="S158" s="145" t="str">
        <f t="shared" si="66"/>
        <v>bar</v>
      </c>
      <c r="T158" s="152">
        <f t="shared" si="67"/>
        <v>120</v>
      </c>
      <c r="U158" s="152">
        <f t="shared" si="68"/>
        <v>2</v>
      </c>
      <c r="V158" s="152">
        <f t="shared" si="69"/>
        <v>6</v>
      </c>
      <c r="W158" s="152">
        <f t="shared" si="70"/>
        <v>15</v>
      </c>
      <c r="X158" s="152">
        <f t="shared" si="71"/>
        <v>0.7</v>
      </c>
      <c r="Y158" s="145"/>
    </row>
    <row r="159" spans="14:25">
      <c r="N159" s="157"/>
      <c r="O159" s="158" t="s">
        <v>217</v>
      </c>
      <c r="P159" s="154"/>
      <c r="Q159" s="154"/>
      <c r="R159" s="154"/>
      <c r="S159" s="154"/>
      <c r="T159" s="159">
        <f>SUM(T149:T158)</f>
        <v>2066.3000000000002</v>
      </c>
      <c r="U159" s="159">
        <f>SUM(U149:U158)</f>
        <v>148.75</v>
      </c>
      <c r="V159" s="159">
        <f>SUM(V149:V158)</f>
        <v>68.331999999999994</v>
      </c>
      <c r="W159" s="159">
        <f>SUM(W149:W158)</f>
        <v>217</v>
      </c>
      <c r="X159" s="159">
        <f>SUM(X149:X158)</f>
        <v>23.7</v>
      </c>
      <c r="Y159" s="145"/>
    </row>
    <row r="160" spans="14:25">
      <c r="N160" s="157"/>
      <c r="O160" s="158" t="s">
        <v>220</v>
      </c>
      <c r="P160" s="154"/>
      <c r="Q160" s="154"/>
      <c r="R160" s="154"/>
      <c r="S160" s="154"/>
      <c r="T160" s="161">
        <f>$B$27</f>
        <v>2228.28125</v>
      </c>
      <c r="U160" s="161">
        <f>$B$29</f>
        <v>140.4</v>
      </c>
      <c r="V160" s="161">
        <f>$B$30</f>
        <v>64.739999999999995</v>
      </c>
      <c r="W160" s="161">
        <f>$B$31</f>
        <v>271.0053125</v>
      </c>
      <c r="X160" s="161">
        <f>$B$32</f>
        <v>31.195937500000003</v>
      </c>
      <c r="Y160" s="145"/>
    </row>
    <row r="161" spans="14:25">
      <c r="N161" s="157"/>
      <c r="O161" s="158" t="s">
        <v>222</v>
      </c>
      <c r="P161" s="154"/>
      <c r="Q161" s="154"/>
      <c r="R161" s="154"/>
      <c r="S161" s="154"/>
      <c r="T161" s="161">
        <f>T159-T160</f>
        <v>-161.98124999999982</v>
      </c>
      <c r="U161" s="161">
        <f>U159-U160</f>
        <v>8.3499999999999943</v>
      </c>
      <c r="V161" s="161">
        <f>V159-V160</f>
        <v>3.5919999999999987</v>
      </c>
      <c r="W161" s="161">
        <f>W159-W160</f>
        <v>-54.005312500000002</v>
      </c>
      <c r="X161" s="161">
        <f>X159-X160</f>
        <v>-7.4959375000000037</v>
      </c>
      <c r="Y161" s="145"/>
    </row>
    <row r="162" spans="14:25">
      <c r="N162" s="149">
        <v>46012</v>
      </c>
      <c r="O162" s="150">
        <v>0.54166666666666663</v>
      </c>
      <c r="P162" s="145" t="s">
        <v>185</v>
      </c>
      <c r="Q162" s="145" t="s">
        <v>176</v>
      </c>
      <c r="R162" s="151">
        <v>200</v>
      </c>
      <c r="S162" s="145" t="str">
        <f t="shared" ref="S162:S175" si="72">IFERROR(VLOOKUP(Q162, $E$5:$L$109, 3, FALSE), "")</f>
        <v>g</v>
      </c>
      <c r="T162" s="152">
        <f t="shared" ref="T162:T175" si="73">IFERROR(VLOOKUP(Q162, $E$5:$L$109, 4, FALSE) * (R162 / VLOOKUP(Q162, $E$5:$L$109, 2, FALSE)), "")</f>
        <v>330</v>
      </c>
      <c r="U162" s="152">
        <f t="shared" ref="U162:U175" si="74">IFERROR(VLOOKUP(Q162, $E$5:$L$109, 5, FALSE) * (R162 / VLOOKUP(Q162, $E$5:$L$109, 2, FALSE)), "")</f>
        <v>50</v>
      </c>
      <c r="V162" s="152">
        <f t="shared" ref="V162:V175" si="75">IFERROR(VLOOKUP(Q162, $E$5:$L$109, 6, FALSE) * (R162 / VLOOKUP(Q162, $E$5:$L$109, 2, FALSE)), "")</f>
        <v>7.2</v>
      </c>
      <c r="W162" s="152">
        <f t="shared" ref="W162:W175" si="76">IFERROR(VLOOKUP(Q162, $E$5:$L$109, 7, FALSE) * (R162 / VLOOKUP(Q162, $E$5:$L$109, 2, FALSE)), "")</f>
        <v>0</v>
      </c>
      <c r="X162" s="152">
        <f t="shared" ref="X162:X175" si="77">IFERROR(VLOOKUP(Q162, $E$5:$L$109, 8, FALSE) * (R162 / VLOOKUP(Q162, $E$5:$L$109, 2, FALSE)), "")</f>
        <v>0</v>
      </c>
      <c r="Y162" s="145"/>
    </row>
    <row r="163" spans="14:25">
      <c r="N163" s="149">
        <v>46012</v>
      </c>
      <c r="O163" s="150">
        <v>0.54166666666666663</v>
      </c>
      <c r="P163" s="145" t="s">
        <v>185</v>
      </c>
      <c r="Q163" s="145" t="s">
        <v>189</v>
      </c>
      <c r="R163" s="151">
        <v>150</v>
      </c>
      <c r="S163" s="145" t="str">
        <f t="shared" si="72"/>
        <v>g</v>
      </c>
      <c r="T163" s="152">
        <f t="shared" si="73"/>
        <v>52.5</v>
      </c>
      <c r="U163" s="152">
        <f t="shared" si="74"/>
        <v>3.75</v>
      </c>
      <c r="V163" s="152">
        <f t="shared" si="75"/>
        <v>0.60000000000000009</v>
      </c>
      <c r="W163" s="152">
        <f t="shared" si="76"/>
        <v>10.5</v>
      </c>
      <c r="X163" s="152">
        <f t="shared" si="77"/>
        <v>3.9000000000000004</v>
      </c>
      <c r="Y163" s="145"/>
    </row>
    <row r="164" spans="14:25">
      <c r="N164" s="149">
        <v>46012</v>
      </c>
      <c r="O164" s="150">
        <v>0.54166666666666663</v>
      </c>
      <c r="P164" s="145" t="s">
        <v>185</v>
      </c>
      <c r="Q164" s="145" t="s">
        <v>181</v>
      </c>
      <c r="R164" s="151">
        <v>2</v>
      </c>
      <c r="S164" s="145" t="str">
        <f t="shared" si="72"/>
        <v>slice</v>
      </c>
      <c r="T164" s="152">
        <f t="shared" si="73"/>
        <v>140</v>
      </c>
      <c r="U164" s="152">
        <f t="shared" si="74"/>
        <v>5</v>
      </c>
      <c r="V164" s="152">
        <f t="shared" si="75"/>
        <v>2.5</v>
      </c>
      <c r="W164" s="152">
        <f t="shared" si="76"/>
        <v>24</v>
      </c>
      <c r="X164" s="152">
        <f t="shared" si="77"/>
        <v>2</v>
      </c>
      <c r="Y164" s="145"/>
    </row>
    <row r="165" spans="14:25">
      <c r="N165" s="149">
        <v>46012</v>
      </c>
      <c r="O165" s="150">
        <v>0.58333333333333337</v>
      </c>
      <c r="P165" s="145" t="s">
        <v>289</v>
      </c>
      <c r="Q165" s="145" t="s">
        <v>285</v>
      </c>
      <c r="R165" s="151">
        <v>0.5</v>
      </c>
      <c r="S165" s="145" t="str">
        <f t="shared" si="72"/>
        <v>bar</v>
      </c>
      <c r="T165" s="152">
        <f t="shared" si="73"/>
        <v>120</v>
      </c>
      <c r="U165" s="152">
        <f t="shared" si="74"/>
        <v>2</v>
      </c>
      <c r="V165" s="152">
        <f t="shared" si="75"/>
        <v>6</v>
      </c>
      <c r="W165" s="152">
        <f t="shared" si="76"/>
        <v>15</v>
      </c>
      <c r="X165" s="152">
        <f t="shared" si="77"/>
        <v>0.7</v>
      </c>
      <c r="Y165" s="145"/>
    </row>
    <row r="166" spans="14:25">
      <c r="N166" s="149">
        <v>46012</v>
      </c>
      <c r="O166" s="150">
        <v>0.58333333333333337</v>
      </c>
      <c r="P166" s="145" t="s">
        <v>289</v>
      </c>
      <c r="Q166" s="145" t="s">
        <v>214</v>
      </c>
      <c r="R166" s="151">
        <v>1</v>
      </c>
      <c r="S166" s="145" t="str">
        <f t="shared" si="72"/>
        <v>bar</v>
      </c>
      <c r="T166" s="152">
        <f t="shared" si="73"/>
        <v>67</v>
      </c>
      <c r="U166" s="152">
        <f t="shared" si="74"/>
        <v>1</v>
      </c>
      <c r="V166" s="152">
        <f t="shared" si="75"/>
        <v>3.5</v>
      </c>
      <c r="W166" s="152">
        <f t="shared" si="76"/>
        <v>22</v>
      </c>
      <c r="X166" s="152">
        <f t="shared" si="77"/>
        <v>0.3</v>
      </c>
      <c r="Y166" s="145"/>
    </row>
    <row r="167" spans="14:25">
      <c r="N167" s="149">
        <v>46012</v>
      </c>
      <c r="O167" s="150">
        <v>0.79166666666666663</v>
      </c>
      <c r="P167" s="145" t="s">
        <v>199</v>
      </c>
      <c r="Q167" s="145" t="s">
        <v>287</v>
      </c>
      <c r="R167" s="151">
        <v>1</v>
      </c>
      <c r="S167" s="145" t="str">
        <f t="shared" si="72"/>
        <v>burger</v>
      </c>
      <c r="T167" s="152">
        <f t="shared" si="73"/>
        <v>300</v>
      </c>
      <c r="U167" s="152">
        <f t="shared" si="74"/>
        <v>20</v>
      </c>
      <c r="V167" s="152">
        <f t="shared" si="75"/>
        <v>11</v>
      </c>
      <c r="W167" s="152">
        <f t="shared" si="76"/>
        <v>30</v>
      </c>
      <c r="X167" s="152">
        <f t="shared" si="77"/>
        <v>0</v>
      </c>
      <c r="Y167" s="145"/>
    </row>
    <row r="168" spans="14:25">
      <c r="N168" s="149">
        <v>46012</v>
      </c>
      <c r="O168" s="150">
        <v>0.79166666666666663</v>
      </c>
      <c r="P168" s="145" t="s">
        <v>199</v>
      </c>
      <c r="Q168" s="145" t="s">
        <v>290</v>
      </c>
      <c r="R168" s="151">
        <v>1</v>
      </c>
      <c r="S168" s="145" t="str">
        <f t="shared" si="72"/>
        <v>piece</v>
      </c>
      <c r="T168" s="152">
        <f t="shared" si="73"/>
        <v>200</v>
      </c>
      <c r="U168" s="152">
        <f t="shared" si="74"/>
        <v>8</v>
      </c>
      <c r="V168" s="152">
        <f t="shared" si="75"/>
        <v>15</v>
      </c>
      <c r="W168" s="152">
        <f t="shared" si="76"/>
        <v>3</v>
      </c>
      <c r="X168" s="152">
        <f t="shared" si="77"/>
        <v>0</v>
      </c>
      <c r="Y168" s="145"/>
    </row>
    <row r="169" spans="14:25">
      <c r="N169" s="149">
        <v>46012</v>
      </c>
      <c r="O169" s="150">
        <v>0.83333333333333337</v>
      </c>
      <c r="P169" s="145" t="s">
        <v>199</v>
      </c>
      <c r="Q169" s="145" t="s">
        <v>176</v>
      </c>
      <c r="R169" s="151">
        <v>256</v>
      </c>
      <c r="S169" s="145" t="str">
        <f t="shared" si="72"/>
        <v>g</v>
      </c>
      <c r="T169" s="152">
        <f t="shared" si="73"/>
        <v>422.40000000000003</v>
      </c>
      <c r="U169" s="152">
        <f t="shared" si="74"/>
        <v>64</v>
      </c>
      <c r="V169" s="152">
        <f t="shared" si="75"/>
        <v>9.2160000000000011</v>
      </c>
      <c r="W169" s="152">
        <f t="shared" si="76"/>
        <v>0</v>
      </c>
      <c r="X169" s="152">
        <f t="shared" si="77"/>
        <v>0</v>
      </c>
      <c r="Y169" s="145"/>
    </row>
    <row r="170" spans="14:25">
      <c r="N170" s="149">
        <v>46012</v>
      </c>
      <c r="O170" s="150">
        <v>0.83333333333333337</v>
      </c>
      <c r="P170" s="145" t="s">
        <v>199</v>
      </c>
      <c r="Q170" s="145" t="s">
        <v>219</v>
      </c>
      <c r="R170" s="151">
        <v>0.5</v>
      </c>
      <c r="S170" s="145" t="str">
        <f t="shared" si="72"/>
        <v>bottle</v>
      </c>
      <c r="T170" s="152">
        <f t="shared" si="73"/>
        <v>0</v>
      </c>
      <c r="U170" s="152">
        <f t="shared" si="74"/>
        <v>0</v>
      </c>
      <c r="V170" s="152">
        <f t="shared" si="75"/>
        <v>0</v>
      </c>
      <c r="W170" s="152">
        <f t="shared" si="76"/>
        <v>0</v>
      </c>
      <c r="X170" s="152">
        <f t="shared" si="77"/>
        <v>0</v>
      </c>
      <c r="Y170" s="145"/>
    </row>
    <row r="171" spans="14:25">
      <c r="N171" s="149">
        <v>46012</v>
      </c>
      <c r="O171" s="150">
        <v>0.875</v>
      </c>
      <c r="P171" s="145" t="s">
        <v>199</v>
      </c>
      <c r="Q171" s="145" t="s">
        <v>212</v>
      </c>
      <c r="R171" s="151">
        <v>1</v>
      </c>
      <c r="S171" s="145" t="str">
        <f t="shared" si="72"/>
        <v>bottle</v>
      </c>
      <c r="T171" s="152">
        <f t="shared" si="73"/>
        <v>70</v>
      </c>
      <c r="U171" s="152">
        <f t="shared" si="74"/>
        <v>0</v>
      </c>
      <c r="V171" s="152">
        <f t="shared" si="75"/>
        <v>0</v>
      </c>
      <c r="W171" s="152">
        <f t="shared" si="76"/>
        <v>17</v>
      </c>
      <c r="X171" s="152">
        <f t="shared" si="77"/>
        <v>1</v>
      </c>
      <c r="Y171" s="145"/>
    </row>
    <row r="172" spans="14:25">
      <c r="N172" s="149">
        <v>46012</v>
      </c>
      <c r="O172" s="150">
        <v>0.875</v>
      </c>
      <c r="P172" s="145" t="s">
        <v>199</v>
      </c>
      <c r="Q172" s="145" t="s">
        <v>209</v>
      </c>
      <c r="R172" s="151">
        <v>3</v>
      </c>
      <c r="S172" s="145" t="str">
        <f t="shared" si="72"/>
        <v>tbsp</v>
      </c>
      <c r="T172" s="152">
        <f t="shared" si="73"/>
        <v>60</v>
      </c>
      <c r="U172" s="152">
        <f t="shared" si="74"/>
        <v>0</v>
      </c>
      <c r="V172" s="152">
        <f t="shared" si="75"/>
        <v>0</v>
      </c>
      <c r="W172" s="152">
        <f t="shared" si="76"/>
        <v>15</v>
      </c>
      <c r="X172" s="152">
        <f t="shared" si="77"/>
        <v>13.5</v>
      </c>
      <c r="Y172" s="145"/>
    </row>
    <row r="173" spans="14:25">
      <c r="N173" s="149">
        <v>46012</v>
      </c>
      <c r="O173" s="150">
        <v>0.875</v>
      </c>
      <c r="P173" s="145" t="s">
        <v>289</v>
      </c>
      <c r="Q173" s="145" t="s">
        <v>292</v>
      </c>
      <c r="R173" s="151">
        <v>0.5</v>
      </c>
      <c r="S173" s="145" t="str">
        <f t="shared" si="72"/>
        <v>bar</v>
      </c>
      <c r="T173" s="152">
        <f t="shared" si="73"/>
        <v>125</v>
      </c>
      <c r="U173" s="152">
        <f t="shared" si="74"/>
        <v>1.5</v>
      </c>
      <c r="V173" s="152">
        <f t="shared" si="75"/>
        <v>7.5</v>
      </c>
      <c r="W173" s="152">
        <f t="shared" si="76"/>
        <v>13</v>
      </c>
      <c r="X173" s="152">
        <f t="shared" si="77"/>
        <v>0</v>
      </c>
      <c r="Y173" s="145"/>
    </row>
    <row r="174" spans="14:25">
      <c r="N174" s="149">
        <v>46012</v>
      </c>
      <c r="O174" s="150">
        <v>0.875</v>
      </c>
      <c r="P174" s="145" t="s">
        <v>199</v>
      </c>
      <c r="Q174" s="145" t="s">
        <v>181</v>
      </c>
      <c r="R174" s="151">
        <v>1</v>
      </c>
      <c r="S174" s="145" t="str">
        <f t="shared" si="72"/>
        <v>slice</v>
      </c>
      <c r="T174" s="152">
        <f t="shared" si="73"/>
        <v>70</v>
      </c>
      <c r="U174" s="152">
        <f t="shared" si="74"/>
        <v>2.5</v>
      </c>
      <c r="V174" s="152">
        <f t="shared" si="75"/>
        <v>1.25</v>
      </c>
      <c r="W174" s="152">
        <f t="shared" si="76"/>
        <v>12</v>
      </c>
      <c r="X174" s="152">
        <f t="shared" si="77"/>
        <v>1</v>
      </c>
      <c r="Y174" s="145"/>
    </row>
    <row r="175" spans="14:25">
      <c r="N175" s="149">
        <v>46012</v>
      </c>
      <c r="O175" s="150"/>
      <c r="P175" s="145"/>
      <c r="Q175" s="145"/>
      <c r="R175" s="151"/>
      <c r="S175" s="145" t="str">
        <f t="shared" si="72"/>
        <v/>
      </c>
      <c r="T175" s="152" t="str">
        <f t="shared" si="73"/>
        <v/>
      </c>
      <c r="U175" s="152" t="str">
        <f t="shared" si="74"/>
        <v/>
      </c>
      <c r="V175" s="152" t="str">
        <f t="shared" si="75"/>
        <v/>
      </c>
      <c r="W175" s="152" t="str">
        <f t="shared" si="76"/>
        <v/>
      </c>
      <c r="X175" s="152" t="str">
        <f t="shared" si="77"/>
        <v/>
      </c>
      <c r="Y175" s="145"/>
    </row>
    <row r="176" spans="14:25">
      <c r="N176" s="157"/>
      <c r="O176" s="158" t="s">
        <v>217</v>
      </c>
      <c r="P176" s="154"/>
      <c r="Q176" s="154"/>
      <c r="R176" s="154"/>
      <c r="S176" s="154"/>
      <c r="T176" s="159">
        <f>SUM(T162:T175)</f>
        <v>1956.9</v>
      </c>
      <c r="U176" s="159">
        <f>SUM(U162:U175)</f>
        <v>157.75</v>
      </c>
      <c r="V176" s="159">
        <f>SUM(V162:V175)</f>
        <v>63.765999999999998</v>
      </c>
      <c r="W176" s="159">
        <f>SUM(W162:W175)</f>
        <v>161.5</v>
      </c>
      <c r="X176" s="159">
        <f>SUM(X162:X175)</f>
        <v>22.4</v>
      </c>
      <c r="Y176" s="145"/>
    </row>
    <row r="177" spans="14:25">
      <c r="N177" s="157"/>
      <c r="O177" s="158" t="s">
        <v>220</v>
      </c>
      <c r="P177" s="154"/>
      <c r="Q177" s="154"/>
      <c r="R177" s="154"/>
      <c r="S177" s="154"/>
      <c r="T177" s="161">
        <f>$B$27</f>
        <v>2228.28125</v>
      </c>
      <c r="U177" s="161">
        <f>$B$29</f>
        <v>140.4</v>
      </c>
      <c r="V177" s="161">
        <f>$B$30</f>
        <v>64.739999999999995</v>
      </c>
      <c r="W177" s="161">
        <f>$B$31</f>
        <v>271.0053125</v>
      </c>
      <c r="X177" s="161">
        <f>$B$32</f>
        <v>31.195937500000003</v>
      </c>
      <c r="Y177" s="145"/>
    </row>
    <row r="178" spans="14:25">
      <c r="N178" s="157"/>
      <c r="O178" s="158" t="s">
        <v>222</v>
      </c>
      <c r="P178" s="154"/>
      <c r="Q178" s="154"/>
      <c r="R178" s="154"/>
      <c r="S178" s="154"/>
      <c r="T178" s="161">
        <f>T176-T177</f>
        <v>-271.38124999999991</v>
      </c>
      <c r="U178" s="161">
        <f>U176-U177</f>
        <v>17.349999999999994</v>
      </c>
      <c r="V178" s="161">
        <f>V176-V177</f>
        <v>-0.97399999999999665</v>
      </c>
      <c r="W178" s="161">
        <f>W176-W177</f>
        <v>-109.5053125</v>
      </c>
      <c r="X178" s="161">
        <f>X176-X177</f>
        <v>-8.7959375000000044</v>
      </c>
      <c r="Y178" s="145"/>
    </row>
    <row r="179" spans="14:25">
      <c r="N179" s="149">
        <v>46013</v>
      </c>
      <c r="O179" s="150">
        <v>0.375</v>
      </c>
      <c r="P179" s="145" t="s">
        <v>178</v>
      </c>
      <c r="Q179" s="145" t="s">
        <v>293</v>
      </c>
      <c r="R179" s="151">
        <v>1</v>
      </c>
      <c r="S179" s="145" t="str">
        <f t="shared" ref="S179:S190" si="78">IFERROR(VLOOKUP(Q179, $E$5:$L$109, 3, FALSE), "")</f>
        <v>bottle</v>
      </c>
      <c r="T179" s="152">
        <f t="shared" ref="T179:T190" si="79">IFERROR(VLOOKUP(Q179, $E$5:$L$109, 4, FALSE) * (R179 / VLOOKUP(Q179, $E$5:$L$109, 2, FALSE)), "")</f>
        <v>150</v>
      </c>
      <c r="U179" s="152">
        <f t="shared" ref="U179:U190" si="80">IFERROR(VLOOKUP(Q179, $E$5:$L$109, 5, FALSE) * (R179 / VLOOKUP(Q179, $E$5:$L$109, 2, FALSE)), "")</f>
        <v>16</v>
      </c>
      <c r="V179" s="152">
        <f t="shared" ref="V179:V190" si="81">IFERROR(VLOOKUP(Q179, $E$5:$L$109, 6, FALSE) * (R179 / VLOOKUP(Q179, $E$5:$L$109, 2, FALSE)), "")</f>
        <v>2.5</v>
      </c>
      <c r="W179" s="152">
        <f t="shared" ref="W179:W190" si="82">IFERROR(VLOOKUP(Q179, $E$5:$L$109, 7, FALSE) * (R179 / VLOOKUP(Q179, $E$5:$L$109, 2, FALSE)), "")</f>
        <v>16</v>
      </c>
      <c r="X179" s="152">
        <f t="shared" ref="X179:X190" si="83">IFERROR(VLOOKUP(Q179, $E$5:$L$109, 8, FALSE) * (R179 / VLOOKUP(Q179, $E$5:$L$109, 2, FALSE)), "")</f>
        <v>0</v>
      </c>
      <c r="Y179" s="145"/>
    </row>
    <row r="180" spans="14:25">
      <c r="N180" s="149">
        <v>46013</v>
      </c>
      <c r="O180" s="150">
        <v>0.375</v>
      </c>
      <c r="P180" s="145" t="s">
        <v>178</v>
      </c>
      <c r="Q180" s="145" t="s">
        <v>181</v>
      </c>
      <c r="R180" s="151">
        <v>2</v>
      </c>
      <c r="S180" s="145" t="str">
        <f t="shared" si="78"/>
        <v>slice</v>
      </c>
      <c r="T180" s="152">
        <f t="shared" si="79"/>
        <v>140</v>
      </c>
      <c r="U180" s="152">
        <f t="shared" si="80"/>
        <v>5</v>
      </c>
      <c r="V180" s="152">
        <f t="shared" si="81"/>
        <v>2.5</v>
      </c>
      <c r="W180" s="152">
        <f t="shared" si="82"/>
        <v>24</v>
      </c>
      <c r="X180" s="152">
        <f t="shared" si="83"/>
        <v>2</v>
      </c>
      <c r="Y180" s="145"/>
    </row>
    <row r="181" spans="14:25">
      <c r="N181" s="149">
        <v>46013</v>
      </c>
      <c r="O181" s="150">
        <v>0.41666666666666669</v>
      </c>
      <c r="P181" s="145" t="s">
        <v>289</v>
      </c>
      <c r="Q181" s="145" t="s">
        <v>294</v>
      </c>
      <c r="R181" s="151">
        <v>35</v>
      </c>
      <c r="S181" s="145" t="str">
        <f t="shared" si="78"/>
        <v>g</v>
      </c>
      <c r="T181" s="152">
        <f t="shared" si="79"/>
        <v>120</v>
      </c>
      <c r="U181" s="152">
        <f t="shared" si="80"/>
        <v>2</v>
      </c>
      <c r="V181" s="152">
        <f t="shared" si="81"/>
        <v>1</v>
      </c>
      <c r="W181" s="152">
        <f t="shared" si="82"/>
        <v>30</v>
      </c>
      <c r="X181" s="152">
        <f t="shared" si="83"/>
        <v>0</v>
      </c>
      <c r="Y181" s="145"/>
    </row>
    <row r="182" spans="14:25">
      <c r="N182" s="149">
        <v>46013</v>
      </c>
      <c r="O182" s="150">
        <v>0.41666666666666669</v>
      </c>
      <c r="P182" s="145" t="s">
        <v>289</v>
      </c>
      <c r="Q182" s="145" t="s">
        <v>277</v>
      </c>
      <c r="R182" s="151">
        <v>1</v>
      </c>
      <c r="S182" s="145" t="str">
        <f t="shared" si="78"/>
        <v>small bag</v>
      </c>
      <c r="T182" s="152">
        <f t="shared" si="79"/>
        <v>60</v>
      </c>
      <c r="U182" s="152">
        <f t="shared" si="80"/>
        <v>0</v>
      </c>
      <c r="V182" s="152">
        <f t="shared" si="81"/>
        <v>2</v>
      </c>
      <c r="W182" s="152">
        <f t="shared" si="82"/>
        <v>8</v>
      </c>
      <c r="X182" s="152">
        <f t="shared" si="83"/>
        <v>0</v>
      </c>
      <c r="Y182" s="145"/>
    </row>
    <row r="183" spans="14:25">
      <c r="N183" s="149">
        <v>46013</v>
      </c>
      <c r="O183" s="150">
        <v>0.5</v>
      </c>
      <c r="P183" s="145" t="s">
        <v>185</v>
      </c>
      <c r="Q183" s="145" t="s">
        <v>229</v>
      </c>
      <c r="R183" s="151">
        <v>1</v>
      </c>
      <c r="S183" s="145" t="str">
        <f t="shared" si="78"/>
        <v>large plate</v>
      </c>
      <c r="T183" s="152">
        <f t="shared" si="79"/>
        <v>500</v>
      </c>
      <c r="U183" s="152">
        <f t="shared" si="80"/>
        <v>20</v>
      </c>
      <c r="V183" s="152">
        <f t="shared" si="81"/>
        <v>30</v>
      </c>
      <c r="W183" s="152">
        <f t="shared" si="82"/>
        <v>40</v>
      </c>
      <c r="X183" s="152">
        <f t="shared" si="83"/>
        <v>3</v>
      </c>
      <c r="Y183" s="145"/>
    </row>
    <row r="184" spans="14:25">
      <c r="N184" s="149">
        <v>46013</v>
      </c>
      <c r="O184" s="150">
        <v>0.5</v>
      </c>
      <c r="P184" s="145" t="s">
        <v>185</v>
      </c>
      <c r="Q184" s="145" t="s">
        <v>240</v>
      </c>
      <c r="R184" s="151">
        <v>1</v>
      </c>
      <c r="S184" s="145" t="str">
        <f t="shared" si="78"/>
        <v>egg</v>
      </c>
      <c r="T184" s="152">
        <f t="shared" si="79"/>
        <v>90</v>
      </c>
      <c r="U184" s="152">
        <f t="shared" si="80"/>
        <v>6</v>
      </c>
      <c r="V184" s="152">
        <f t="shared" si="81"/>
        <v>7</v>
      </c>
      <c r="W184" s="152">
        <f t="shared" si="82"/>
        <v>0.5</v>
      </c>
      <c r="X184" s="152">
        <f t="shared" si="83"/>
        <v>0</v>
      </c>
      <c r="Y184" s="145"/>
    </row>
    <row r="185" spans="14:25">
      <c r="N185" s="149">
        <v>46013</v>
      </c>
      <c r="O185" s="150">
        <v>0.5</v>
      </c>
      <c r="P185" s="145" t="s">
        <v>185</v>
      </c>
      <c r="Q185" s="145" t="s">
        <v>231</v>
      </c>
      <c r="R185" s="151">
        <v>1</v>
      </c>
      <c r="S185" s="145" t="str">
        <f t="shared" si="78"/>
        <v>large bowl</v>
      </c>
      <c r="T185" s="152">
        <f t="shared" si="79"/>
        <v>350</v>
      </c>
      <c r="U185" s="152">
        <f t="shared" si="80"/>
        <v>15</v>
      </c>
      <c r="V185" s="152">
        <f t="shared" si="81"/>
        <v>20</v>
      </c>
      <c r="W185" s="152">
        <f t="shared" si="82"/>
        <v>15</v>
      </c>
      <c r="X185" s="152">
        <f t="shared" si="83"/>
        <v>2</v>
      </c>
      <c r="Y185" s="145"/>
    </row>
    <row r="186" spans="14:25">
      <c r="N186" s="149">
        <v>46013</v>
      </c>
      <c r="O186" s="150">
        <v>0.83333333333333337</v>
      </c>
      <c r="P186" s="145" t="s">
        <v>199</v>
      </c>
      <c r="Q186" s="145" t="s">
        <v>295</v>
      </c>
      <c r="R186" s="151">
        <v>1</v>
      </c>
      <c r="S186" s="145" t="str">
        <f t="shared" si="78"/>
        <v>bottle</v>
      </c>
      <c r="T186" s="152">
        <f t="shared" si="79"/>
        <v>200</v>
      </c>
      <c r="U186" s="152">
        <f t="shared" si="80"/>
        <v>35</v>
      </c>
      <c r="V186" s="152">
        <f t="shared" si="81"/>
        <v>2.5</v>
      </c>
      <c r="W186" s="152">
        <f t="shared" si="82"/>
        <v>9</v>
      </c>
      <c r="X186" s="152">
        <f t="shared" si="83"/>
        <v>0</v>
      </c>
      <c r="Y186" s="145"/>
    </row>
    <row r="187" spans="14:25">
      <c r="N187" s="149">
        <v>46013</v>
      </c>
      <c r="O187" s="150">
        <v>0.83333333333333337</v>
      </c>
      <c r="P187" s="145" t="s">
        <v>199</v>
      </c>
      <c r="Q187" s="145" t="s">
        <v>176</v>
      </c>
      <c r="R187" s="151">
        <v>298</v>
      </c>
      <c r="S187" s="145" t="str">
        <f t="shared" si="78"/>
        <v>g</v>
      </c>
      <c r="T187" s="152">
        <f t="shared" si="79"/>
        <v>491.7</v>
      </c>
      <c r="U187" s="152">
        <f t="shared" si="80"/>
        <v>74.5</v>
      </c>
      <c r="V187" s="152">
        <f t="shared" si="81"/>
        <v>10.728</v>
      </c>
      <c r="W187" s="152">
        <f t="shared" si="82"/>
        <v>0</v>
      </c>
      <c r="X187" s="152">
        <f t="shared" si="83"/>
        <v>0</v>
      </c>
      <c r="Y187" s="145"/>
    </row>
    <row r="188" spans="14:25">
      <c r="N188" s="149">
        <v>46013</v>
      </c>
      <c r="O188" s="150">
        <v>0.83333333333333337</v>
      </c>
      <c r="P188" s="145" t="s">
        <v>199</v>
      </c>
      <c r="Q188" s="145" t="s">
        <v>209</v>
      </c>
      <c r="R188" s="151">
        <v>3</v>
      </c>
      <c r="S188" s="145" t="str">
        <f t="shared" si="78"/>
        <v>tbsp</v>
      </c>
      <c r="T188" s="152">
        <f t="shared" si="79"/>
        <v>60</v>
      </c>
      <c r="U188" s="152">
        <f t="shared" si="80"/>
        <v>0</v>
      </c>
      <c r="V188" s="152">
        <f t="shared" si="81"/>
        <v>0</v>
      </c>
      <c r="W188" s="152">
        <f t="shared" si="82"/>
        <v>15</v>
      </c>
      <c r="X188" s="152">
        <f t="shared" si="83"/>
        <v>13.5</v>
      </c>
      <c r="Y188" s="145"/>
    </row>
    <row r="189" spans="14:25">
      <c r="N189" s="149">
        <v>46013</v>
      </c>
      <c r="O189" s="150">
        <v>0.83333333333333337</v>
      </c>
      <c r="P189" s="145" t="s">
        <v>199</v>
      </c>
      <c r="Q189" s="145" t="s">
        <v>212</v>
      </c>
      <c r="R189" s="151">
        <v>1</v>
      </c>
      <c r="S189" s="145" t="str">
        <f t="shared" si="78"/>
        <v>bottle</v>
      </c>
      <c r="T189" s="152">
        <f t="shared" si="79"/>
        <v>70</v>
      </c>
      <c r="U189" s="152">
        <f t="shared" si="80"/>
        <v>0</v>
      </c>
      <c r="V189" s="152">
        <f t="shared" si="81"/>
        <v>0</v>
      </c>
      <c r="W189" s="152">
        <f t="shared" si="82"/>
        <v>17</v>
      </c>
      <c r="X189" s="152">
        <f t="shared" si="83"/>
        <v>1</v>
      </c>
      <c r="Y189" s="145"/>
    </row>
    <row r="190" spans="14:25">
      <c r="N190" s="149">
        <v>46013</v>
      </c>
      <c r="O190" s="150">
        <v>0.91666666666666663</v>
      </c>
      <c r="P190" s="145" t="s">
        <v>289</v>
      </c>
      <c r="Q190" s="145" t="s">
        <v>214</v>
      </c>
      <c r="R190" s="151">
        <v>2</v>
      </c>
      <c r="S190" s="145" t="str">
        <f t="shared" si="78"/>
        <v>bar</v>
      </c>
      <c r="T190" s="152">
        <f t="shared" si="79"/>
        <v>134</v>
      </c>
      <c r="U190" s="152">
        <f t="shared" si="80"/>
        <v>2</v>
      </c>
      <c r="V190" s="152">
        <f t="shared" si="81"/>
        <v>7</v>
      </c>
      <c r="W190" s="152">
        <f t="shared" si="82"/>
        <v>44</v>
      </c>
      <c r="X190" s="152">
        <f t="shared" si="83"/>
        <v>0.6</v>
      </c>
      <c r="Y190" s="145"/>
    </row>
    <row r="191" spans="14:25">
      <c r="N191" s="157"/>
      <c r="O191" s="158" t="s">
        <v>217</v>
      </c>
      <c r="P191" s="154"/>
      <c r="Q191" s="154"/>
      <c r="R191" s="154"/>
      <c r="S191" s="154"/>
      <c r="T191" s="159">
        <f>SUM(T179:T190)</f>
        <v>2365.6999999999998</v>
      </c>
      <c r="U191" s="159">
        <f>SUM(U179:U190)</f>
        <v>175.5</v>
      </c>
      <c r="V191" s="159">
        <f>SUM(V179:V190)</f>
        <v>85.227999999999994</v>
      </c>
      <c r="W191" s="159">
        <f>SUM(W179:W190)</f>
        <v>218.5</v>
      </c>
      <c r="X191" s="159">
        <f>SUM(X179:X190)</f>
        <v>22.1</v>
      </c>
      <c r="Y191" s="145"/>
    </row>
    <row r="192" spans="14:25">
      <c r="N192" s="157"/>
      <c r="O192" s="158" t="s">
        <v>220</v>
      </c>
      <c r="P192" s="154"/>
      <c r="Q192" s="154"/>
      <c r="R192" s="154"/>
      <c r="S192" s="154"/>
      <c r="T192" s="161">
        <f>$B$27</f>
        <v>2228.28125</v>
      </c>
      <c r="U192" s="161">
        <f>$B$29</f>
        <v>140.4</v>
      </c>
      <c r="V192" s="161">
        <f>$B$30</f>
        <v>64.739999999999995</v>
      </c>
      <c r="W192" s="161">
        <f>$B$31</f>
        <v>271.0053125</v>
      </c>
      <c r="X192" s="161">
        <f>$B$32</f>
        <v>31.195937500000003</v>
      </c>
      <c r="Y192" s="145"/>
    </row>
    <row r="193" spans="14:25">
      <c r="N193" s="157"/>
      <c r="O193" s="158" t="s">
        <v>222</v>
      </c>
      <c r="P193" s="154"/>
      <c r="Q193" s="154"/>
      <c r="R193" s="154"/>
      <c r="S193" s="154"/>
      <c r="T193" s="161">
        <f>T191-T192</f>
        <v>137.41874999999982</v>
      </c>
      <c r="U193" s="161">
        <f>U191-U192</f>
        <v>35.099999999999994</v>
      </c>
      <c r="V193" s="161">
        <f>V191-V192</f>
        <v>20.488</v>
      </c>
      <c r="W193" s="161">
        <f>W191-W192</f>
        <v>-52.505312500000002</v>
      </c>
      <c r="X193" s="161">
        <f>X191-X192</f>
        <v>-9.0959375000000016</v>
      </c>
      <c r="Y193" s="145"/>
    </row>
    <row r="194" spans="14:25">
      <c r="N194" s="173">
        <v>46014</v>
      </c>
      <c r="O194" s="174">
        <v>0.33333333333333331</v>
      </c>
      <c r="P194" s="175" t="s">
        <v>178</v>
      </c>
      <c r="Q194" s="175" t="s">
        <v>295</v>
      </c>
      <c r="R194" s="176">
        <v>1</v>
      </c>
      <c r="S194" s="175" t="str">
        <f t="shared" ref="S194:S202" si="84">IFERROR(VLOOKUP(Q194, $E$5:$L$109, 3, FALSE), "")</f>
        <v>bottle</v>
      </c>
      <c r="T194" s="177">
        <f t="shared" ref="T194:T202" si="85">IFERROR(VLOOKUP(Q194, $E$5:$L$109, 4, FALSE) * (R194 / VLOOKUP(Q194, $E$5:$L$109, 2, FALSE)), "")</f>
        <v>200</v>
      </c>
      <c r="U194" s="177">
        <f t="shared" ref="U194:U202" si="86">IFERROR(VLOOKUP(Q194, $E$5:$L$109, 5, FALSE) * (R194 / VLOOKUP(Q194, $E$5:$L$109, 2, FALSE)), "")</f>
        <v>35</v>
      </c>
      <c r="V194" s="177">
        <f t="shared" ref="V194:V202" si="87">IFERROR(VLOOKUP(Q194, $E$5:$L$109, 6, FALSE) * (R194 / VLOOKUP(Q194, $E$5:$L$109, 2, FALSE)), "")</f>
        <v>2.5</v>
      </c>
      <c r="W194" s="177">
        <f t="shared" ref="W194:W202" si="88">IFERROR(VLOOKUP(Q194, $E$5:$L$109, 7, FALSE) * (R194 / VLOOKUP(Q194, $E$5:$L$109, 2, FALSE)), "")</f>
        <v>9</v>
      </c>
      <c r="X194" s="177">
        <f t="shared" ref="X194:X202" si="89">IFERROR(VLOOKUP(Q194, $E$5:$L$109, 8, FALSE) * (R194 / VLOOKUP(Q194, $E$5:$L$109, 2, FALSE)), "")</f>
        <v>0</v>
      </c>
      <c r="Y194" s="175"/>
    </row>
    <row r="195" spans="14:25">
      <c r="N195" s="173">
        <v>46014</v>
      </c>
      <c r="O195" s="174">
        <v>0.41666666666666669</v>
      </c>
      <c r="P195" s="175" t="s">
        <v>178</v>
      </c>
      <c r="Q195" s="175" t="s">
        <v>181</v>
      </c>
      <c r="R195" s="176">
        <v>2</v>
      </c>
      <c r="S195" s="175" t="str">
        <f t="shared" si="84"/>
        <v>slice</v>
      </c>
      <c r="T195" s="177">
        <f t="shared" si="85"/>
        <v>140</v>
      </c>
      <c r="U195" s="177">
        <f t="shared" si="86"/>
        <v>5</v>
      </c>
      <c r="V195" s="177">
        <f t="shared" si="87"/>
        <v>2.5</v>
      </c>
      <c r="W195" s="177">
        <f t="shared" si="88"/>
        <v>24</v>
      </c>
      <c r="X195" s="177">
        <f t="shared" si="89"/>
        <v>2</v>
      </c>
      <c r="Y195" s="175"/>
    </row>
    <row r="196" spans="14:25">
      <c r="N196" s="173">
        <v>46014</v>
      </c>
      <c r="O196" s="174">
        <v>0.45833333333333331</v>
      </c>
      <c r="P196" s="175" t="s">
        <v>289</v>
      </c>
      <c r="Q196" s="175" t="s">
        <v>190</v>
      </c>
      <c r="R196" s="176">
        <v>3</v>
      </c>
      <c r="S196" s="175" t="str">
        <f t="shared" si="84"/>
        <v>medium</v>
      </c>
      <c r="T196" s="177">
        <f t="shared" si="85"/>
        <v>186</v>
      </c>
      <c r="U196" s="177">
        <f t="shared" si="86"/>
        <v>3.5999999999999996</v>
      </c>
      <c r="V196" s="177">
        <f t="shared" si="87"/>
        <v>0.60000000000000009</v>
      </c>
      <c r="W196" s="177">
        <f t="shared" si="88"/>
        <v>46.2</v>
      </c>
      <c r="X196" s="177">
        <f t="shared" si="89"/>
        <v>9.3000000000000007</v>
      </c>
      <c r="Y196" s="175"/>
    </row>
    <row r="197" spans="14:25">
      <c r="N197" s="173">
        <v>46014</v>
      </c>
      <c r="O197" s="174">
        <v>0.45833333333333331</v>
      </c>
      <c r="P197" s="175" t="s">
        <v>289</v>
      </c>
      <c r="Q197" s="175" t="s">
        <v>277</v>
      </c>
      <c r="R197" s="176">
        <v>1</v>
      </c>
      <c r="S197" s="175" t="str">
        <f t="shared" si="84"/>
        <v>small bag</v>
      </c>
      <c r="T197" s="177">
        <f t="shared" si="85"/>
        <v>60</v>
      </c>
      <c r="U197" s="177">
        <f t="shared" si="86"/>
        <v>0</v>
      </c>
      <c r="V197" s="177">
        <f t="shared" si="87"/>
        <v>2</v>
      </c>
      <c r="W197" s="177">
        <f t="shared" si="88"/>
        <v>8</v>
      </c>
      <c r="X197" s="177">
        <f t="shared" si="89"/>
        <v>0</v>
      </c>
      <c r="Y197" s="175"/>
    </row>
    <row r="198" spans="14:25">
      <c r="N198" s="173">
        <v>46014</v>
      </c>
      <c r="O198" s="174">
        <v>0.5</v>
      </c>
      <c r="P198" s="175" t="s">
        <v>185</v>
      </c>
      <c r="Q198" s="175" t="s">
        <v>189</v>
      </c>
      <c r="R198" s="176">
        <v>150</v>
      </c>
      <c r="S198" s="175" t="str">
        <f t="shared" si="84"/>
        <v>g</v>
      </c>
      <c r="T198" s="177">
        <f t="shared" si="85"/>
        <v>52.5</v>
      </c>
      <c r="U198" s="177">
        <f t="shared" si="86"/>
        <v>3.75</v>
      </c>
      <c r="V198" s="177">
        <f t="shared" si="87"/>
        <v>0.60000000000000009</v>
      </c>
      <c r="W198" s="177">
        <f t="shared" si="88"/>
        <v>10.5</v>
      </c>
      <c r="X198" s="177">
        <f t="shared" si="89"/>
        <v>3.9000000000000004</v>
      </c>
      <c r="Y198" s="175"/>
    </row>
    <row r="199" spans="14:25">
      <c r="N199" s="173">
        <v>46014</v>
      </c>
      <c r="O199" s="174">
        <v>0.5</v>
      </c>
      <c r="P199" s="175" t="s">
        <v>185</v>
      </c>
      <c r="Q199" s="175" t="s">
        <v>176</v>
      </c>
      <c r="R199" s="176">
        <v>263</v>
      </c>
      <c r="S199" s="175" t="str">
        <f t="shared" si="84"/>
        <v>g</v>
      </c>
      <c r="T199" s="177">
        <f t="shared" si="85"/>
        <v>433.95</v>
      </c>
      <c r="U199" s="177">
        <f t="shared" si="86"/>
        <v>65.75</v>
      </c>
      <c r="V199" s="177">
        <f t="shared" si="87"/>
        <v>9.468</v>
      </c>
      <c r="W199" s="177">
        <f t="shared" si="88"/>
        <v>0</v>
      </c>
      <c r="X199" s="177">
        <f t="shared" si="89"/>
        <v>0</v>
      </c>
      <c r="Y199" s="175"/>
    </row>
    <row r="200" spans="14:25">
      <c r="N200" s="173">
        <v>46014</v>
      </c>
      <c r="O200" s="174">
        <v>0.70833333333333337</v>
      </c>
      <c r="P200" s="175" t="s">
        <v>289</v>
      </c>
      <c r="Q200" s="175" t="s">
        <v>190</v>
      </c>
      <c r="R200" s="176">
        <v>2</v>
      </c>
      <c r="S200" s="175" t="str">
        <f t="shared" si="84"/>
        <v>medium</v>
      </c>
      <c r="T200" s="177">
        <f t="shared" si="85"/>
        <v>124</v>
      </c>
      <c r="U200" s="177">
        <f t="shared" si="86"/>
        <v>2.4</v>
      </c>
      <c r="V200" s="177">
        <f t="shared" si="87"/>
        <v>0.4</v>
      </c>
      <c r="W200" s="177">
        <f t="shared" si="88"/>
        <v>30.8</v>
      </c>
      <c r="X200" s="177">
        <f t="shared" si="89"/>
        <v>6.2</v>
      </c>
      <c r="Y200" s="175"/>
    </row>
    <row r="201" spans="14:25">
      <c r="N201" s="173">
        <v>46014</v>
      </c>
      <c r="O201" s="174">
        <v>0.79166666666666663</v>
      </c>
      <c r="P201" s="175" t="s">
        <v>199</v>
      </c>
      <c r="Q201" s="175" t="s">
        <v>176</v>
      </c>
      <c r="R201" s="176">
        <v>292</v>
      </c>
      <c r="S201" s="175" t="str">
        <f t="shared" si="84"/>
        <v>g</v>
      </c>
      <c r="T201" s="177">
        <f t="shared" si="85"/>
        <v>481.8</v>
      </c>
      <c r="U201" s="177">
        <f t="shared" si="86"/>
        <v>73</v>
      </c>
      <c r="V201" s="177">
        <f t="shared" si="87"/>
        <v>10.512</v>
      </c>
      <c r="W201" s="177">
        <f t="shared" si="88"/>
        <v>0</v>
      </c>
      <c r="X201" s="177">
        <f t="shared" si="89"/>
        <v>0</v>
      </c>
      <c r="Y201" s="175"/>
    </row>
    <row r="202" spans="14:25">
      <c r="N202" s="173">
        <v>46014</v>
      </c>
      <c r="O202" s="174">
        <v>0.79166666666666663</v>
      </c>
      <c r="P202" s="175" t="s">
        <v>199</v>
      </c>
      <c r="Q202" s="175" t="s">
        <v>189</v>
      </c>
      <c r="R202" s="176">
        <v>212</v>
      </c>
      <c r="S202" s="175" t="str">
        <f t="shared" si="84"/>
        <v>g</v>
      </c>
      <c r="T202" s="177">
        <f t="shared" si="85"/>
        <v>74.2</v>
      </c>
      <c r="U202" s="177">
        <f t="shared" si="86"/>
        <v>5.3000000000000007</v>
      </c>
      <c r="V202" s="177">
        <f t="shared" si="87"/>
        <v>0.84800000000000009</v>
      </c>
      <c r="W202" s="177">
        <f t="shared" si="88"/>
        <v>14.84</v>
      </c>
      <c r="X202" s="177">
        <f t="shared" si="89"/>
        <v>5.5120000000000005</v>
      </c>
      <c r="Y202" s="175"/>
    </row>
    <row r="203" spans="14:25">
      <c r="N203" s="173">
        <v>46014</v>
      </c>
      <c r="O203" s="174">
        <v>0.79166666666666663</v>
      </c>
      <c r="P203" s="175" t="s">
        <v>289</v>
      </c>
      <c r="Q203" s="175" t="s">
        <v>214</v>
      </c>
      <c r="R203" s="176">
        <v>2</v>
      </c>
      <c r="S203" s="175" t="str">
        <f t="shared" ref="S203:S206" si="90">IFERROR(VLOOKUP(Q203, $E$5:$L$109, 3, FALSE), "")</f>
        <v>bar</v>
      </c>
      <c r="T203" s="177">
        <f>IFERROR(VLOOKUP(Q203, $E$5:$L$109, 4, FALSE) * (R203 / VLOOKUP(Q203, $E$5:$L$109, 2, FALSE)), "")</f>
        <v>134</v>
      </c>
      <c r="U203" s="177">
        <f t="shared" ref="U203" si="91">IFERROR(VLOOKUP(Q203, $E$5:$L$109, 5, FALSE) * (R203 / VLOOKUP(Q203, $E$5:$L$109, 2, FALSE)), "")</f>
        <v>2</v>
      </c>
      <c r="V203" s="177">
        <f t="shared" ref="V203" si="92">IFERROR(VLOOKUP(Q203, $E$5:$L$109, 6, FALSE) * (R203 / VLOOKUP(Q203, $E$5:$L$109, 2, FALSE)), "")</f>
        <v>7</v>
      </c>
      <c r="W203" s="177">
        <f t="shared" ref="W203" si="93">IFERROR(VLOOKUP(Q203, $E$5:$L$109, 7, FALSE) * (R203 / VLOOKUP(Q203, $E$5:$L$109, 2, FALSE)), "")</f>
        <v>44</v>
      </c>
      <c r="X203" s="177">
        <f t="shared" ref="X203" si="94">IFERROR(VLOOKUP(Q203, $E$5:$L$109, 8, FALSE) * (R203 / VLOOKUP(Q203, $E$5:$L$109, 2, FALSE)), "")</f>
        <v>0.6</v>
      </c>
      <c r="Y203" s="175"/>
    </row>
    <row r="204" spans="14:25">
      <c r="N204" s="173">
        <v>46014</v>
      </c>
      <c r="O204" s="174">
        <v>0.875</v>
      </c>
      <c r="P204" s="175" t="s">
        <v>199</v>
      </c>
      <c r="Q204" s="175" t="s">
        <v>209</v>
      </c>
      <c r="R204" s="176">
        <v>1</v>
      </c>
      <c r="S204" s="175" t="str">
        <f t="shared" si="90"/>
        <v>tbsp</v>
      </c>
      <c r="T204" s="177">
        <f t="shared" ref="T204:T206" si="95">IFERROR(VLOOKUP(Q204, $E$5:$L$109, 4, FALSE) * (R204 / VLOOKUP(Q204, $E$5:$L$109, 2, FALSE)), "")</f>
        <v>20</v>
      </c>
      <c r="U204" s="177">
        <f t="shared" ref="U204:U206" si="96">IFERROR(VLOOKUP(Q204, $E$5:$L$109, 5, FALSE) * (R204 / VLOOKUP(Q204, $E$5:$L$109, 2, FALSE)), "")</f>
        <v>0</v>
      </c>
      <c r="V204" s="177">
        <f t="shared" ref="V204:V206" si="97">IFERROR(VLOOKUP(Q204, $E$5:$L$109, 6, FALSE) * (R204 / VLOOKUP(Q204, $E$5:$L$109, 2, FALSE)), "")</f>
        <v>0</v>
      </c>
      <c r="W204" s="177">
        <f t="shared" ref="W204:W206" si="98">IFERROR(VLOOKUP(Q204, $E$5:$L$109, 7, FALSE) * (R204 / VLOOKUP(Q204, $E$5:$L$109, 2, FALSE)), "")</f>
        <v>5</v>
      </c>
      <c r="X204" s="177">
        <f t="shared" ref="X204:X206" si="99">IFERROR(VLOOKUP(Q204, $E$5:$L$109, 8, FALSE) * (R204 / VLOOKUP(Q204, $E$5:$L$109, 2, FALSE)), "")</f>
        <v>4.5</v>
      </c>
      <c r="Y204" s="175"/>
    </row>
    <row r="205" spans="14:25">
      <c r="N205" s="173">
        <v>46014</v>
      </c>
      <c r="O205" s="174">
        <v>0.875</v>
      </c>
      <c r="P205" s="175" t="s">
        <v>199</v>
      </c>
      <c r="Q205" s="175" t="s">
        <v>212</v>
      </c>
      <c r="R205" s="176">
        <v>1</v>
      </c>
      <c r="S205" s="175" t="str">
        <f t="shared" si="90"/>
        <v>bottle</v>
      </c>
      <c r="T205" s="177">
        <f t="shared" si="95"/>
        <v>70</v>
      </c>
      <c r="U205" s="177">
        <f t="shared" si="96"/>
        <v>0</v>
      </c>
      <c r="V205" s="177">
        <f t="shared" si="97"/>
        <v>0</v>
      </c>
      <c r="W205" s="177">
        <f t="shared" si="98"/>
        <v>17</v>
      </c>
      <c r="X205" s="177">
        <f t="shared" si="99"/>
        <v>1</v>
      </c>
      <c r="Y205" s="175"/>
    </row>
    <row r="206" spans="14:25">
      <c r="N206" s="173">
        <v>46014</v>
      </c>
      <c r="O206" s="174">
        <v>0.875</v>
      </c>
      <c r="P206" s="175" t="s">
        <v>199</v>
      </c>
      <c r="Q206" s="175" t="s">
        <v>219</v>
      </c>
      <c r="R206" s="176">
        <v>1</v>
      </c>
      <c r="S206" s="175" t="str">
        <f t="shared" si="90"/>
        <v>bottle</v>
      </c>
      <c r="T206" s="177">
        <f t="shared" si="95"/>
        <v>0</v>
      </c>
      <c r="U206" s="177">
        <f t="shared" si="96"/>
        <v>0</v>
      </c>
      <c r="V206" s="177">
        <f t="shared" si="97"/>
        <v>0</v>
      </c>
      <c r="W206" s="177">
        <f t="shared" si="98"/>
        <v>0</v>
      </c>
      <c r="X206" s="177">
        <f t="shared" si="99"/>
        <v>0</v>
      </c>
      <c r="Y206" s="175"/>
    </row>
    <row r="207" spans="14:25">
      <c r="N207" s="178"/>
      <c r="O207" s="179" t="s">
        <v>217</v>
      </c>
      <c r="P207" s="180"/>
      <c r="Q207" s="180"/>
      <c r="R207" s="180"/>
      <c r="S207" s="180"/>
      <c r="T207" s="181">
        <f>SUM(T194:T206)</f>
        <v>1976.45</v>
      </c>
      <c r="U207" s="181">
        <f>SUM(U194:U206)</f>
        <v>195.8</v>
      </c>
      <c r="V207" s="181">
        <f>SUM(V194:V206)</f>
        <v>36.427999999999997</v>
      </c>
      <c r="W207" s="181">
        <f>SUM(W194:W206)</f>
        <v>209.34</v>
      </c>
      <c r="X207" s="181">
        <f>SUM(X194:X206)</f>
        <v>33.012</v>
      </c>
      <c r="Y207" s="175"/>
    </row>
    <row r="208" spans="14:25">
      <c r="N208" s="178"/>
      <c r="O208" s="179" t="s">
        <v>220</v>
      </c>
      <c r="P208" s="180"/>
      <c r="Q208" s="180"/>
      <c r="R208" s="180"/>
      <c r="S208" s="180"/>
      <c r="T208" s="182">
        <f>$B$27</f>
        <v>2228.28125</v>
      </c>
      <c r="U208" s="182">
        <f>$B$29</f>
        <v>140.4</v>
      </c>
      <c r="V208" s="182">
        <f>$B$30</f>
        <v>64.739999999999995</v>
      </c>
      <c r="W208" s="182">
        <f>$B$31</f>
        <v>271.0053125</v>
      </c>
      <c r="X208" s="182">
        <f>$B$32</f>
        <v>31.195937500000003</v>
      </c>
      <c r="Y208" s="175"/>
    </row>
    <row r="209" spans="14:25">
      <c r="N209" s="178"/>
      <c r="O209" s="179" t="s">
        <v>222</v>
      </c>
      <c r="P209" s="180"/>
      <c r="Q209" s="180"/>
      <c r="R209" s="180"/>
      <c r="S209" s="180"/>
      <c r="T209" s="182">
        <f>T207-T208</f>
        <v>-251.83124999999995</v>
      </c>
      <c r="U209" s="182">
        <f>U207-U208</f>
        <v>55.400000000000006</v>
      </c>
      <c r="V209" s="182">
        <f>V207-V208</f>
        <v>-28.311999999999998</v>
      </c>
      <c r="W209" s="182">
        <f>W207-W208</f>
        <v>-61.665312499999999</v>
      </c>
      <c r="X209" s="182">
        <f>X207-X208</f>
        <v>1.8160624999999975</v>
      </c>
      <c r="Y209" s="175"/>
    </row>
    <row r="210" spans="14:25">
      <c r="N210" s="173">
        <v>46015</v>
      </c>
      <c r="O210" s="174">
        <v>0.33333333333333331</v>
      </c>
      <c r="P210" s="175" t="s">
        <v>178</v>
      </c>
      <c r="Q210" s="175" t="s">
        <v>295</v>
      </c>
      <c r="R210" s="176">
        <v>1</v>
      </c>
      <c r="S210" s="175" t="str">
        <f t="shared" ref="S210:S222" si="100">IFERROR(VLOOKUP(Q210, $E$5:$L$109, 3, FALSE), "")</f>
        <v>bottle</v>
      </c>
      <c r="T210" s="177">
        <f t="shared" ref="T210:T222" si="101">IFERROR(VLOOKUP(Q210, $E$5:$L$109, 4, FALSE) * (R210 / VLOOKUP(Q210, $E$5:$L$109, 2, FALSE)), "")</f>
        <v>200</v>
      </c>
      <c r="U210" s="177">
        <f t="shared" ref="U210:U222" si="102">IFERROR(VLOOKUP(Q210, $E$5:$L$109, 5, FALSE) * (R210 / VLOOKUP(Q210, $E$5:$L$109, 2, FALSE)), "")</f>
        <v>35</v>
      </c>
      <c r="V210" s="177">
        <f t="shared" ref="V210:V222" si="103">IFERROR(VLOOKUP(Q210, $E$5:$L$109, 6, FALSE) * (R210 / VLOOKUP(Q210, $E$5:$L$109, 2, FALSE)), "")</f>
        <v>2.5</v>
      </c>
      <c r="W210" s="177">
        <f t="shared" ref="W210:W222" si="104">IFERROR(VLOOKUP(Q210, $E$5:$L$109, 7, FALSE) * (R210 / VLOOKUP(Q210, $E$5:$L$109, 2, FALSE)), "")</f>
        <v>9</v>
      </c>
      <c r="X210" s="177">
        <f t="shared" ref="X210:X222" si="105">IFERROR(VLOOKUP(Q210, $E$5:$L$109, 8, FALSE) * (R210 / VLOOKUP(Q210, $E$5:$L$109, 2, FALSE)), "")</f>
        <v>0</v>
      </c>
      <c r="Y210" s="175"/>
    </row>
    <row r="211" spans="14:25">
      <c r="N211" s="173">
        <v>46015</v>
      </c>
      <c r="O211" s="174">
        <v>0.33333333333333331</v>
      </c>
      <c r="P211" s="175" t="s">
        <v>178</v>
      </c>
      <c r="Q211" s="175" t="s">
        <v>296</v>
      </c>
      <c r="R211" s="176">
        <v>2</v>
      </c>
      <c r="S211" s="175" t="str">
        <f t="shared" si="100"/>
        <v>piece</v>
      </c>
      <c r="T211" s="177">
        <f t="shared" si="101"/>
        <v>120</v>
      </c>
      <c r="U211" s="177">
        <f t="shared" si="102"/>
        <v>1.4</v>
      </c>
      <c r="V211" s="177">
        <f t="shared" si="103"/>
        <v>0.4</v>
      </c>
      <c r="W211" s="177">
        <f t="shared" si="104"/>
        <v>30</v>
      </c>
      <c r="X211" s="177">
        <f t="shared" si="105"/>
        <v>3.4</v>
      </c>
      <c r="Y211" s="175"/>
    </row>
    <row r="212" spans="14:25">
      <c r="N212" s="173">
        <v>46015</v>
      </c>
      <c r="O212" s="174">
        <v>0.45833333333333331</v>
      </c>
      <c r="P212" s="175" t="s">
        <v>289</v>
      </c>
      <c r="Q212" s="175" t="s">
        <v>190</v>
      </c>
      <c r="R212" s="176">
        <v>3</v>
      </c>
      <c r="S212" s="175" t="str">
        <f t="shared" si="100"/>
        <v>medium</v>
      </c>
      <c r="T212" s="177">
        <f t="shared" si="101"/>
        <v>186</v>
      </c>
      <c r="U212" s="177">
        <f t="shared" si="102"/>
        <v>3.5999999999999996</v>
      </c>
      <c r="V212" s="177">
        <f t="shared" si="103"/>
        <v>0.60000000000000009</v>
      </c>
      <c r="W212" s="177">
        <f t="shared" si="104"/>
        <v>46.2</v>
      </c>
      <c r="X212" s="177">
        <f t="shared" si="105"/>
        <v>9.3000000000000007</v>
      </c>
      <c r="Y212" s="175"/>
    </row>
    <row r="213" spans="14:25">
      <c r="N213" s="173">
        <v>46015</v>
      </c>
      <c r="O213" s="174">
        <v>0.5</v>
      </c>
      <c r="P213" s="175" t="s">
        <v>289</v>
      </c>
      <c r="Q213" s="226" t="s">
        <v>297</v>
      </c>
      <c r="R213" s="176">
        <v>0.5</v>
      </c>
      <c r="S213" s="175" t="str">
        <f t="shared" si="100"/>
        <v>pack</v>
      </c>
      <c r="T213" s="177">
        <f t="shared" si="101"/>
        <v>145</v>
      </c>
      <c r="U213" s="177">
        <f t="shared" si="102"/>
        <v>3</v>
      </c>
      <c r="V213" s="177">
        <f t="shared" si="103"/>
        <v>6.5</v>
      </c>
      <c r="W213" s="177">
        <f t="shared" si="104"/>
        <v>18</v>
      </c>
      <c r="X213" s="177">
        <f t="shared" si="105"/>
        <v>0</v>
      </c>
      <c r="Y213" s="175"/>
    </row>
    <row r="214" spans="14:25">
      <c r="N214" s="173">
        <v>46015</v>
      </c>
      <c r="O214" s="174">
        <v>0.5</v>
      </c>
      <c r="P214" s="175" t="s">
        <v>185</v>
      </c>
      <c r="Q214" s="175" t="s">
        <v>282</v>
      </c>
      <c r="R214" s="176">
        <v>2</v>
      </c>
      <c r="S214" s="175" t="str">
        <f t="shared" si="100"/>
        <v>bowl</v>
      </c>
      <c r="T214" s="177">
        <f t="shared" si="101"/>
        <v>640</v>
      </c>
      <c r="U214" s="177">
        <f t="shared" si="102"/>
        <v>30</v>
      </c>
      <c r="V214" s="177">
        <f t="shared" si="103"/>
        <v>36</v>
      </c>
      <c r="W214" s="177">
        <f t="shared" si="104"/>
        <v>40</v>
      </c>
      <c r="X214" s="177">
        <f t="shared" si="105"/>
        <v>6</v>
      </c>
      <c r="Y214" s="175"/>
    </row>
    <row r="215" spans="14:25">
      <c r="N215" s="173">
        <v>46015</v>
      </c>
      <c r="O215" s="174">
        <v>0.5</v>
      </c>
      <c r="P215" s="175" t="s">
        <v>185</v>
      </c>
      <c r="Q215" s="175" t="s">
        <v>180</v>
      </c>
      <c r="R215" s="176">
        <v>300</v>
      </c>
      <c r="S215" s="175" t="str">
        <f t="shared" si="100"/>
        <v>g</v>
      </c>
      <c r="T215" s="177">
        <f t="shared" si="101"/>
        <v>390</v>
      </c>
      <c r="U215" s="177">
        <f t="shared" si="102"/>
        <v>8.1000000000000014</v>
      </c>
      <c r="V215" s="177">
        <f t="shared" si="103"/>
        <v>0.89999999999999991</v>
      </c>
      <c r="W215" s="177">
        <f t="shared" si="104"/>
        <v>84</v>
      </c>
      <c r="X215" s="177">
        <f t="shared" si="105"/>
        <v>1.2000000000000002</v>
      </c>
      <c r="Y215" s="175"/>
    </row>
    <row r="216" spans="14:25">
      <c r="N216" s="173">
        <v>46015</v>
      </c>
      <c r="O216" s="174">
        <v>0.54166666666666663</v>
      </c>
      <c r="P216" s="175" t="s">
        <v>289</v>
      </c>
      <c r="Q216" s="175" t="s">
        <v>190</v>
      </c>
      <c r="R216" s="176">
        <v>1</v>
      </c>
      <c r="S216" s="175" t="str">
        <f t="shared" si="100"/>
        <v>medium</v>
      </c>
      <c r="T216" s="177">
        <f t="shared" si="101"/>
        <v>62</v>
      </c>
      <c r="U216" s="177">
        <f t="shared" si="102"/>
        <v>1.2</v>
      </c>
      <c r="V216" s="177">
        <f t="shared" si="103"/>
        <v>0.2</v>
      </c>
      <c r="W216" s="177">
        <f t="shared" si="104"/>
        <v>15.4</v>
      </c>
      <c r="X216" s="177">
        <f t="shared" si="105"/>
        <v>3.1</v>
      </c>
      <c r="Y216" s="175"/>
    </row>
    <row r="217" spans="14:25">
      <c r="N217" s="173">
        <v>46015</v>
      </c>
      <c r="O217" s="174">
        <v>0.625</v>
      </c>
      <c r="P217" s="175" t="s">
        <v>289</v>
      </c>
      <c r="Q217" s="175" t="s">
        <v>275</v>
      </c>
      <c r="R217" s="176">
        <v>2</v>
      </c>
      <c r="S217" s="175" t="str">
        <f t="shared" si="100"/>
        <v>piece</v>
      </c>
      <c r="T217" s="177">
        <f t="shared" si="101"/>
        <v>180</v>
      </c>
      <c r="U217" s="177">
        <f t="shared" si="102"/>
        <v>1</v>
      </c>
      <c r="V217" s="177">
        <f t="shared" si="103"/>
        <v>9</v>
      </c>
      <c r="W217" s="177">
        <f t="shared" si="104"/>
        <v>24</v>
      </c>
      <c r="X217" s="177">
        <f t="shared" si="105"/>
        <v>2</v>
      </c>
      <c r="Y217" s="175"/>
    </row>
    <row r="218" spans="14:25">
      <c r="N218" s="173">
        <v>46015</v>
      </c>
      <c r="O218" s="174">
        <v>0.66666666666666696</v>
      </c>
      <c r="P218" s="175" t="s">
        <v>289</v>
      </c>
      <c r="Q218" s="175" t="s">
        <v>190</v>
      </c>
      <c r="R218" s="176">
        <v>1</v>
      </c>
      <c r="S218" s="175" t="str">
        <f t="shared" si="100"/>
        <v>medium</v>
      </c>
      <c r="T218" s="177">
        <f t="shared" si="101"/>
        <v>62</v>
      </c>
      <c r="U218" s="177">
        <f t="shared" si="102"/>
        <v>1.2</v>
      </c>
      <c r="V218" s="177">
        <f t="shared" si="103"/>
        <v>0.2</v>
      </c>
      <c r="W218" s="177">
        <f t="shared" si="104"/>
        <v>15.4</v>
      </c>
      <c r="X218" s="177">
        <f t="shared" si="105"/>
        <v>3.1</v>
      </c>
      <c r="Y218" s="175"/>
    </row>
    <row r="219" spans="14:25">
      <c r="N219" s="173">
        <v>46015</v>
      </c>
      <c r="O219" s="174">
        <v>0.66666666666666696</v>
      </c>
      <c r="P219" s="175" t="s">
        <v>199</v>
      </c>
      <c r="Q219" s="175" t="s">
        <v>299</v>
      </c>
      <c r="R219" s="176">
        <v>0.3</v>
      </c>
      <c r="S219" s="175" t="str">
        <f t="shared" si="100"/>
        <v>pack</v>
      </c>
      <c r="T219" s="177">
        <f t="shared" si="101"/>
        <v>13.5</v>
      </c>
      <c r="U219" s="177">
        <f t="shared" si="102"/>
        <v>0.3</v>
      </c>
      <c r="V219" s="177">
        <f t="shared" si="103"/>
        <v>0.6</v>
      </c>
      <c r="W219" s="177">
        <f t="shared" si="104"/>
        <v>1.7999999999999998</v>
      </c>
      <c r="X219" s="177">
        <f t="shared" si="105"/>
        <v>0</v>
      </c>
      <c r="Y219" s="175"/>
    </row>
    <row r="220" spans="14:25">
      <c r="N220" s="173">
        <v>46015</v>
      </c>
      <c r="O220" s="174">
        <v>0.83333333333333337</v>
      </c>
      <c r="P220" s="175" t="s">
        <v>199</v>
      </c>
      <c r="Q220" s="175" t="s">
        <v>176</v>
      </c>
      <c r="R220" s="176">
        <v>340</v>
      </c>
      <c r="S220" s="175" t="str">
        <f t="shared" si="100"/>
        <v>g</v>
      </c>
      <c r="T220" s="177">
        <f t="shared" si="101"/>
        <v>561</v>
      </c>
      <c r="U220" s="177">
        <f t="shared" si="102"/>
        <v>85</v>
      </c>
      <c r="V220" s="177">
        <f t="shared" si="103"/>
        <v>12.24</v>
      </c>
      <c r="W220" s="177">
        <f t="shared" si="104"/>
        <v>0</v>
      </c>
      <c r="X220" s="177">
        <f t="shared" si="105"/>
        <v>0</v>
      </c>
      <c r="Y220" s="175"/>
    </row>
    <row r="221" spans="14:25">
      <c r="N221" s="173">
        <v>46015</v>
      </c>
      <c r="O221" s="174">
        <v>0.83333333333333337</v>
      </c>
      <c r="P221" s="175" t="s">
        <v>199</v>
      </c>
      <c r="Q221" s="175" t="s">
        <v>209</v>
      </c>
      <c r="R221" s="176">
        <v>0.5</v>
      </c>
      <c r="S221" s="175" t="str">
        <f t="shared" si="100"/>
        <v>tbsp</v>
      </c>
      <c r="T221" s="177">
        <f t="shared" si="101"/>
        <v>10</v>
      </c>
      <c r="U221" s="177">
        <f t="shared" si="102"/>
        <v>0</v>
      </c>
      <c r="V221" s="177">
        <f t="shared" si="103"/>
        <v>0</v>
      </c>
      <c r="W221" s="177">
        <f t="shared" si="104"/>
        <v>2.5</v>
      </c>
      <c r="X221" s="177">
        <f t="shared" si="105"/>
        <v>2.25</v>
      </c>
      <c r="Y221" s="175"/>
    </row>
    <row r="222" spans="14:25">
      <c r="N222" s="173">
        <v>46015</v>
      </c>
      <c r="O222" s="174">
        <v>0.83333333333333337</v>
      </c>
      <c r="P222" s="175" t="s">
        <v>199</v>
      </c>
      <c r="Q222" s="175" t="s">
        <v>214</v>
      </c>
      <c r="R222" s="176">
        <v>2</v>
      </c>
      <c r="S222" s="175" t="str">
        <f t="shared" si="100"/>
        <v>bar</v>
      </c>
      <c r="T222" s="177">
        <f t="shared" si="101"/>
        <v>134</v>
      </c>
      <c r="U222" s="177">
        <f t="shared" si="102"/>
        <v>2</v>
      </c>
      <c r="V222" s="177">
        <f t="shared" si="103"/>
        <v>7</v>
      </c>
      <c r="W222" s="177">
        <f t="shared" si="104"/>
        <v>44</v>
      </c>
      <c r="X222" s="177">
        <f t="shared" si="105"/>
        <v>0.6</v>
      </c>
      <c r="Y222" s="175"/>
    </row>
    <row r="223" spans="14:25">
      <c r="N223" s="178"/>
      <c r="O223" s="179" t="s">
        <v>217</v>
      </c>
      <c r="P223" s="180"/>
      <c r="Q223" s="180"/>
      <c r="R223" s="180"/>
      <c r="S223" s="180"/>
      <c r="T223" s="181">
        <f>SUM(T210:T222)</f>
        <v>2703.5</v>
      </c>
      <c r="U223" s="181">
        <f>SUM(U210:U222)</f>
        <v>171.8</v>
      </c>
      <c r="V223" s="181">
        <f>SUM(V210:V222)</f>
        <v>76.14</v>
      </c>
      <c r="W223" s="181">
        <f>SUM(W210:W222)</f>
        <v>330.3</v>
      </c>
      <c r="X223" s="181">
        <f>SUM(X210:X222)</f>
        <v>30.950000000000006</v>
      </c>
      <c r="Y223" s="175"/>
    </row>
    <row r="224" spans="14:25">
      <c r="N224" s="178"/>
      <c r="O224" s="179" t="s">
        <v>220</v>
      </c>
      <c r="P224" s="180"/>
      <c r="Q224" s="180"/>
      <c r="R224" s="180"/>
      <c r="S224" s="180"/>
      <c r="T224" s="182">
        <f>$B$27</f>
        <v>2228.28125</v>
      </c>
      <c r="U224" s="182">
        <f>$B$29</f>
        <v>140.4</v>
      </c>
      <c r="V224" s="182">
        <f>$B$30</f>
        <v>64.739999999999995</v>
      </c>
      <c r="W224" s="182">
        <f>$B$31</f>
        <v>271.0053125</v>
      </c>
      <c r="X224" s="182">
        <f>$B$32</f>
        <v>31.195937500000003</v>
      </c>
      <c r="Y224" s="175"/>
    </row>
    <row r="225" spans="14:25">
      <c r="N225" s="178"/>
      <c r="O225" s="179" t="s">
        <v>222</v>
      </c>
      <c r="P225" s="180"/>
      <c r="Q225" s="180"/>
      <c r="R225" s="180"/>
      <c r="S225" s="180"/>
      <c r="T225" s="182">
        <f>T223-T224</f>
        <v>475.21875</v>
      </c>
      <c r="U225" s="182">
        <f>U223-U224</f>
        <v>31.400000000000006</v>
      </c>
      <c r="V225" s="182">
        <f>V223-V224</f>
        <v>11.400000000000006</v>
      </c>
      <c r="W225" s="182">
        <f>W223-W224</f>
        <v>59.294687500000009</v>
      </c>
      <c r="X225" s="182">
        <f>X223-X224</f>
        <v>-0.24593749999999659</v>
      </c>
      <c r="Y225" s="175"/>
    </row>
    <row r="226" spans="14:25">
      <c r="N226" s="173">
        <v>46016</v>
      </c>
      <c r="O226" s="174">
        <v>0.33333333333333331</v>
      </c>
      <c r="P226" s="175" t="s">
        <v>178</v>
      </c>
      <c r="Q226" s="175" t="s">
        <v>300</v>
      </c>
      <c r="R226" s="176">
        <v>0.5</v>
      </c>
      <c r="S226" s="175" t="str">
        <f t="shared" ref="S226:S237" si="106">IFERROR(VLOOKUP(Q226, $E$5:$L$109, 3, FALSE), "")</f>
        <v>bottle</v>
      </c>
      <c r="T226" s="177">
        <f t="shared" ref="T226:T237" si="107">IFERROR(VLOOKUP(Q226, $E$5:$L$109, 4, FALSE) * (R226 / VLOOKUP(Q226, $E$5:$L$109, 2, FALSE)), "")</f>
        <v>125</v>
      </c>
      <c r="U226" s="177">
        <f t="shared" ref="U226:U237" si="108">IFERROR(VLOOKUP(Q226, $E$5:$L$109, 5, FALSE) * (R226 / VLOOKUP(Q226, $E$5:$L$109, 2, FALSE)), "")</f>
        <v>16.5</v>
      </c>
      <c r="V226" s="177">
        <f t="shared" ref="V226:V237" si="109">IFERROR(VLOOKUP(Q226, $E$5:$L$109, 6, FALSE) * (R226 / VLOOKUP(Q226, $E$5:$L$109, 2, FALSE)), "")</f>
        <v>2</v>
      </c>
      <c r="W226" s="177">
        <f t="shared" ref="W226:W237" si="110">IFERROR(VLOOKUP(Q226, $E$5:$L$109, 7, FALSE) * (R226 / VLOOKUP(Q226, $E$5:$L$109, 2, FALSE)), "")</f>
        <v>10.5</v>
      </c>
      <c r="X226" s="177">
        <f t="shared" ref="X226:X237" si="111">IFERROR(VLOOKUP(Q226, $E$5:$L$109, 8, FALSE) * (R226 / VLOOKUP(Q226, $E$5:$L$109, 2, FALSE)), "")</f>
        <v>0</v>
      </c>
      <c r="Y226" s="175"/>
    </row>
    <row r="227" spans="14:25">
      <c r="N227" s="173">
        <v>46016</v>
      </c>
      <c r="O227" s="174">
        <v>0.33333333333333331</v>
      </c>
      <c r="P227" s="175" t="s">
        <v>289</v>
      </c>
      <c r="Q227" s="175" t="s">
        <v>279</v>
      </c>
      <c r="R227" s="176">
        <v>2</v>
      </c>
      <c r="S227" s="175" t="str">
        <f t="shared" si="106"/>
        <v>medium</v>
      </c>
      <c r="T227" s="177">
        <f t="shared" si="107"/>
        <v>68</v>
      </c>
      <c r="U227" s="177">
        <f t="shared" si="108"/>
        <v>1.2</v>
      </c>
      <c r="V227" s="177">
        <f t="shared" si="109"/>
        <v>0.4</v>
      </c>
      <c r="W227" s="177">
        <f t="shared" si="110"/>
        <v>16.399999999999999</v>
      </c>
      <c r="X227" s="177">
        <f t="shared" si="111"/>
        <v>4.2</v>
      </c>
      <c r="Y227" s="175"/>
    </row>
    <row r="228" spans="14:25">
      <c r="N228" s="173">
        <v>46016</v>
      </c>
      <c r="O228" s="174">
        <v>0.375</v>
      </c>
      <c r="P228" s="175" t="s">
        <v>178</v>
      </c>
      <c r="Q228" s="175" t="s">
        <v>181</v>
      </c>
      <c r="R228" s="176">
        <v>2</v>
      </c>
      <c r="S228" s="175" t="str">
        <f t="shared" si="106"/>
        <v>slice</v>
      </c>
      <c r="T228" s="177">
        <f t="shared" si="107"/>
        <v>140</v>
      </c>
      <c r="U228" s="177">
        <f t="shared" si="108"/>
        <v>5</v>
      </c>
      <c r="V228" s="177">
        <f t="shared" si="109"/>
        <v>2.5</v>
      </c>
      <c r="W228" s="177">
        <f t="shared" si="110"/>
        <v>24</v>
      </c>
      <c r="X228" s="177">
        <f t="shared" si="111"/>
        <v>2</v>
      </c>
      <c r="Y228" s="175"/>
    </row>
    <row r="229" spans="14:25">
      <c r="N229" s="173">
        <v>46016</v>
      </c>
      <c r="O229" s="174">
        <v>0.5</v>
      </c>
      <c r="P229" s="175" t="s">
        <v>185</v>
      </c>
      <c r="Q229" s="175" t="s">
        <v>247</v>
      </c>
      <c r="R229" s="176">
        <v>1</v>
      </c>
      <c r="S229" s="175" t="str">
        <f t="shared" si="106"/>
        <v>large bowl</v>
      </c>
      <c r="T229" s="177">
        <f t="shared" si="107"/>
        <v>400</v>
      </c>
      <c r="U229" s="177">
        <f t="shared" si="108"/>
        <v>20</v>
      </c>
      <c r="V229" s="177">
        <f t="shared" si="109"/>
        <v>10</v>
      </c>
      <c r="W229" s="177">
        <f t="shared" si="110"/>
        <v>55</v>
      </c>
      <c r="X229" s="177">
        <f t="shared" si="111"/>
        <v>3</v>
      </c>
      <c r="Y229" s="175"/>
    </row>
    <row r="230" spans="14:25">
      <c r="N230" s="173">
        <v>46016</v>
      </c>
      <c r="O230" s="174">
        <v>0.58333333333333337</v>
      </c>
      <c r="P230" s="175" t="s">
        <v>289</v>
      </c>
      <c r="Q230" s="175" t="s">
        <v>301</v>
      </c>
      <c r="R230" s="176">
        <v>2</v>
      </c>
      <c r="S230" s="175" t="str">
        <f t="shared" si="106"/>
        <v>bar</v>
      </c>
      <c r="T230" s="177">
        <f t="shared" si="107"/>
        <v>320</v>
      </c>
      <c r="U230" s="177">
        <f t="shared" si="108"/>
        <v>4</v>
      </c>
      <c r="V230" s="177">
        <f t="shared" si="109"/>
        <v>16</v>
      </c>
      <c r="W230" s="177">
        <f t="shared" si="110"/>
        <v>38</v>
      </c>
      <c r="X230" s="177">
        <f t="shared" si="111"/>
        <v>0</v>
      </c>
      <c r="Y230" s="175"/>
    </row>
    <row r="231" spans="14:25">
      <c r="N231" s="173">
        <v>46016</v>
      </c>
      <c r="O231" s="174">
        <v>0.83333333333333337</v>
      </c>
      <c r="P231" s="175" t="s">
        <v>199</v>
      </c>
      <c r="Q231" s="175" t="s">
        <v>302</v>
      </c>
      <c r="R231" s="176">
        <v>1.5</v>
      </c>
      <c r="S231" s="175" t="str">
        <f t="shared" si="106"/>
        <v>order</v>
      </c>
      <c r="T231" s="177">
        <f t="shared" si="107"/>
        <v>675</v>
      </c>
      <c r="U231" s="177">
        <f t="shared" si="108"/>
        <v>52.5</v>
      </c>
      <c r="V231" s="177">
        <f t="shared" si="109"/>
        <v>48</v>
      </c>
      <c r="W231" s="177">
        <f t="shared" si="110"/>
        <v>7.5</v>
      </c>
      <c r="X231" s="177">
        <f t="shared" si="111"/>
        <v>0</v>
      </c>
      <c r="Y231" s="175"/>
    </row>
    <row r="232" spans="14:25">
      <c r="N232" s="173">
        <v>46016</v>
      </c>
      <c r="O232" s="174">
        <v>0.83333333333333337</v>
      </c>
      <c r="P232" s="175" t="s">
        <v>199</v>
      </c>
      <c r="Q232" s="175" t="s">
        <v>304</v>
      </c>
      <c r="R232" s="176">
        <v>3</v>
      </c>
      <c r="S232" s="175" t="str">
        <f t="shared" si="106"/>
        <v>glass</v>
      </c>
      <c r="T232" s="177">
        <f t="shared" si="107"/>
        <v>450</v>
      </c>
      <c r="U232" s="177">
        <f t="shared" si="108"/>
        <v>3</v>
      </c>
      <c r="V232" s="177">
        <f t="shared" si="109"/>
        <v>0</v>
      </c>
      <c r="W232" s="177">
        <f t="shared" si="110"/>
        <v>39</v>
      </c>
      <c r="X232" s="177">
        <f t="shared" si="111"/>
        <v>0</v>
      </c>
      <c r="Y232" s="175"/>
    </row>
    <row r="233" spans="14:25">
      <c r="N233" s="173">
        <v>46016</v>
      </c>
      <c r="O233" s="174">
        <v>0.83333333333333337</v>
      </c>
      <c r="P233" s="175" t="s">
        <v>199</v>
      </c>
      <c r="Q233" s="175" t="s">
        <v>295</v>
      </c>
      <c r="R233" s="176">
        <v>1</v>
      </c>
      <c r="S233" s="175" t="str">
        <f t="shared" si="106"/>
        <v>bottle</v>
      </c>
      <c r="T233" s="177">
        <f t="shared" si="107"/>
        <v>200</v>
      </c>
      <c r="U233" s="177">
        <f t="shared" si="108"/>
        <v>35</v>
      </c>
      <c r="V233" s="177">
        <f t="shared" si="109"/>
        <v>2.5</v>
      </c>
      <c r="W233" s="177">
        <f t="shared" si="110"/>
        <v>9</v>
      </c>
      <c r="X233" s="177">
        <f t="shared" si="111"/>
        <v>0</v>
      </c>
      <c r="Y233" s="175"/>
    </row>
    <row r="234" spans="14:25">
      <c r="N234" s="173">
        <v>46016</v>
      </c>
      <c r="O234" s="174">
        <v>0.875</v>
      </c>
      <c r="P234" s="175" t="s">
        <v>199</v>
      </c>
      <c r="Q234" s="175" t="s">
        <v>181</v>
      </c>
      <c r="R234" s="176">
        <v>2</v>
      </c>
      <c r="S234" s="175" t="str">
        <f t="shared" si="106"/>
        <v>slice</v>
      </c>
      <c r="T234" s="177">
        <f t="shared" si="107"/>
        <v>140</v>
      </c>
      <c r="U234" s="177">
        <f t="shared" si="108"/>
        <v>5</v>
      </c>
      <c r="V234" s="177">
        <f t="shared" si="109"/>
        <v>2.5</v>
      </c>
      <c r="W234" s="177">
        <f t="shared" si="110"/>
        <v>24</v>
      </c>
      <c r="X234" s="177">
        <f t="shared" si="111"/>
        <v>2</v>
      </c>
      <c r="Y234" s="175"/>
    </row>
    <row r="235" spans="14:25">
      <c r="N235" s="173">
        <v>46016</v>
      </c>
      <c r="O235" s="174">
        <v>0.875</v>
      </c>
      <c r="P235" s="175" t="s">
        <v>199</v>
      </c>
      <c r="Q235" s="175" t="s">
        <v>209</v>
      </c>
      <c r="R235" s="176">
        <v>3</v>
      </c>
      <c r="S235" s="175" t="str">
        <f t="shared" si="106"/>
        <v>tbsp</v>
      </c>
      <c r="T235" s="177">
        <f t="shared" si="107"/>
        <v>60</v>
      </c>
      <c r="U235" s="177">
        <f t="shared" si="108"/>
        <v>0</v>
      </c>
      <c r="V235" s="177">
        <f t="shared" si="109"/>
        <v>0</v>
      </c>
      <c r="W235" s="177">
        <f t="shared" si="110"/>
        <v>15</v>
      </c>
      <c r="X235" s="177">
        <f t="shared" si="111"/>
        <v>13.5</v>
      </c>
      <c r="Y235" s="175"/>
    </row>
    <row r="236" spans="14:25">
      <c r="N236" s="173">
        <v>46016</v>
      </c>
      <c r="O236" s="174">
        <v>0.875</v>
      </c>
      <c r="P236" s="175" t="s">
        <v>199</v>
      </c>
      <c r="Q236" s="175" t="s">
        <v>212</v>
      </c>
      <c r="R236" s="176">
        <v>1</v>
      </c>
      <c r="S236" s="175" t="str">
        <f t="shared" si="106"/>
        <v>bottle</v>
      </c>
      <c r="T236" s="177">
        <f t="shared" si="107"/>
        <v>70</v>
      </c>
      <c r="U236" s="177">
        <f t="shared" si="108"/>
        <v>0</v>
      </c>
      <c r="V236" s="177">
        <f t="shared" si="109"/>
        <v>0</v>
      </c>
      <c r="W236" s="177">
        <f t="shared" si="110"/>
        <v>17</v>
      </c>
      <c r="X236" s="177">
        <f t="shared" si="111"/>
        <v>1</v>
      </c>
      <c r="Y236" s="175"/>
    </row>
    <row r="237" spans="14:25">
      <c r="N237" s="173">
        <v>46016</v>
      </c>
      <c r="O237" s="174">
        <v>0.95833333333333337</v>
      </c>
      <c r="P237" s="175" t="s">
        <v>289</v>
      </c>
      <c r="Q237" s="175" t="s">
        <v>219</v>
      </c>
      <c r="R237" s="176">
        <v>1</v>
      </c>
      <c r="S237" s="175" t="str">
        <f t="shared" si="106"/>
        <v>bottle</v>
      </c>
      <c r="T237" s="177">
        <f t="shared" si="107"/>
        <v>0</v>
      </c>
      <c r="U237" s="177">
        <f t="shared" si="108"/>
        <v>0</v>
      </c>
      <c r="V237" s="177">
        <f t="shared" si="109"/>
        <v>0</v>
      </c>
      <c r="W237" s="177">
        <f t="shared" si="110"/>
        <v>0</v>
      </c>
      <c r="X237" s="177">
        <f t="shared" si="111"/>
        <v>0</v>
      </c>
      <c r="Y237" s="175"/>
    </row>
    <row r="238" spans="14:25">
      <c r="N238" s="178"/>
      <c r="O238" s="179" t="s">
        <v>217</v>
      </c>
      <c r="P238" s="180"/>
      <c r="Q238" s="180"/>
      <c r="R238" s="180"/>
      <c r="S238" s="180"/>
      <c r="T238" s="181">
        <f>SUM(T226:T237)</f>
        <v>2648</v>
      </c>
      <c r="U238" s="181">
        <f>SUM(U226:U237)</f>
        <v>142.19999999999999</v>
      </c>
      <c r="V238" s="181">
        <f>SUM(V226:V237)</f>
        <v>83.9</v>
      </c>
      <c r="W238" s="181">
        <f>SUM(W226:W237)</f>
        <v>255.4</v>
      </c>
      <c r="X238" s="181">
        <f>SUM(X226:X237)</f>
        <v>25.7</v>
      </c>
      <c r="Y238" s="175"/>
    </row>
    <row r="239" spans="14:25">
      <c r="N239" s="178"/>
      <c r="O239" s="179" t="s">
        <v>220</v>
      </c>
      <c r="P239" s="180"/>
      <c r="Q239" s="180"/>
      <c r="R239" s="180"/>
      <c r="S239" s="180"/>
      <c r="T239" s="182">
        <f>$B$27</f>
        <v>2228.28125</v>
      </c>
      <c r="U239" s="182">
        <f>$B$29</f>
        <v>140.4</v>
      </c>
      <c r="V239" s="182">
        <f>$B$30</f>
        <v>64.739999999999995</v>
      </c>
      <c r="W239" s="182">
        <f>$B$31</f>
        <v>271.0053125</v>
      </c>
      <c r="X239" s="182">
        <f>$B$32</f>
        <v>31.195937500000003</v>
      </c>
      <c r="Y239" s="175"/>
    </row>
    <row r="240" spans="14:25">
      <c r="N240" s="178"/>
      <c r="O240" s="179" t="s">
        <v>222</v>
      </c>
      <c r="P240" s="180"/>
      <c r="Q240" s="180"/>
      <c r="R240" s="180"/>
      <c r="S240" s="180"/>
      <c r="T240" s="182">
        <f>T238-T239</f>
        <v>419.71875</v>
      </c>
      <c r="U240" s="182">
        <f>U238-U239</f>
        <v>1.7999999999999829</v>
      </c>
      <c r="V240" s="182">
        <f>V238-V239</f>
        <v>19.160000000000011</v>
      </c>
      <c r="W240" s="182">
        <f>W238-W239</f>
        <v>-15.605312499999997</v>
      </c>
      <c r="X240" s="182">
        <f>X238-X239</f>
        <v>-5.4959375000000037</v>
      </c>
      <c r="Y240" s="175"/>
    </row>
    <row r="241" spans="14:25">
      <c r="N241" s="173">
        <v>46017</v>
      </c>
      <c r="O241" s="174">
        <v>0.33333333333333331</v>
      </c>
      <c r="P241" s="175" t="s">
        <v>178</v>
      </c>
      <c r="Q241" s="175" t="s">
        <v>295</v>
      </c>
      <c r="R241" s="176">
        <v>1</v>
      </c>
      <c r="S241" s="175" t="str">
        <f t="shared" ref="S241:S253" si="112">IFERROR(VLOOKUP(Q241, $E$5:$L$109, 3, FALSE), "")</f>
        <v>bottle</v>
      </c>
      <c r="T241" s="177">
        <f t="shared" ref="T241:T253" si="113">IFERROR(VLOOKUP(Q241, $E$5:$L$109, 4, FALSE) * (R241 / VLOOKUP(Q241, $E$5:$L$109, 2, FALSE)), "")</f>
        <v>200</v>
      </c>
      <c r="U241" s="177">
        <f t="shared" ref="U241:U253" si="114">IFERROR(VLOOKUP(Q241, $E$5:$L$109, 5, FALSE) * (R241 / VLOOKUP(Q241, $E$5:$L$109, 2, FALSE)), "")</f>
        <v>35</v>
      </c>
      <c r="V241" s="177">
        <f t="shared" ref="V241:V253" si="115">IFERROR(VLOOKUP(Q241, $E$5:$L$109, 6, FALSE) * (R241 / VLOOKUP(Q241, $E$5:$L$109, 2, FALSE)), "")</f>
        <v>2.5</v>
      </c>
      <c r="W241" s="177">
        <f t="shared" ref="W241:W253" si="116">IFERROR(VLOOKUP(Q241, $E$5:$L$109, 7, FALSE) * (R241 / VLOOKUP(Q241, $E$5:$L$109, 2, FALSE)), "")</f>
        <v>9</v>
      </c>
      <c r="X241" s="177">
        <f t="shared" ref="X241:X253" si="117">IFERROR(VLOOKUP(Q241, $E$5:$L$109, 8, FALSE) * (R241 / VLOOKUP(Q241, $E$5:$L$109, 2, FALSE)), "")</f>
        <v>0</v>
      </c>
      <c r="Y241" s="175"/>
    </row>
    <row r="242" spans="14:25">
      <c r="N242" s="173">
        <v>46017</v>
      </c>
      <c r="O242" s="174">
        <v>0.45833333333333331</v>
      </c>
      <c r="P242" s="175" t="s">
        <v>289</v>
      </c>
      <c r="Q242" s="175" t="s">
        <v>306</v>
      </c>
      <c r="R242" s="176">
        <v>1</v>
      </c>
      <c r="S242" s="175" t="str">
        <f t="shared" si="112"/>
        <v>can</v>
      </c>
      <c r="T242" s="177">
        <f t="shared" si="113"/>
        <v>260</v>
      </c>
      <c r="U242" s="177">
        <f t="shared" si="114"/>
        <v>2</v>
      </c>
      <c r="V242" s="177">
        <f t="shared" si="115"/>
        <v>17</v>
      </c>
      <c r="W242" s="177">
        <f t="shared" si="116"/>
        <v>30</v>
      </c>
      <c r="X242" s="177">
        <f t="shared" si="117"/>
        <v>1</v>
      </c>
      <c r="Y242" s="175"/>
    </row>
    <row r="243" spans="14:25">
      <c r="N243" s="173">
        <v>46017</v>
      </c>
      <c r="O243" s="174">
        <v>0.5</v>
      </c>
      <c r="P243" s="175" t="s">
        <v>289</v>
      </c>
      <c r="Q243" s="175" t="s">
        <v>251</v>
      </c>
      <c r="R243" s="176">
        <v>1</v>
      </c>
      <c r="S243" s="175" t="str">
        <f t="shared" si="112"/>
        <v>medium</v>
      </c>
      <c r="T243" s="177">
        <f t="shared" si="113"/>
        <v>55</v>
      </c>
      <c r="U243" s="177">
        <f t="shared" si="114"/>
        <v>1</v>
      </c>
      <c r="V243" s="177">
        <f t="shared" si="115"/>
        <v>0.5</v>
      </c>
      <c r="W243" s="177">
        <f t="shared" si="116"/>
        <v>13</v>
      </c>
      <c r="X243" s="177">
        <f t="shared" si="117"/>
        <v>2.5</v>
      </c>
      <c r="Y243" s="175"/>
    </row>
    <row r="244" spans="14:25">
      <c r="N244" s="173">
        <v>46017</v>
      </c>
      <c r="O244" s="174">
        <v>0.5</v>
      </c>
      <c r="P244" s="175" t="s">
        <v>185</v>
      </c>
      <c r="Q244" s="175" t="s">
        <v>176</v>
      </c>
      <c r="R244" s="176">
        <v>278</v>
      </c>
      <c r="S244" s="175" t="str">
        <f t="shared" si="112"/>
        <v>g</v>
      </c>
      <c r="T244" s="177">
        <f t="shared" si="113"/>
        <v>458.7</v>
      </c>
      <c r="U244" s="177">
        <f t="shared" si="114"/>
        <v>69.5</v>
      </c>
      <c r="V244" s="177">
        <f t="shared" si="115"/>
        <v>10.007999999999999</v>
      </c>
      <c r="W244" s="177">
        <f t="shared" si="116"/>
        <v>0</v>
      </c>
      <c r="X244" s="177">
        <f t="shared" si="117"/>
        <v>0</v>
      </c>
      <c r="Y244" s="175"/>
    </row>
    <row r="245" spans="14:25">
      <c r="N245" s="173">
        <v>46017</v>
      </c>
      <c r="O245" s="174">
        <v>0.5</v>
      </c>
      <c r="P245" s="175" t="s">
        <v>185</v>
      </c>
      <c r="Q245" s="175" t="s">
        <v>181</v>
      </c>
      <c r="R245" s="176">
        <v>2</v>
      </c>
      <c r="S245" s="175" t="str">
        <f t="shared" si="112"/>
        <v>slice</v>
      </c>
      <c r="T245" s="177">
        <f t="shared" si="113"/>
        <v>140</v>
      </c>
      <c r="U245" s="177">
        <f t="shared" si="114"/>
        <v>5</v>
      </c>
      <c r="V245" s="177">
        <f t="shared" si="115"/>
        <v>2.5</v>
      </c>
      <c r="W245" s="177">
        <f t="shared" si="116"/>
        <v>24</v>
      </c>
      <c r="X245" s="177">
        <f t="shared" si="117"/>
        <v>2</v>
      </c>
      <c r="Y245" s="175"/>
    </row>
    <row r="246" spans="14:25">
      <c r="N246" s="173">
        <v>46017</v>
      </c>
      <c r="O246" s="174">
        <v>0.54166666666666663</v>
      </c>
      <c r="P246" s="175" t="s">
        <v>185</v>
      </c>
      <c r="Q246" s="175" t="s">
        <v>308</v>
      </c>
      <c r="R246" s="176">
        <v>5</v>
      </c>
      <c r="S246" s="175" t="str">
        <f t="shared" si="112"/>
        <v>piece</v>
      </c>
      <c r="T246" s="177">
        <f t="shared" si="113"/>
        <v>550</v>
      </c>
      <c r="U246" s="177">
        <f t="shared" si="114"/>
        <v>40</v>
      </c>
      <c r="V246" s="177">
        <f t="shared" si="115"/>
        <v>35</v>
      </c>
      <c r="W246" s="177">
        <f t="shared" si="116"/>
        <v>25</v>
      </c>
      <c r="X246" s="177">
        <f t="shared" si="117"/>
        <v>0</v>
      </c>
      <c r="Y246" s="175"/>
    </row>
    <row r="247" spans="14:25">
      <c r="N247" s="173">
        <v>46017</v>
      </c>
      <c r="O247" s="174">
        <v>0.58333333333333337</v>
      </c>
      <c r="P247" s="175" t="s">
        <v>289</v>
      </c>
      <c r="Q247" s="175" t="s">
        <v>307</v>
      </c>
      <c r="R247" s="176">
        <v>5</v>
      </c>
      <c r="S247" s="175" t="str">
        <f t="shared" si="112"/>
        <v>piece</v>
      </c>
      <c r="T247" s="177">
        <f t="shared" si="113"/>
        <v>25</v>
      </c>
      <c r="U247" s="177">
        <f t="shared" si="114"/>
        <v>0.5</v>
      </c>
      <c r="V247" s="177">
        <f t="shared" si="115"/>
        <v>0</v>
      </c>
      <c r="W247" s="177">
        <f t="shared" si="116"/>
        <v>6.5</v>
      </c>
      <c r="X247" s="177">
        <f t="shared" si="117"/>
        <v>0.5</v>
      </c>
      <c r="Y247" s="175"/>
    </row>
    <row r="248" spans="14:25">
      <c r="N248" s="173">
        <v>46017</v>
      </c>
      <c r="O248" s="174">
        <v>0.66666666666666663</v>
      </c>
      <c r="P248" s="175" t="s">
        <v>289</v>
      </c>
      <c r="Q248" s="175" t="s">
        <v>309</v>
      </c>
      <c r="R248" s="187">
        <v>0.16666666666666666</v>
      </c>
      <c r="S248" s="175" t="str">
        <f t="shared" si="112"/>
        <v>can</v>
      </c>
      <c r="T248" s="177">
        <f t="shared" si="113"/>
        <v>170</v>
      </c>
      <c r="U248" s="177">
        <f t="shared" si="114"/>
        <v>3</v>
      </c>
      <c r="V248" s="177">
        <f t="shared" si="115"/>
        <v>11</v>
      </c>
      <c r="W248" s="177">
        <f t="shared" si="116"/>
        <v>14</v>
      </c>
      <c r="X248" s="177">
        <f t="shared" si="117"/>
        <v>0</v>
      </c>
      <c r="Y248" s="175"/>
    </row>
    <row r="249" spans="14:25">
      <c r="N249" s="173">
        <v>46017</v>
      </c>
      <c r="O249" s="174">
        <v>0.83333333333333337</v>
      </c>
      <c r="P249" s="175" t="s">
        <v>289</v>
      </c>
      <c r="Q249" s="175" t="s">
        <v>214</v>
      </c>
      <c r="R249" s="176">
        <v>1</v>
      </c>
      <c r="S249" s="175" t="str">
        <f t="shared" si="112"/>
        <v>bar</v>
      </c>
      <c r="T249" s="177">
        <f t="shared" si="113"/>
        <v>67</v>
      </c>
      <c r="U249" s="177">
        <f t="shared" si="114"/>
        <v>1</v>
      </c>
      <c r="V249" s="177">
        <f t="shared" si="115"/>
        <v>3.5</v>
      </c>
      <c r="W249" s="177">
        <f t="shared" si="116"/>
        <v>22</v>
      </c>
      <c r="X249" s="177">
        <f t="shared" si="117"/>
        <v>0.3</v>
      </c>
      <c r="Y249" s="175"/>
    </row>
    <row r="250" spans="14:25">
      <c r="N250" s="173">
        <v>46017</v>
      </c>
      <c r="O250" s="174">
        <v>0.83333333333333337</v>
      </c>
      <c r="P250" s="175" t="s">
        <v>199</v>
      </c>
      <c r="Q250" s="175" t="s">
        <v>219</v>
      </c>
      <c r="R250" s="176">
        <v>1</v>
      </c>
      <c r="S250" s="175" t="str">
        <f t="shared" si="112"/>
        <v>bottle</v>
      </c>
      <c r="T250" s="177">
        <f t="shared" si="113"/>
        <v>0</v>
      </c>
      <c r="U250" s="177">
        <f t="shared" si="114"/>
        <v>0</v>
      </c>
      <c r="V250" s="177">
        <f t="shared" si="115"/>
        <v>0</v>
      </c>
      <c r="W250" s="177">
        <f t="shared" si="116"/>
        <v>0</v>
      </c>
      <c r="X250" s="177">
        <f t="shared" si="117"/>
        <v>0</v>
      </c>
      <c r="Y250" s="175"/>
    </row>
    <row r="251" spans="14:25">
      <c r="N251" s="173">
        <v>46017</v>
      </c>
      <c r="O251" s="174">
        <v>0.83333333333333337</v>
      </c>
      <c r="P251" s="175" t="s">
        <v>199</v>
      </c>
      <c r="Q251" s="175" t="s">
        <v>209</v>
      </c>
      <c r="R251" s="176">
        <v>3</v>
      </c>
      <c r="S251" s="175" t="str">
        <f t="shared" si="112"/>
        <v>tbsp</v>
      </c>
      <c r="T251" s="177">
        <f t="shared" si="113"/>
        <v>60</v>
      </c>
      <c r="U251" s="177">
        <f t="shared" si="114"/>
        <v>0</v>
      </c>
      <c r="V251" s="177">
        <f t="shared" si="115"/>
        <v>0</v>
      </c>
      <c r="W251" s="177">
        <f t="shared" si="116"/>
        <v>15</v>
      </c>
      <c r="X251" s="177">
        <f t="shared" si="117"/>
        <v>13.5</v>
      </c>
      <c r="Y251" s="175"/>
    </row>
    <row r="252" spans="14:25">
      <c r="N252" s="173">
        <v>46017</v>
      </c>
      <c r="O252" s="174">
        <v>0.83333333333333337</v>
      </c>
      <c r="P252" s="175" t="s">
        <v>199</v>
      </c>
      <c r="Q252" s="175" t="s">
        <v>212</v>
      </c>
      <c r="R252" s="176">
        <v>1</v>
      </c>
      <c r="S252" s="175" t="str">
        <f t="shared" si="112"/>
        <v>bottle</v>
      </c>
      <c r="T252" s="177">
        <f t="shared" si="113"/>
        <v>70</v>
      </c>
      <c r="U252" s="177">
        <f t="shared" si="114"/>
        <v>0</v>
      </c>
      <c r="V252" s="177">
        <f t="shared" si="115"/>
        <v>0</v>
      </c>
      <c r="W252" s="177">
        <f t="shared" si="116"/>
        <v>17</v>
      </c>
      <c r="X252" s="177">
        <f t="shared" si="117"/>
        <v>1</v>
      </c>
      <c r="Y252" s="175"/>
    </row>
    <row r="253" spans="14:25">
      <c r="N253" s="173">
        <v>46017</v>
      </c>
      <c r="O253" s="174">
        <v>0.91666666666666663</v>
      </c>
      <c r="P253" s="175" t="s">
        <v>199</v>
      </c>
      <c r="Q253" s="175" t="s">
        <v>181</v>
      </c>
      <c r="R253" s="176">
        <v>4</v>
      </c>
      <c r="S253" s="175" t="str">
        <f t="shared" si="112"/>
        <v>slice</v>
      </c>
      <c r="T253" s="177">
        <f t="shared" si="113"/>
        <v>280</v>
      </c>
      <c r="U253" s="177">
        <f t="shared" si="114"/>
        <v>10</v>
      </c>
      <c r="V253" s="177">
        <f t="shared" si="115"/>
        <v>5</v>
      </c>
      <c r="W253" s="177">
        <f t="shared" si="116"/>
        <v>48</v>
      </c>
      <c r="X253" s="177">
        <f t="shared" si="117"/>
        <v>4</v>
      </c>
      <c r="Y253" s="175"/>
    </row>
    <row r="254" spans="14:25">
      <c r="N254" s="178"/>
      <c r="O254" s="179" t="s">
        <v>217</v>
      </c>
      <c r="P254" s="180"/>
      <c r="Q254" s="180"/>
      <c r="R254" s="180"/>
      <c r="S254" s="180"/>
      <c r="T254" s="181">
        <f>SUM(T241:T253)</f>
        <v>2335.6999999999998</v>
      </c>
      <c r="U254" s="181">
        <f>SUM(U241:U253)</f>
        <v>167</v>
      </c>
      <c r="V254" s="181">
        <f>SUM(V241:V253)</f>
        <v>87.007999999999996</v>
      </c>
      <c r="W254" s="181">
        <f>SUM(W241:W253)</f>
        <v>223.5</v>
      </c>
      <c r="X254" s="181">
        <f>SUM(X241:X253)</f>
        <v>24.8</v>
      </c>
      <c r="Y254" s="175"/>
    </row>
    <row r="255" spans="14:25">
      <c r="N255" s="178"/>
      <c r="O255" s="179" t="s">
        <v>220</v>
      </c>
      <c r="P255" s="180"/>
      <c r="Q255" s="180"/>
      <c r="R255" s="180"/>
      <c r="S255" s="180"/>
      <c r="T255" s="182">
        <f>$B$27</f>
        <v>2228.28125</v>
      </c>
      <c r="U255" s="182">
        <f>$B$29</f>
        <v>140.4</v>
      </c>
      <c r="V255" s="182">
        <f>$B$30</f>
        <v>64.739999999999995</v>
      </c>
      <c r="W255" s="182">
        <f>$B$31</f>
        <v>271.0053125</v>
      </c>
      <c r="X255" s="182">
        <f>$B$32</f>
        <v>31.195937500000003</v>
      </c>
      <c r="Y255" s="175"/>
    </row>
    <row r="256" spans="14:25">
      <c r="N256" s="178"/>
      <c r="O256" s="179" t="s">
        <v>222</v>
      </c>
      <c r="P256" s="180"/>
      <c r="Q256" s="180"/>
      <c r="R256" s="180"/>
      <c r="S256" s="180"/>
      <c r="T256" s="182">
        <f>T254-T255</f>
        <v>107.41874999999982</v>
      </c>
      <c r="U256" s="182">
        <f>U254-U255</f>
        <v>26.599999999999994</v>
      </c>
      <c r="V256" s="182">
        <f>V254-V255</f>
        <v>22.268000000000001</v>
      </c>
      <c r="W256" s="182">
        <f>W254-W255</f>
        <v>-47.505312500000002</v>
      </c>
      <c r="X256" s="182">
        <f>X254-X255</f>
        <v>-6.3959375000000023</v>
      </c>
      <c r="Y256" s="175"/>
    </row>
    <row r="257" spans="14:25">
      <c r="N257" s="173">
        <v>46018</v>
      </c>
      <c r="O257" s="174">
        <v>0.5</v>
      </c>
      <c r="P257" s="175" t="s">
        <v>185</v>
      </c>
      <c r="Q257" s="175" t="s">
        <v>176</v>
      </c>
      <c r="R257" s="176">
        <v>284</v>
      </c>
      <c r="S257" s="175" t="str">
        <f t="shared" ref="S257:S262" si="118">IFERROR(VLOOKUP(Q257, $E$5:$L$109, 3, FALSE), "")</f>
        <v>g</v>
      </c>
      <c r="T257" s="177">
        <f t="shared" ref="T257:T262" si="119">IFERROR(VLOOKUP(Q257, $E$5:$L$109, 4, FALSE) * (R257 / VLOOKUP(Q257, $E$5:$L$109, 2, FALSE)), "")</f>
        <v>468.59999999999997</v>
      </c>
      <c r="U257" s="177">
        <f t="shared" ref="U257:U262" si="120">IFERROR(VLOOKUP(Q257, $E$5:$L$109, 5, FALSE) * (R257 / VLOOKUP(Q257, $E$5:$L$109, 2, FALSE)), "")</f>
        <v>71</v>
      </c>
      <c r="V257" s="177">
        <f t="shared" ref="V257:V262" si="121">IFERROR(VLOOKUP(Q257, $E$5:$L$109, 6, FALSE) * (R257 / VLOOKUP(Q257, $E$5:$L$109, 2, FALSE)), "")</f>
        <v>10.224</v>
      </c>
      <c r="W257" s="177">
        <f t="shared" ref="W257:W262" si="122">IFERROR(VLOOKUP(Q257, $E$5:$L$109, 7, FALSE) * (R257 / VLOOKUP(Q257, $E$5:$L$109, 2, FALSE)), "")</f>
        <v>0</v>
      </c>
      <c r="X257" s="177">
        <f t="shared" ref="X257:X262" si="123">IFERROR(VLOOKUP(Q257, $E$5:$L$109, 8, FALSE) * (R257 / VLOOKUP(Q257, $E$5:$L$109, 2, FALSE)), "")</f>
        <v>0</v>
      </c>
      <c r="Y257" s="175"/>
    </row>
    <row r="258" spans="14:25">
      <c r="N258" s="173">
        <v>46018</v>
      </c>
      <c r="O258" s="174">
        <v>0.5</v>
      </c>
      <c r="P258" s="175" t="s">
        <v>185</v>
      </c>
      <c r="Q258" s="175" t="s">
        <v>291</v>
      </c>
      <c r="R258" s="176">
        <v>1</v>
      </c>
      <c r="S258" s="175" t="str">
        <f t="shared" si="118"/>
        <v>piece</v>
      </c>
      <c r="T258" s="177">
        <f t="shared" si="119"/>
        <v>340</v>
      </c>
      <c r="U258" s="177">
        <f t="shared" si="120"/>
        <v>7</v>
      </c>
      <c r="V258" s="177">
        <f t="shared" si="121"/>
        <v>4.9000000000000004</v>
      </c>
      <c r="W258" s="177">
        <f t="shared" si="122"/>
        <v>64</v>
      </c>
      <c r="X258" s="177">
        <f t="shared" si="123"/>
        <v>0</v>
      </c>
      <c r="Y258" s="175"/>
    </row>
    <row r="259" spans="14:25">
      <c r="N259" s="173">
        <v>46018</v>
      </c>
      <c r="O259" s="174">
        <v>0.5</v>
      </c>
      <c r="P259" s="175" t="s">
        <v>185</v>
      </c>
      <c r="Q259" s="175" t="s">
        <v>219</v>
      </c>
      <c r="R259" s="176">
        <v>1</v>
      </c>
      <c r="S259" s="175" t="str">
        <f t="shared" si="118"/>
        <v>bottle</v>
      </c>
      <c r="T259" s="177">
        <f t="shared" si="119"/>
        <v>0</v>
      </c>
      <c r="U259" s="177">
        <f t="shared" si="120"/>
        <v>0</v>
      </c>
      <c r="V259" s="177">
        <f t="shared" si="121"/>
        <v>0</v>
      </c>
      <c r="W259" s="177">
        <f t="shared" si="122"/>
        <v>0</v>
      </c>
      <c r="X259" s="177">
        <f t="shared" si="123"/>
        <v>0</v>
      </c>
      <c r="Y259" s="175"/>
    </row>
    <row r="260" spans="14:25">
      <c r="N260" s="173">
        <v>46018</v>
      </c>
      <c r="O260" s="174">
        <v>0.5</v>
      </c>
      <c r="P260" s="175" t="s">
        <v>289</v>
      </c>
      <c r="Q260" s="175" t="s">
        <v>214</v>
      </c>
      <c r="R260" s="176">
        <v>1</v>
      </c>
      <c r="S260" s="175" t="str">
        <f t="shared" si="118"/>
        <v>bar</v>
      </c>
      <c r="T260" s="177">
        <f t="shared" si="119"/>
        <v>67</v>
      </c>
      <c r="U260" s="177">
        <f t="shared" si="120"/>
        <v>1</v>
      </c>
      <c r="V260" s="177">
        <f t="shared" si="121"/>
        <v>3.5</v>
      </c>
      <c r="W260" s="177">
        <f t="shared" si="122"/>
        <v>22</v>
      </c>
      <c r="X260" s="177">
        <f t="shared" si="123"/>
        <v>0.3</v>
      </c>
      <c r="Y260" s="175"/>
    </row>
    <row r="261" spans="14:25">
      <c r="N261" s="173">
        <v>46018</v>
      </c>
      <c r="O261" s="174">
        <v>0.58333333333333337</v>
      </c>
      <c r="P261" s="175" t="s">
        <v>289</v>
      </c>
      <c r="Q261" s="175" t="s">
        <v>310</v>
      </c>
      <c r="R261" s="176">
        <v>0.67</v>
      </c>
      <c r="S261" s="175" t="str">
        <f t="shared" si="118"/>
        <v>set</v>
      </c>
      <c r="T261" s="177">
        <f t="shared" si="119"/>
        <v>1105.5</v>
      </c>
      <c r="U261" s="177">
        <f t="shared" si="120"/>
        <v>16.080000000000002</v>
      </c>
      <c r="V261" s="177">
        <f t="shared" si="121"/>
        <v>77.050000000000011</v>
      </c>
      <c r="W261" s="177">
        <f t="shared" si="122"/>
        <v>117.25</v>
      </c>
      <c r="X261" s="177">
        <f t="shared" si="123"/>
        <v>9.3800000000000008</v>
      </c>
      <c r="Y261" s="175"/>
    </row>
    <row r="262" spans="14:25">
      <c r="N262" s="173">
        <v>46018</v>
      </c>
      <c r="O262" s="174">
        <v>0.95833333333333337</v>
      </c>
      <c r="P262" s="175" t="s">
        <v>199</v>
      </c>
      <c r="Q262" s="175" t="s">
        <v>312</v>
      </c>
      <c r="R262" s="176">
        <v>6</v>
      </c>
      <c r="S262" s="175" t="str">
        <f t="shared" si="118"/>
        <v>slice</v>
      </c>
      <c r="T262" s="177">
        <f t="shared" si="119"/>
        <v>2820</v>
      </c>
      <c r="U262" s="177">
        <f t="shared" si="120"/>
        <v>114</v>
      </c>
      <c r="V262" s="177">
        <f t="shared" si="121"/>
        <v>162</v>
      </c>
      <c r="W262" s="177">
        <f t="shared" si="122"/>
        <v>222</v>
      </c>
      <c r="X262" s="177">
        <f t="shared" si="123"/>
        <v>12</v>
      </c>
      <c r="Y262" s="175"/>
    </row>
    <row r="263" spans="14:25">
      <c r="N263" s="178"/>
      <c r="O263" s="179" t="s">
        <v>217</v>
      </c>
      <c r="P263" s="180"/>
      <c r="Q263" s="180"/>
      <c r="R263" s="180"/>
      <c r="S263" s="180"/>
      <c r="T263" s="181">
        <f>SUM(T257:T262)</f>
        <v>4801.1000000000004</v>
      </c>
      <c r="U263" s="181">
        <f>SUM(U257:U262)</f>
        <v>209.07999999999998</v>
      </c>
      <c r="V263" s="181">
        <f>SUM(V257:V262)</f>
        <v>257.67399999999998</v>
      </c>
      <c r="W263" s="181">
        <f>SUM(W257:W262)</f>
        <v>425.25</v>
      </c>
      <c r="X263" s="181">
        <f>SUM(X257:X262)</f>
        <v>21.68</v>
      </c>
      <c r="Y263" s="175"/>
    </row>
    <row r="264" spans="14:25">
      <c r="N264" s="178"/>
      <c r="O264" s="179" t="s">
        <v>220</v>
      </c>
      <c r="P264" s="180"/>
      <c r="Q264" s="180"/>
      <c r="R264" s="180"/>
      <c r="S264" s="180"/>
      <c r="T264" s="182">
        <f>$B$27</f>
        <v>2228.28125</v>
      </c>
      <c r="U264" s="182">
        <f>$B$29</f>
        <v>140.4</v>
      </c>
      <c r="V264" s="182">
        <f>$B$30</f>
        <v>64.739999999999995</v>
      </c>
      <c r="W264" s="182">
        <f>$B$31</f>
        <v>271.0053125</v>
      </c>
      <c r="X264" s="182">
        <f>$B$32</f>
        <v>31.195937500000003</v>
      </c>
      <c r="Y264" s="175"/>
    </row>
    <row r="265" spans="14:25">
      <c r="N265" s="178"/>
      <c r="O265" s="179" t="s">
        <v>222</v>
      </c>
      <c r="P265" s="180"/>
      <c r="Q265" s="180"/>
      <c r="R265" s="180"/>
      <c r="S265" s="180"/>
      <c r="T265" s="182">
        <f>T263-T264</f>
        <v>2572.8187500000004</v>
      </c>
      <c r="U265" s="182">
        <f>U263-U264</f>
        <v>68.679999999999978</v>
      </c>
      <c r="V265" s="182">
        <f>V263-V264</f>
        <v>192.93399999999997</v>
      </c>
      <c r="W265" s="182">
        <f>W263-W264</f>
        <v>154.2446875</v>
      </c>
      <c r="X265" s="182">
        <f>X263-X264</f>
        <v>-9.5159375000000033</v>
      </c>
      <c r="Y265" s="175"/>
    </row>
    <row r="266" spans="14:25">
      <c r="N266" s="173">
        <v>46019</v>
      </c>
      <c r="O266" s="174">
        <v>0.41666666666666669</v>
      </c>
      <c r="P266" s="175" t="s">
        <v>178</v>
      </c>
      <c r="Q266" s="175" t="s">
        <v>313</v>
      </c>
      <c r="R266" s="176">
        <v>1.5</v>
      </c>
      <c r="S266" s="175" t="str">
        <f t="shared" ref="S266:S270" si="124">IFERROR(VLOOKUP(Q266, $E$5:$L$109, 3, FALSE), "")</f>
        <v>sandwich</v>
      </c>
      <c r="T266" s="177">
        <f t="shared" ref="T266:T270" si="125">IFERROR(VLOOKUP(Q266, $E$5:$L$109, 4, FALSE) * (R266 / VLOOKUP(Q266, $E$5:$L$109, 2, FALSE)), "")</f>
        <v>930</v>
      </c>
      <c r="U266" s="177">
        <f t="shared" ref="U266:U270" si="126">IFERROR(VLOOKUP(Q266, $E$5:$L$109, 5, FALSE) * (R266 / VLOOKUP(Q266, $E$5:$L$109, 2, FALSE)), "")</f>
        <v>57</v>
      </c>
      <c r="V266" s="177">
        <f t="shared" ref="V266:V270" si="127">IFERROR(VLOOKUP(Q266, $E$5:$L$109, 6, FALSE) * (R266 / VLOOKUP(Q266, $E$5:$L$109, 2, FALSE)), "")</f>
        <v>63</v>
      </c>
      <c r="W266" s="177">
        <f t="shared" ref="W266:W270" si="128">IFERROR(VLOOKUP(Q266, $E$5:$L$109, 7, FALSE) * (R266 / VLOOKUP(Q266, $E$5:$L$109, 2, FALSE)), "")</f>
        <v>33</v>
      </c>
      <c r="X266" s="177">
        <f t="shared" ref="X266:X270" si="129">IFERROR(VLOOKUP(Q266, $E$5:$L$109, 8, FALSE) * (R266 / VLOOKUP(Q266, $E$5:$L$109, 2, FALSE)), "")</f>
        <v>1.5</v>
      </c>
      <c r="Y266" s="175"/>
    </row>
    <row r="267" spans="14:25">
      <c r="N267" s="173">
        <v>46019</v>
      </c>
      <c r="O267" s="174">
        <v>0.75</v>
      </c>
      <c r="P267" s="175" t="s">
        <v>199</v>
      </c>
      <c r="Q267" s="175" t="s">
        <v>315</v>
      </c>
      <c r="R267" s="176">
        <v>1</v>
      </c>
      <c r="S267" s="175" t="str">
        <f t="shared" si="124"/>
        <v>burger</v>
      </c>
      <c r="T267" s="177">
        <f t="shared" si="125"/>
        <v>520</v>
      </c>
      <c r="U267" s="177">
        <f t="shared" si="126"/>
        <v>30</v>
      </c>
      <c r="V267" s="177">
        <f t="shared" si="127"/>
        <v>26</v>
      </c>
      <c r="W267" s="177">
        <f t="shared" si="128"/>
        <v>42</v>
      </c>
      <c r="X267" s="177">
        <f t="shared" si="129"/>
        <v>2</v>
      </c>
      <c r="Y267" s="175"/>
    </row>
    <row r="268" spans="14:25">
      <c r="N268" s="173">
        <v>46019</v>
      </c>
      <c r="O268" s="174">
        <v>0.75</v>
      </c>
      <c r="P268" s="175" t="s">
        <v>199</v>
      </c>
      <c r="Q268" s="175" t="s">
        <v>316</v>
      </c>
      <c r="R268" s="176">
        <v>1</v>
      </c>
      <c r="S268" s="175" t="str">
        <f t="shared" si="124"/>
        <v>double bars</v>
      </c>
      <c r="T268" s="177">
        <f t="shared" si="125"/>
        <v>480</v>
      </c>
      <c r="U268" s="177">
        <f t="shared" si="126"/>
        <v>7</v>
      </c>
      <c r="V268" s="177">
        <f t="shared" si="127"/>
        <v>23</v>
      </c>
      <c r="W268" s="177">
        <f t="shared" si="128"/>
        <v>65</v>
      </c>
      <c r="X268" s="177">
        <f t="shared" si="129"/>
        <v>6</v>
      </c>
      <c r="Y268" s="175"/>
    </row>
    <row r="269" spans="14:25">
      <c r="N269" s="173">
        <v>46019</v>
      </c>
      <c r="O269" s="174">
        <v>0.75</v>
      </c>
      <c r="P269" s="175" t="s">
        <v>199</v>
      </c>
      <c r="Q269" s="175" t="s">
        <v>318</v>
      </c>
      <c r="R269" s="176">
        <v>1</v>
      </c>
      <c r="S269" s="175" t="str">
        <f t="shared" si="124"/>
        <v>Cup</v>
      </c>
      <c r="T269" s="177">
        <f t="shared" si="125"/>
        <v>380</v>
      </c>
      <c r="U269" s="177">
        <f t="shared" si="126"/>
        <v>0</v>
      </c>
      <c r="V269" s="177">
        <f t="shared" si="127"/>
        <v>0</v>
      </c>
      <c r="W269" s="177">
        <f t="shared" si="128"/>
        <v>100</v>
      </c>
      <c r="X269" s="177">
        <f t="shared" si="129"/>
        <v>0</v>
      </c>
      <c r="Y269" s="175"/>
    </row>
    <row r="270" spans="14:25">
      <c r="N270" s="173">
        <v>46019</v>
      </c>
      <c r="O270" s="174">
        <v>0.79166666666666663</v>
      </c>
      <c r="P270" s="175" t="s">
        <v>289</v>
      </c>
      <c r="Q270" s="175" t="s">
        <v>320</v>
      </c>
      <c r="R270" s="176">
        <v>1</v>
      </c>
      <c r="S270" s="175" t="str">
        <f t="shared" si="124"/>
        <v>double bars</v>
      </c>
      <c r="T270" s="177">
        <f t="shared" si="125"/>
        <v>200</v>
      </c>
      <c r="U270" s="177">
        <f t="shared" si="126"/>
        <v>4</v>
      </c>
      <c r="V270" s="177">
        <f t="shared" si="127"/>
        <v>8</v>
      </c>
      <c r="W270" s="177">
        <f t="shared" si="128"/>
        <v>28</v>
      </c>
      <c r="X270" s="177">
        <f t="shared" si="129"/>
        <v>3</v>
      </c>
      <c r="Y270" s="175"/>
    </row>
    <row r="271" spans="14:25">
      <c r="N271" s="178"/>
      <c r="O271" s="179" t="s">
        <v>217</v>
      </c>
      <c r="P271" s="180"/>
      <c r="Q271" s="180"/>
      <c r="R271" s="180"/>
      <c r="S271" s="180"/>
      <c r="T271" s="181">
        <f>SUM(T266:T270)</f>
        <v>2510</v>
      </c>
      <c r="U271" s="181">
        <f>SUM(U266:U270)</f>
        <v>98</v>
      </c>
      <c r="V271" s="181">
        <f>SUM(V266:V270)</f>
        <v>120</v>
      </c>
      <c r="W271" s="181">
        <f>SUM(W266:W270)</f>
        <v>268</v>
      </c>
      <c r="X271" s="181">
        <f>SUM(X266:X270)</f>
        <v>12.5</v>
      </c>
      <c r="Y271" s="175"/>
    </row>
    <row r="272" spans="14:25">
      <c r="N272" s="178"/>
      <c r="O272" s="179" t="s">
        <v>220</v>
      </c>
      <c r="P272" s="180"/>
      <c r="Q272" s="180"/>
      <c r="R272" s="180"/>
      <c r="S272" s="180"/>
      <c r="T272" s="182">
        <f>$B$27</f>
        <v>2228.28125</v>
      </c>
      <c r="U272" s="182">
        <f>$B$29</f>
        <v>140.4</v>
      </c>
      <c r="V272" s="182">
        <f>$B$30</f>
        <v>64.739999999999995</v>
      </c>
      <c r="W272" s="182">
        <f>$B$31</f>
        <v>271.0053125</v>
      </c>
      <c r="X272" s="182">
        <f>$B$32</f>
        <v>31.195937500000003</v>
      </c>
      <c r="Y272" s="175"/>
    </row>
    <row r="273" spans="14:25">
      <c r="N273" s="178"/>
      <c r="O273" s="179" t="s">
        <v>222</v>
      </c>
      <c r="P273" s="180"/>
      <c r="Q273" s="180"/>
      <c r="R273" s="180"/>
      <c r="S273" s="180"/>
      <c r="T273" s="182">
        <f>T271-T272</f>
        <v>281.71875</v>
      </c>
      <c r="U273" s="182">
        <f>U271-U272</f>
        <v>-42.400000000000006</v>
      </c>
      <c r="V273" s="182">
        <f>V271-V272</f>
        <v>55.260000000000005</v>
      </c>
      <c r="W273" s="182">
        <f>W271-W272</f>
        <v>-3.0053125000000023</v>
      </c>
      <c r="X273" s="182">
        <f>X271-X272</f>
        <v>-18.695937500000003</v>
      </c>
      <c r="Y273" s="175"/>
    </row>
    <row r="274" spans="14:25">
      <c r="N274" s="173">
        <v>46020</v>
      </c>
      <c r="O274" s="174">
        <v>0.375</v>
      </c>
      <c r="P274" s="175" t="s">
        <v>178</v>
      </c>
      <c r="Q274" s="175" t="s">
        <v>324</v>
      </c>
      <c r="R274" s="176">
        <v>1</v>
      </c>
      <c r="S274" s="175" t="str">
        <f t="shared" ref="S274:S287" si="130">IFERROR(VLOOKUP(Q274, $E$5:$L$109, 3, FALSE), "")</f>
        <v>bottle</v>
      </c>
      <c r="T274" s="177">
        <f t="shared" ref="T274:T287" si="131">IFERROR(VLOOKUP(Q274, $E$5:$L$109, 4, FALSE) * (R274 / VLOOKUP(Q274, $E$5:$L$109, 2, FALSE)), "")</f>
        <v>306</v>
      </c>
      <c r="U274" s="177">
        <f t="shared" ref="U274:U287" si="132">IFERROR(VLOOKUP(Q274, $E$5:$L$109, 5, FALSE) * (R274 / VLOOKUP(Q274, $E$5:$L$109, 2, FALSE)), "")</f>
        <v>48</v>
      </c>
      <c r="V274" s="177">
        <f t="shared" ref="V274:V287" si="133">IFERROR(VLOOKUP(Q274, $E$5:$L$109, 6, FALSE) * (R274 / VLOOKUP(Q274, $E$5:$L$109, 2, FALSE)), "")</f>
        <v>4</v>
      </c>
      <c r="W274" s="177">
        <f t="shared" ref="W274:W287" si="134">IFERROR(VLOOKUP(Q274, $E$5:$L$109, 7, FALSE) * (R274 / VLOOKUP(Q274, $E$5:$L$109, 2, FALSE)), "")</f>
        <v>18</v>
      </c>
      <c r="X274" s="177">
        <f t="shared" ref="X274:X287" si="135">IFERROR(VLOOKUP(Q274, $E$5:$L$109, 8, FALSE) * (R274 / VLOOKUP(Q274, $E$5:$L$109, 2, FALSE)), "")</f>
        <v>1</v>
      </c>
      <c r="Y274" s="175"/>
    </row>
    <row r="275" spans="14:25">
      <c r="N275" s="173">
        <v>46020</v>
      </c>
      <c r="O275" s="174">
        <v>0.41666666666666669</v>
      </c>
      <c r="P275" s="175" t="s">
        <v>178</v>
      </c>
      <c r="Q275" s="175" t="s">
        <v>181</v>
      </c>
      <c r="R275" s="176">
        <v>4</v>
      </c>
      <c r="S275" s="175" t="str">
        <f t="shared" si="130"/>
        <v>slice</v>
      </c>
      <c r="T275" s="177">
        <f t="shared" si="131"/>
        <v>280</v>
      </c>
      <c r="U275" s="177">
        <f t="shared" si="132"/>
        <v>10</v>
      </c>
      <c r="V275" s="177">
        <f t="shared" si="133"/>
        <v>5</v>
      </c>
      <c r="W275" s="177">
        <f t="shared" si="134"/>
        <v>48</v>
      </c>
      <c r="X275" s="177">
        <f t="shared" si="135"/>
        <v>4</v>
      </c>
      <c r="Y275" s="175"/>
    </row>
    <row r="276" spans="14:25">
      <c r="N276" s="173">
        <v>46020</v>
      </c>
      <c r="O276" s="174">
        <v>0.41666666666666669</v>
      </c>
      <c r="P276" s="175" t="s">
        <v>178</v>
      </c>
      <c r="Q276" s="175" t="s">
        <v>325</v>
      </c>
      <c r="R276" s="176">
        <v>100</v>
      </c>
      <c r="S276" s="175" t="str">
        <f t="shared" si="130"/>
        <v>g</v>
      </c>
      <c r="T276" s="177">
        <f t="shared" si="131"/>
        <v>133.33333333333331</v>
      </c>
      <c r="U276" s="177">
        <f t="shared" si="132"/>
        <v>10.666666666666666</v>
      </c>
      <c r="V276" s="177">
        <f t="shared" si="133"/>
        <v>9.3333333333333321</v>
      </c>
      <c r="W276" s="177">
        <f t="shared" si="134"/>
        <v>2</v>
      </c>
      <c r="X276" s="177">
        <f t="shared" si="135"/>
        <v>0</v>
      </c>
      <c r="Y276" s="175"/>
    </row>
    <row r="277" spans="14:25">
      <c r="N277" s="173">
        <v>46020</v>
      </c>
      <c r="O277" s="174">
        <v>0.41666666666666669</v>
      </c>
      <c r="P277" s="175" t="s">
        <v>178</v>
      </c>
      <c r="Q277" s="175" t="s">
        <v>326</v>
      </c>
      <c r="R277" s="176">
        <v>7</v>
      </c>
      <c r="S277" s="175" t="str">
        <f t="shared" si="130"/>
        <v>strawberry</v>
      </c>
      <c r="T277" s="177">
        <f t="shared" si="131"/>
        <v>28</v>
      </c>
      <c r="U277" s="177">
        <f t="shared" si="132"/>
        <v>0.7</v>
      </c>
      <c r="V277" s="177">
        <f t="shared" si="133"/>
        <v>0</v>
      </c>
      <c r="W277" s="177">
        <f t="shared" si="134"/>
        <v>6.3</v>
      </c>
      <c r="X277" s="177">
        <f t="shared" si="135"/>
        <v>1.4</v>
      </c>
      <c r="Y277" s="175"/>
    </row>
    <row r="278" spans="14:25" ht="31.5">
      <c r="N278" s="173">
        <v>46020</v>
      </c>
      <c r="O278" s="174">
        <v>0.41666666666666669</v>
      </c>
      <c r="P278" s="175" t="s">
        <v>289</v>
      </c>
      <c r="Q278" s="223" t="s">
        <v>320</v>
      </c>
      <c r="R278" s="176">
        <v>1</v>
      </c>
      <c r="S278" s="175" t="str">
        <f t="shared" si="130"/>
        <v>double bars</v>
      </c>
      <c r="T278" s="177">
        <f t="shared" si="131"/>
        <v>200</v>
      </c>
      <c r="U278" s="177">
        <f t="shared" si="132"/>
        <v>4</v>
      </c>
      <c r="V278" s="177">
        <f t="shared" si="133"/>
        <v>8</v>
      </c>
      <c r="W278" s="177">
        <f t="shared" si="134"/>
        <v>28</v>
      </c>
      <c r="X278" s="177">
        <f t="shared" si="135"/>
        <v>3</v>
      </c>
      <c r="Y278" s="175"/>
    </row>
    <row r="279" spans="14:25">
      <c r="N279" s="173">
        <v>46020</v>
      </c>
      <c r="O279" s="174">
        <v>0.54166666666666663</v>
      </c>
      <c r="P279" s="175" t="s">
        <v>185</v>
      </c>
      <c r="Q279" s="175" t="s">
        <v>328</v>
      </c>
      <c r="R279" s="176">
        <v>111</v>
      </c>
      <c r="S279" s="175" t="str">
        <f t="shared" si="130"/>
        <v>g</v>
      </c>
      <c r="T279" s="177">
        <f t="shared" si="131"/>
        <v>321.90000000000003</v>
      </c>
      <c r="U279" s="177">
        <f t="shared" si="132"/>
        <v>27.750000000000004</v>
      </c>
      <c r="V279" s="177">
        <f t="shared" si="133"/>
        <v>23.310000000000002</v>
      </c>
      <c r="W279" s="177">
        <f t="shared" si="134"/>
        <v>0</v>
      </c>
      <c r="X279" s="177">
        <f t="shared" si="135"/>
        <v>0</v>
      </c>
      <c r="Y279" s="175"/>
    </row>
    <row r="280" spans="14:25">
      <c r="N280" s="173">
        <v>46020</v>
      </c>
      <c r="O280" s="174">
        <v>0.54166666666666663</v>
      </c>
      <c r="P280" s="175" t="s">
        <v>185</v>
      </c>
      <c r="Q280" s="175" t="s">
        <v>329</v>
      </c>
      <c r="R280" s="176">
        <v>100</v>
      </c>
      <c r="S280" s="175" t="str">
        <f t="shared" si="130"/>
        <v>g</v>
      </c>
      <c r="T280" s="177">
        <f t="shared" si="131"/>
        <v>420</v>
      </c>
      <c r="U280" s="177">
        <f t="shared" si="132"/>
        <v>15</v>
      </c>
      <c r="V280" s="177">
        <f t="shared" si="133"/>
        <v>33</v>
      </c>
      <c r="W280" s="177">
        <f t="shared" si="134"/>
        <v>18</v>
      </c>
      <c r="X280" s="177">
        <f t="shared" si="135"/>
        <v>1</v>
      </c>
      <c r="Y280" s="175"/>
    </row>
    <row r="281" spans="14:25">
      <c r="N281" s="173">
        <v>46020</v>
      </c>
      <c r="O281" s="174">
        <v>0.54166666666666663</v>
      </c>
      <c r="P281" s="175" t="s">
        <v>185</v>
      </c>
      <c r="Q281" s="175" t="s">
        <v>330</v>
      </c>
      <c r="R281" s="187">
        <v>71.599999999999994</v>
      </c>
      <c r="S281" s="175" t="str">
        <f t="shared" si="130"/>
        <v>g</v>
      </c>
      <c r="T281" s="177">
        <f t="shared" si="131"/>
        <v>100.24</v>
      </c>
      <c r="U281" s="177">
        <f t="shared" si="132"/>
        <v>2.8639999999999999</v>
      </c>
      <c r="V281" s="177">
        <f t="shared" si="133"/>
        <v>0.71599999999999997</v>
      </c>
      <c r="W281" s="177">
        <f t="shared" si="134"/>
        <v>21.48</v>
      </c>
      <c r="X281" s="177">
        <f t="shared" si="135"/>
        <v>1.4319999999999999</v>
      </c>
      <c r="Y281" s="175"/>
    </row>
    <row r="282" spans="14:25">
      <c r="N282" s="173">
        <v>46020</v>
      </c>
      <c r="O282" s="174">
        <v>0.66666666666666663</v>
      </c>
      <c r="P282" s="175" t="s">
        <v>289</v>
      </c>
      <c r="Q282" s="175" t="s">
        <v>331</v>
      </c>
      <c r="R282" s="176">
        <v>200</v>
      </c>
      <c r="S282" s="175" t="str">
        <f t="shared" si="130"/>
        <v>g</v>
      </c>
      <c r="T282" s="177">
        <f t="shared" si="131"/>
        <v>560</v>
      </c>
      <c r="U282" s="177">
        <f t="shared" si="132"/>
        <v>10</v>
      </c>
      <c r="V282" s="177">
        <f t="shared" si="133"/>
        <v>32</v>
      </c>
      <c r="W282" s="177">
        <f t="shared" si="134"/>
        <v>60</v>
      </c>
      <c r="X282" s="177">
        <f t="shared" si="135"/>
        <v>2</v>
      </c>
      <c r="Y282" s="175"/>
    </row>
    <row r="283" spans="14:25">
      <c r="N283" s="173">
        <v>46020</v>
      </c>
      <c r="O283" s="174">
        <v>0.79166666666666663</v>
      </c>
      <c r="P283" s="175" t="s">
        <v>289</v>
      </c>
      <c r="Q283" s="175" t="s">
        <v>279</v>
      </c>
      <c r="R283" s="176">
        <v>2</v>
      </c>
      <c r="S283" s="175" t="str">
        <f t="shared" si="130"/>
        <v>medium</v>
      </c>
      <c r="T283" s="177">
        <f t="shared" si="131"/>
        <v>68</v>
      </c>
      <c r="U283" s="177">
        <f t="shared" si="132"/>
        <v>1.2</v>
      </c>
      <c r="V283" s="177">
        <f t="shared" si="133"/>
        <v>0.4</v>
      </c>
      <c r="W283" s="177">
        <f t="shared" si="134"/>
        <v>16.399999999999999</v>
      </c>
      <c r="X283" s="177">
        <f t="shared" si="135"/>
        <v>4.2</v>
      </c>
      <c r="Y283" s="175"/>
    </row>
    <row r="284" spans="14:25">
      <c r="N284" s="173">
        <v>46020</v>
      </c>
      <c r="O284" s="174">
        <v>0.83333333333333337</v>
      </c>
      <c r="P284" s="175" t="s">
        <v>199</v>
      </c>
      <c r="Q284" s="175" t="s">
        <v>332</v>
      </c>
      <c r="R284" s="176">
        <v>350</v>
      </c>
      <c r="S284" s="175" t="str">
        <f t="shared" si="130"/>
        <v>g</v>
      </c>
      <c r="T284" s="177">
        <f t="shared" si="131"/>
        <v>420</v>
      </c>
      <c r="U284" s="177">
        <f t="shared" si="132"/>
        <v>25</v>
      </c>
      <c r="V284" s="177">
        <f t="shared" si="133"/>
        <v>22</v>
      </c>
      <c r="W284" s="177">
        <f t="shared" si="134"/>
        <v>30</v>
      </c>
      <c r="X284" s="177">
        <f t="shared" si="135"/>
        <v>3</v>
      </c>
      <c r="Y284" s="175"/>
    </row>
    <row r="285" spans="14:25">
      <c r="N285" s="173">
        <v>46020</v>
      </c>
      <c r="O285" s="174">
        <v>0.875</v>
      </c>
      <c r="P285" s="175" t="s">
        <v>289</v>
      </c>
      <c r="Q285" s="175" t="s">
        <v>333</v>
      </c>
      <c r="R285" s="176">
        <v>17.5</v>
      </c>
      <c r="S285" s="175" t="str">
        <f t="shared" si="130"/>
        <v>g</v>
      </c>
      <c r="T285" s="177">
        <f t="shared" si="131"/>
        <v>95</v>
      </c>
      <c r="U285" s="177">
        <f t="shared" si="132"/>
        <v>2</v>
      </c>
      <c r="V285" s="177">
        <f t="shared" si="133"/>
        <v>6.5</v>
      </c>
      <c r="W285" s="177">
        <f t="shared" si="134"/>
        <v>8.5</v>
      </c>
      <c r="X285" s="177">
        <f t="shared" si="135"/>
        <v>0.5</v>
      </c>
      <c r="Y285" s="175"/>
    </row>
    <row r="286" spans="14:25">
      <c r="N286" s="173">
        <v>46020</v>
      </c>
      <c r="O286" s="174">
        <v>0.91666666666666663</v>
      </c>
      <c r="P286" s="175" t="s">
        <v>289</v>
      </c>
      <c r="Q286" s="175" t="s">
        <v>334</v>
      </c>
      <c r="R286" s="176">
        <v>4</v>
      </c>
      <c r="S286" s="175" t="str">
        <f t="shared" si="130"/>
        <v>cookie</v>
      </c>
      <c r="T286" s="177">
        <f t="shared" si="131"/>
        <v>560</v>
      </c>
      <c r="U286" s="177">
        <f t="shared" si="132"/>
        <v>8</v>
      </c>
      <c r="V286" s="177">
        <f t="shared" si="133"/>
        <v>28</v>
      </c>
      <c r="W286" s="177">
        <f t="shared" si="134"/>
        <v>72</v>
      </c>
      <c r="X286" s="177">
        <f t="shared" si="135"/>
        <v>0</v>
      </c>
      <c r="Y286" s="175"/>
    </row>
    <row r="287" spans="14:25">
      <c r="N287" s="173">
        <v>46020</v>
      </c>
      <c r="O287" s="174">
        <v>0.91666666666666663</v>
      </c>
      <c r="P287" s="175" t="s">
        <v>199</v>
      </c>
      <c r="Q287" s="175" t="s">
        <v>209</v>
      </c>
      <c r="R287" s="176">
        <v>2</v>
      </c>
      <c r="S287" s="175" t="str">
        <f t="shared" si="130"/>
        <v>tbsp</v>
      </c>
      <c r="T287" s="177">
        <f t="shared" si="131"/>
        <v>40</v>
      </c>
      <c r="U287" s="177">
        <f t="shared" si="132"/>
        <v>0</v>
      </c>
      <c r="V287" s="177">
        <f t="shared" si="133"/>
        <v>0</v>
      </c>
      <c r="W287" s="177">
        <f t="shared" si="134"/>
        <v>10</v>
      </c>
      <c r="X287" s="177">
        <f t="shared" si="135"/>
        <v>9</v>
      </c>
      <c r="Y287" s="175"/>
    </row>
    <row r="288" spans="14:25">
      <c r="N288" s="178"/>
      <c r="O288" s="179" t="s">
        <v>217</v>
      </c>
      <c r="P288" s="180"/>
      <c r="Q288" s="180"/>
      <c r="R288" s="180"/>
      <c r="S288" s="180"/>
      <c r="T288" s="181">
        <f>SUM(T274:T287)</f>
        <v>3532.4733333333334</v>
      </c>
      <c r="U288" s="181">
        <f>SUM(U274:U287)</f>
        <v>165.18066666666667</v>
      </c>
      <c r="V288" s="181">
        <f>SUM(V274:V287)</f>
        <v>172.25933333333333</v>
      </c>
      <c r="W288" s="181">
        <f>SUM(W274:W287)</f>
        <v>338.68</v>
      </c>
      <c r="X288" s="181">
        <f>SUM(X274:X287)</f>
        <v>30.532</v>
      </c>
      <c r="Y288" s="175"/>
    </row>
    <row r="289" spans="14:25">
      <c r="N289" s="178"/>
      <c r="O289" s="179" t="s">
        <v>220</v>
      </c>
      <c r="P289" s="180"/>
      <c r="Q289" s="180"/>
      <c r="R289" s="180"/>
      <c r="S289" s="180"/>
      <c r="T289" s="182">
        <f>$B$27</f>
        <v>2228.28125</v>
      </c>
      <c r="U289" s="182">
        <f>$B$29</f>
        <v>140.4</v>
      </c>
      <c r="V289" s="182">
        <f>$B$30</f>
        <v>64.739999999999995</v>
      </c>
      <c r="W289" s="182">
        <f>$B$31</f>
        <v>271.0053125</v>
      </c>
      <c r="X289" s="182">
        <f>$B$32</f>
        <v>31.195937500000003</v>
      </c>
      <c r="Y289" s="175"/>
    </row>
    <row r="290" spans="14:25">
      <c r="N290" s="178"/>
      <c r="O290" s="179" t="s">
        <v>222</v>
      </c>
      <c r="P290" s="180"/>
      <c r="Q290" s="180"/>
      <c r="R290" s="180"/>
      <c r="S290" s="180"/>
      <c r="T290" s="182">
        <f>T288-T289</f>
        <v>1304.1920833333334</v>
      </c>
      <c r="U290" s="182">
        <f>U288-U289</f>
        <v>24.780666666666662</v>
      </c>
      <c r="V290" s="182">
        <f>V288-V289</f>
        <v>107.51933333333334</v>
      </c>
      <c r="W290" s="182">
        <f>W288-W289</f>
        <v>67.674687500000005</v>
      </c>
      <c r="X290" s="182">
        <f>X288-X289</f>
        <v>-0.66393750000000296</v>
      </c>
      <c r="Y290" s="175"/>
    </row>
    <row r="291" spans="14:25">
      <c r="N291" s="173">
        <v>46021</v>
      </c>
      <c r="O291" s="174">
        <v>0.41666666666666669</v>
      </c>
      <c r="P291" s="175" t="s">
        <v>185</v>
      </c>
      <c r="Q291" s="175" t="s">
        <v>330</v>
      </c>
      <c r="R291" s="176">
        <v>168.2</v>
      </c>
      <c r="S291" s="175" t="str">
        <f t="shared" ref="S291:S304" si="136">IFERROR(VLOOKUP(Q291, $E$5:$L$109, 3, FALSE), "")</f>
        <v>g</v>
      </c>
      <c r="T291" s="177">
        <f t="shared" ref="T291:T304" si="137">IFERROR(VLOOKUP(Q291, $E$5:$L$109, 4, FALSE) * (R291 / VLOOKUP(Q291, $E$5:$L$109, 2, FALSE)), "")</f>
        <v>235.48</v>
      </c>
      <c r="U291" s="177">
        <f t="shared" ref="U291:U304" si="138">IFERROR(VLOOKUP(Q291, $E$5:$L$109, 5, FALSE) * (R291 / VLOOKUP(Q291, $E$5:$L$109, 2, FALSE)), "")</f>
        <v>6.7279999999999998</v>
      </c>
      <c r="V291" s="177">
        <f t="shared" ref="V291:V304" si="139">IFERROR(VLOOKUP(Q291, $E$5:$L$109, 6, FALSE) * (R291 / VLOOKUP(Q291, $E$5:$L$109, 2, FALSE)), "")</f>
        <v>1.6819999999999999</v>
      </c>
      <c r="W291" s="177">
        <f t="shared" ref="W291:W304" si="140">IFERROR(VLOOKUP(Q291, $E$5:$L$109, 7, FALSE) * (R291 / VLOOKUP(Q291, $E$5:$L$109, 2, FALSE)), "")</f>
        <v>50.46</v>
      </c>
      <c r="X291" s="177">
        <f t="shared" ref="X291:X304" si="141">IFERROR(VLOOKUP(Q291, $E$5:$L$109, 8, FALSE) * (R291 / VLOOKUP(Q291, $E$5:$L$109, 2, FALSE)), "")</f>
        <v>3.3639999999999999</v>
      </c>
      <c r="Y291" s="175"/>
    </row>
    <row r="292" spans="14:25">
      <c r="N292" s="173">
        <v>46021</v>
      </c>
      <c r="O292" s="174">
        <v>0.41666666666666669</v>
      </c>
      <c r="P292" s="175" t="s">
        <v>185</v>
      </c>
      <c r="Q292" s="175" t="s">
        <v>335</v>
      </c>
      <c r="R292" s="176">
        <f>369.4-274.2</f>
        <v>95.199999999999989</v>
      </c>
      <c r="S292" s="175" t="str">
        <f t="shared" si="136"/>
        <v>g</v>
      </c>
      <c r="T292" s="177">
        <f t="shared" si="137"/>
        <v>209.43999999999997</v>
      </c>
      <c r="U292" s="177">
        <f t="shared" si="138"/>
        <v>17.135999999999996</v>
      </c>
      <c r="V292" s="177">
        <f t="shared" si="139"/>
        <v>14.279999999999998</v>
      </c>
      <c r="W292" s="177">
        <f t="shared" si="140"/>
        <v>4.7599999999999989</v>
      </c>
      <c r="X292" s="177">
        <f t="shared" si="141"/>
        <v>0</v>
      </c>
      <c r="Y292" s="175"/>
    </row>
    <row r="293" spans="14:25">
      <c r="N293" s="173">
        <v>46021</v>
      </c>
      <c r="O293" s="174">
        <v>0.41666666666666669</v>
      </c>
      <c r="P293" s="175" t="s">
        <v>185</v>
      </c>
      <c r="Q293" s="175" t="s">
        <v>336</v>
      </c>
      <c r="R293" s="176">
        <v>102.1</v>
      </c>
      <c r="S293" s="175" t="str">
        <f t="shared" si="136"/>
        <v>g</v>
      </c>
      <c r="T293" s="177">
        <f t="shared" si="137"/>
        <v>296.08999999999997</v>
      </c>
      <c r="U293" s="177">
        <f t="shared" si="138"/>
        <v>16.335999999999999</v>
      </c>
      <c r="V293" s="177">
        <f t="shared" si="139"/>
        <v>24.503999999999998</v>
      </c>
      <c r="W293" s="177">
        <f t="shared" si="140"/>
        <v>3.0629999999999997</v>
      </c>
      <c r="X293" s="177">
        <f t="shared" si="141"/>
        <v>0</v>
      </c>
      <c r="Y293" s="175"/>
    </row>
    <row r="294" spans="14:25">
      <c r="N294" s="173">
        <v>46021</v>
      </c>
      <c r="O294" s="174">
        <v>0.41666666666666669</v>
      </c>
      <c r="P294" s="175" t="s">
        <v>185</v>
      </c>
      <c r="Q294" s="175" t="s">
        <v>328</v>
      </c>
      <c r="R294" s="176">
        <v>109.7</v>
      </c>
      <c r="S294" s="175" t="str">
        <f t="shared" si="136"/>
        <v>g</v>
      </c>
      <c r="T294" s="177">
        <f t="shared" si="137"/>
        <v>318.13</v>
      </c>
      <c r="U294" s="177">
        <f t="shared" si="138"/>
        <v>27.425000000000001</v>
      </c>
      <c r="V294" s="177">
        <f t="shared" si="139"/>
        <v>23.036999999999999</v>
      </c>
      <c r="W294" s="177">
        <f t="shared" si="140"/>
        <v>0</v>
      </c>
      <c r="X294" s="177">
        <f t="shared" si="141"/>
        <v>0</v>
      </c>
      <c r="Y294" s="175"/>
    </row>
    <row r="295" spans="14:25">
      <c r="N295" s="173">
        <v>46021</v>
      </c>
      <c r="O295" s="174">
        <v>0.41666666666666669</v>
      </c>
      <c r="P295" s="175" t="s">
        <v>185</v>
      </c>
      <c r="Q295" s="175" t="s">
        <v>337</v>
      </c>
      <c r="R295" s="176">
        <v>197.7</v>
      </c>
      <c r="S295" s="175" t="str">
        <f t="shared" si="136"/>
        <v>g</v>
      </c>
      <c r="T295" s="177">
        <f t="shared" si="137"/>
        <v>514.02</v>
      </c>
      <c r="U295" s="177">
        <f t="shared" si="138"/>
        <v>39.54</v>
      </c>
      <c r="V295" s="177">
        <f t="shared" si="139"/>
        <v>35.585999999999999</v>
      </c>
      <c r="W295" s="177">
        <f t="shared" si="140"/>
        <v>15.815999999999999</v>
      </c>
      <c r="X295" s="177">
        <f t="shared" si="141"/>
        <v>0</v>
      </c>
      <c r="Y295" s="175"/>
    </row>
    <row r="296" spans="14:25">
      <c r="N296" s="173">
        <v>46021</v>
      </c>
      <c r="O296" s="174">
        <v>0.41666666666666669</v>
      </c>
      <c r="P296" s="175" t="s">
        <v>289</v>
      </c>
      <c r="Q296" s="175" t="s">
        <v>321</v>
      </c>
      <c r="R296" s="176">
        <v>2</v>
      </c>
      <c r="S296" s="175" t="str">
        <f t="shared" si="136"/>
        <v>cookie</v>
      </c>
      <c r="T296" s="177">
        <f t="shared" si="137"/>
        <v>280</v>
      </c>
      <c r="U296" s="177">
        <f t="shared" si="138"/>
        <v>4</v>
      </c>
      <c r="V296" s="177">
        <f t="shared" si="139"/>
        <v>12</v>
      </c>
      <c r="W296" s="177">
        <f t="shared" si="140"/>
        <v>40</v>
      </c>
      <c r="X296" s="177">
        <f t="shared" si="141"/>
        <v>0</v>
      </c>
      <c r="Y296" s="175"/>
    </row>
    <row r="297" spans="14:25">
      <c r="N297" s="173">
        <v>46021</v>
      </c>
      <c r="O297" s="174">
        <v>0.75</v>
      </c>
      <c r="P297" s="175" t="s">
        <v>289</v>
      </c>
      <c r="Q297" s="175" t="s">
        <v>320</v>
      </c>
      <c r="R297" s="176">
        <v>1.5</v>
      </c>
      <c r="S297" s="175" t="str">
        <f t="shared" si="136"/>
        <v>double bars</v>
      </c>
      <c r="T297" s="177">
        <f t="shared" si="137"/>
        <v>300</v>
      </c>
      <c r="U297" s="177">
        <f t="shared" si="138"/>
        <v>6</v>
      </c>
      <c r="V297" s="177">
        <f t="shared" si="139"/>
        <v>12</v>
      </c>
      <c r="W297" s="177">
        <f t="shared" si="140"/>
        <v>42</v>
      </c>
      <c r="X297" s="177">
        <f t="shared" si="141"/>
        <v>4.5</v>
      </c>
      <c r="Y297" s="175"/>
    </row>
    <row r="298" spans="14:25">
      <c r="N298" s="173">
        <v>46021</v>
      </c>
      <c r="O298" s="174">
        <v>0.75</v>
      </c>
      <c r="P298" s="175" t="s">
        <v>289</v>
      </c>
      <c r="Q298" s="175" t="s">
        <v>295</v>
      </c>
      <c r="R298" s="176">
        <v>1</v>
      </c>
      <c r="S298" s="175" t="str">
        <f t="shared" si="136"/>
        <v>bottle</v>
      </c>
      <c r="T298" s="177">
        <f t="shared" si="137"/>
        <v>200</v>
      </c>
      <c r="U298" s="177">
        <f t="shared" si="138"/>
        <v>35</v>
      </c>
      <c r="V298" s="177">
        <f t="shared" si="139"/>
        <v>2.5</v>
      </c>
      <c r="W298" s="177">
        <f t="shared" si="140"/>
        <v>9</v>
      </c>
      <c r="X298" s="177">
        <f t="shared" si="141"/>
        <v>0</v>
      </c>
      <c r="Y298" s="175"/>
    </row>
    <row r="299" spans="14:25">
      <c r="N299" s="173">
        <v>46021</v>
      </c>
      <c r="O299" s="174">
        <v>0.75</v>
      </c>
      <c r="P299" s="175" t="s">
        <v>199</v>
      </c>
      <c r="Q299" s="175" t="s">
        <v>338</v>
      </c>
      <c r="R299" s="187">
        <v>1.5</v>
      </c>
      <c r="S299" s="175" t="str">
        <f t="shared" si="136"/>
        <v>sandwich</v>
      </c>
      <c r="T299" s="177">
        <f t="shared" si="137"/>
        <v>570</v>
      </c>
      <c r="U299" s="177">
        <f t="shared" si="138"/>
        <v>33</v>
      </c>
      <c r="V299" s="177">
        <f t="shared" si="139"/>
        <v>27</v>
      </c>
      <c r="W299" s="177">
        <f t="shared" si="140"/>
        <v>48</v>
      </c>
      <c r="X299" s="177">
        <f t="shared" si="141"/>
        <v>7.5</v>
      </c>
      <c r="Y299" s="175"/>
    </row>
    <row r="300" spans="14:25">
      <c r="N300" s="173">
        <v>46021</v>
      </c>
      <c r="O300" s="174">
        <v>0.75</v>
      </c>
      <c r="P300" s="175" t="s">
        <v>199</v>
      </c>
      <c r="Q300" s="175" t="s">
        <v>339</v>
      </c>
      <c r="R300" s="176">
        <v>1</v>
      </c>
      <c r="S300" s="175" t="str">
        <f t="shared" si="136"/>
        <v>bag</v>
      </c>
      <c r="T300" s="177">
        <f t="shared" si="137"/>
        <v>340</v>
      </c>
      <c r="U300" s="177">
        <f t="shared" si="138"/>
        <v>4</v>
      </c>
      <c r="V300" s="177">
        <f t="shared" si="139"/>
        <v>20</v>
      </c>
      <c r="W300" s="177">
        <f t="shared" si="140"/>
        <v>34</v>
      </c>
      <c r="X300" s="177">
        <f t="shared" si="141"/>
        <v>1</v>
      </c>
      <c r="Y300" s="175"/>
    </row>
    <row r="301" spans="14:25">
      <c r="N301" s="173">
        <v>46021</v>
      </c>
      <c r="O301" s="174">
        <v>0.75</v>
      </c>
      <c r="P301" s="175" t="s">
        <v>199</v>
      </c>
      <c r="Q301" s="175" t="s">
        <v>333</v>
      </c>
      <c r="R301" s="176">
        <v>17.5</v>
      </c>
      <c r="S301" s="175" t="str">
        <f t="shared" si="136"/>
        <v>g</v>
      </c>
      <c r="T301" s="177">
        <f t="shared" si="137"/>
        <v>95</v>
      </c>
      <c r="U301" s="177">
        <f t="shared" si="138"/>
        <v>2</v>
      </c>
      <c r="V301" s="177">
        <f t="shared" si="139"/>
        <v>6.5</v>
      </c>
      <c r="W301" s="177">
        <f t="shared" si="140"/>
        <v>8.5</v>
      </c>
      <c r="X301" s="177">
        <f t="shared" si="141"/>
        <v>0.5</v>
      </c>
      <c r="Y301" s="175"/>
    </row>
    <row r="302" spans="14:25">
      <c r="N302" s="173">
        <v>46021</v>
      </c>
      <c r="O302" s="174">
        <v>0.75</v>
      </c>
      <c r="P302" s="175" t="s">
        <v>199</v>
      </c>
      <c r="Q302" s="175" t="s">
        <v>331</v>
      </c>
      <c r="R302" s="176">
        <v>50</v>
      </c>
      <c r="S302" s="175" t="str">
        <f t="shared" si="136"/>
        <v>g</v>
      </c>
      <c r="T302" s="177">
        <f t="shared" si="137"/>
        <v>140</v>
      </c>
      <c r="U302" s="177">
        <f t="shared" si="138"/>
        <v>2.5</v>
      </c>
      <c r="V302" s="177">
        <f t="shared" si="139"/>
        <v>8</v>
      </c>
      <c r="W302" s="177">
        <f t="shared" si="140"/>
        <v>15</v>
      </c>
      <c r="X302" s="177">
        <f t="shared" si="141"/>
        <v>0.5</v>
      </c>
      <c r="Y302" s="175"/>
    </row>
    <row r="303" spans="14:25">
      <c r="N303" s="173">
        <v>46021</v>
      </c>
      <c r="O303" s="174">
        <v>0.75</v>
      </c>
      <c r="P303" s="175" t="s">
        <v>199</v>
      </c>
      <c r="Q303" s="175" t="s">
        <v>249</v>
      </c>
      <c r="R303" s="176">
        <v>6</v>
      </c>
      <c r="S303" s="175" t="str">
        <f t="shared" si="136"/>
        <v>medium</v>
      </c>
      <c r="T303" s="177">
        <f t="shared" si="137"/>
        <v>570</v>
      </c>
      <c r="U303" s="177">
        <f t="shared" si="138"/>
        <v>3</v>
      </c>
      <c r="V303" s="177">
        <f t="shared" si="139"/>
        <v>1.7999999999999998</v>
      </c>
      <c r="W303" s="177">
        <f t="shared" si="140"/>
        <v>150</v>
      </c>
      <c r="X303" s="177">
        <f t="shared" si="141"/>
        <v>27</v>
      </c>
      <c r="Y303" s="175"/>
    </row>
    <row r="304" spans="14:25">
      <c r="N304" s="173">
        <v>46021</v>
      </c>
      <c r="O304" s="174">
        <v>0.91666666666666663</v>
      </c>
      <c r="P304" s="175" t="s">
        <v>289</v>
      </c>
      <c r="Q304" s="175" t="s">
        <v>341</v>
      </c>
      <c r="R304" s="176">
        <v>2</v>
      </c>
      <c r="S304" s="175" t="str">
        <f t="shared" si="136"/>
        <v>daifuku</v>
      </c>
      <c r="T304" s="177">
        <f t="shared" si="137"/>
        <v>330</v>
      </c>
      <c r="U304" s="177">
        <f t="shared" si="138"/>
        <v>7</v>
      </c>
      <c r="V304" s="177">
        <f t="shared" si="139"/>
        <v>19</v>
      </c>
      <c r="W304" s="177">
        <f t="shared" si="140"/>
        <v>36</v>
      </c>
      <c r="X304" s="177">
        <f t="shared" si="141"/>
        <v>2</v>
      </c>
      <c r="Y304" s="175"/>
    </row>
    <row r="305" spans="14:25">
      <c r="N305" s="178"/>
      <c r="O305" s="179" t="s">
        <v>217</v>
      </c>
      <c r="P305" s="180"/>
      <c r="Q305" s="180"/>
      <c r="R305" s="180"/>
      <c r="S305" s="180"/>
      <c r="T305" s="181">
        <f>SUM(T291:T304)</f>
        <v>4398.16</v>
      </c>
      <c r="U305" s="181">
        <f>SUM(U291:U304)</f>
        <v>203.66499999999999</v>
      </c>
      <c r="V305" s="181">
        <f>SUM(V291:V304)</f>
        <v>207.88900000000001</v>
      </c>
      <c r="W305" s="181">
        <f>SUM(W291:W304)</f>
        <v>456.59899999999999</v>
      </c>
      <c r="X305" s="181">
        <f>SUM(X291:X304)</f>
        <v>46.364000000000004</v>
      </c>
      <c r="Y305" s="175"/>
    </row>
    <row r="306" spans="14:25">
      <c r="N306" s="178"/>
      <c r="O306" s="179" t="s">
        <v>220</v>
      </c>
      <c r="P306" s="180"/>
      <c r="Q306" s="180"/>
      <c r="R306" s="180"/>
      <c r="S306" s="180"/>
      <c r="T306" s="182">
        <f>$B$27</f>
        <v>2228.28125</v>
      </c>
      <c r="U306" s="182">
        <f>$B$29</f>
        <v>140.4</v>
      </c>
      <c r="V306" s="182">
        <f>$B$30</f>
        <v>64.739999999999995</v>
      </c>
      <c r="W306" s="182">
        <f>$B$31</f>
        <v>271.0053125</v>
      </c>
      <c r="X306" s="182">
        <f>$B$32</f>
        <v>31.195937500000003</v>
      </c>
      <c r="Y306" s="175"/>
    </row>
    <row r="307" spans="14:25">
      <c r="N307" s="178"/>
      <c r="O307" s="179" t="s">
        <v>222</v>
      </c>
      <c r="P307" s="180"/>
      <c r="Q307" s="180"/>
      <c r="R307" s="180"/>
      <c r="S307" s="180"/>
      <c r="T307" s="182">
        <f>T305-T306</f>
        <v>2169.8787499999999</v>
      </c>
      <c r="U307" s="182">
        <f>U305-U306</f>
        <v>63.264999999999986</v>
      </c>
      <c r="V307" s="182">
        <f>V305-V306</f>
        <v>143.149</v>
      </c>
      <c r="W307" s="182">
        <f>W305-W306</f>
        <v>185.59368749999999</v>
      </c>
      <c r="X307" s="182">
        <f>X305-X306</f>
        <v>15.168062500000001</v>
      </c>
      <c r="Y307" s="175"/>
    </row>
    <row r="308" spans="14:25">
      <c r="N308" s="173">
        <v>46022</v>
      </c>
      <c r="O308" s="174">
        <v>0.41666666666666669</v>
      </c>
      <c r="P308" s="175" t="s">
        <v>178</v>
      </c>
      <c r="Q308" s="175" t="s">
        <v>181</v>
      </c>
      <c r="R308" s="176">
        <v>4</v>
      </c>
      <c r="S308" s="175" t="str">
        <f t="shared" ref="S308:S320" si="142">IFERROR(VLOOKUP(Q308, $E$5:$L$109, 3, FALSE), "")</f>
        <v>slice</v>
      </c>
      <c r="T308" s="177">
        <f t="shared" ref="T308:T320" si="143">IFERROR(VLOOKUP(Q308, $E$5:$L$109, 4, FALSE) * (R308 / VLOOKUP(Q308, $E$5:$L$109, 2, FALSE)), "")</f>
        <v>280</v>
      </c>
      <c r="U308" s="177">
        <f t="shared" ref="U308:U320" si="144">IFERROR(VLOOKUP(Q308, $E$5:$L$109, 5, FALSE) * (R308 / VLOOKUP(Q308, $E$5:$L$109, 2, FALSE)), "")</f>
        <v>10</v>
      </c>
      <c r="V308" s="177">
        <f t="shared" ref="V308:V320" si="145">IFERROR(VLOOKUP(Q308, $E$5:$L$109, 6, FALSE) * (R308 / VLOOKUP(Q308, $E$5:$L$109, 2, FALSE)), "")</f>
        <v>5</v>
      </c>
      <c r="W308" s="177">
        <f t="shared" ref="W308:W320" si="146">IFERROR(VLOOKUP(Q308, $E$5:$L$109, 7, FALSE) * (R308 / VLOOKUP(Q308, $E$5:$L$109, 2, FALSE)), "")</f>
        <v>48</v>
      </c>
      <c r="X308" s="177">
        <f t="shared" ref="X308:X320" si="147">IFERROR(VLOOKUP(Q308, $E$5:$L$109, 8, FALSE) * (R308 / VLOOKUP(Q308, $E$5:$L$109, 2, FALSE)), "")</f>
        <v>4</v>
      </c>
      <c r="Y308" s="175"/>
    </row>
    <row r="309" spans="14:25">
      <c r="N309" s="173">
        <v>46022</v>
      </c>
      <c r="O309" s="174">
        <v>0.41666666666666669</v>
      </c>
      <c r="P309" s="175" t="s">
        <v>178</v>
      </c>
      <c r="Q309" s="175" t="s">
        <v>325</v>
      </c>
      <c r="R309" s="176">
        <v>100</v>
      </c>
      <c r="S309" s="175" t="str">
        <f t="shared" si="142"/>
        <v>g</v>
      </c>
      <c r="T309" s="177">
        <f t="shared" si="143"/>
        <v>133.33333333333331</v>
      </c>
      <c r="U309" s="177">
        <f t="shared" si="144"/>
        <v>10.666666666666666</v>
      </c>
      <c r="V309" s="177">
        <f t="shared" si="145"/>
        <v>9.3333333333333321</v>
      </c>
      <c r="W309" s="177">
        <f t="shared" si="146"/>
        <v>2</v>
      </c>
      <c r="X309" s="177">
        <f t="shared" si="147"/>
        <v>0</v>
      </c>
      <c r="Y309" s="175"/>
    </row>
    <row r="310" spans="14:25">
      <c r="N310" s="173">
        <v>46022</v>
      </c>
      <c r="O310" s="174">
        <v>0.41666666666666669</v>
      </c>
      <c r="P310" s="175" t="s">
        <v>178</v>
      </c>
      <c r="Q310" s="175" t="s">
        <v>326</v>
      </c>
      <c r="R310" s="176">
        <v>7</v>
      </c>
      <c r="S310" s="175" t="str">
        <f t="shared" si="142"/>
        <v>strawberry</v>
      </c>
      <c r="T310" s="177">
        <f t="shared" si="143"/>
        <v>28</v>
      </c>
      <c r="U310" s="177">
        <f t="shared" si="144"/>
        <v>0.7</v>
      </c>
      <c r="V310" s="177">
        <f t="shared" si="145"/>
        <v>0</v>
      </c>
      <c r="W310" s="177">
        <f t="shared" si="146"/>
        <v>6.3</v>
      </c>
      <c r="X310" s="177">
        <f t="shared" si="147"/>
        <v>1.4</v>
      </c>
      <c r="Y310" s="175"/>
    </row>
    <row r="311" spans="14:25">
      <c r="N311" s="173">
        <v>46022</v>
      </c>
      <c r="O311" s="174">
        <v>0.5</v>
      </c>
      <c r="P311" s="175" t="s">
        <v>289</v>
      </c>
      <c r="Q311" s="175" t="s">
        <v>344</v>
      </c>
      <c r="R311" s="176">
        <v>1</v>
      </c>
      <c r="S311" s="175" t="str">
        <f t="shared" si="142"/>
        <v>bar</v>
      </c>
      <c r="T311" s="177">
        <f t="shared" si="143"/>
        <v>110</v>
      </c>
      <c r="U311" s="177">
        <f t="shared" si="144"/>
        <v>1</v>
      </c>
      <c r="V311" s="177">
        <f t="shared" si="145"/>
        <v>4</v>
      </c>
      <c r="W311" s="177">
        <f t="shared" si="146"/>
        <v>16</v>
      </c>
      <c r="X311" s="177">
        <f t="shared" si="147"/>
        <v>0</v>
      </c>
      <c r="Y311" s="175"/>
    </row>
    <row r="312" spans="14:25">
      <c r="N312" s="173">
        <v>46022</v>
      </c>
      <c r="O312" s="174">
        <v>0.54166666666666663</v>
      </c>
      <c r="P312" s="175" t="s">
        <v>185</v>
      </c>
      <c r="Q312" s="175" t="s">
        <v>328</v>
      </c>
      <c r="R312" s="176">
        <v>213.6</v>
      </c>
      <c r="S312" s="175" t="str">
        <f t="shared" si="142"/>
        <v>g</v>
      </c>
      <c r="T312" s="177">
        <f t="shared" si="143"/>
        <v>619.44000000000005</v>
      </c>
      <c r="U312" s="177">
        <f t="shared" si="144"/>
        <v>53.400000000000006</v>
      </c>
      <c r="V312" s="177">
        <f t="shared" si="145"/>
        <v>44.856000000000002</v>
      </c>
      <c r="W312" s="177">
        <f t="shared" si="146"/>
        <v>0</v>
      </c>
      <c r="X312" s="177">
        <f t="shared" si="147"/>
        <v>0</v>
      </c>
      <c r="Y312" s="175"/>
    </row>
    <row r="313" spans="14:25">
      <c r="N313" s="173">
        <v>46022</v>
      </c>
      <c r="O313" s="174">
        <v>0.54166666666666663</v>
      </c>
      <c r="P313" s="175" t="s">
        <v>185</v>
      </c>
      <c r="Q313" s="175" t="s">
        <v>335</v>
      </c>
      <c r="R313" s="176">
        <v>100</v>
      </c>
      <c r="S313" s="175" t="str">
        <f t="shared" si="142"/>
        <v>g</v>
      </c>
      <c r="T313" s="177">
        <f t="shared" si="143"/>
        <v>220</v>
      </c>
      <c r="U313" s="177">
        <f t="shared" si="144"/>
        <v>18</v>
      </c>
      <c r="V313" s="177">
        <f t="shared" si="145"/>
        <v>15</v>
      </c>
      <c r="W313" s="177">
        <f t="shared" si="146"/>
        <v>5</v>
      </c>
      <c r="X313" s="177">
        <f t="shared" si="147"/>
        <v>0</v>
      </c>
      <c r="Y313" s="175"/>
    </row>
    <row r="314" spans="14:25">
      <c r="N314" s="173">
        <v>46022</v>
      </c>
      <c r="O314" s="174">
        <v>0.54166666666666663</v>
      </c>
      <c r="P314" s="175" t="s">
        <v>185</v>
      </c>
      <c r="Q314" s="175" t="s">
        <v>330</v>
      </c>
      <c r="R314" s="176">
        <v>164.7</v>
      </c>
      <c r="S314" s="175" t="str">
        <f t="shared" si="142"/>
        <v>g</v>
      </c>
      <c r="T314" s="177">
        <f t="shared" si="143"/>
        <v>230.57999999999998</v>
      </c>
      <c r="U314" s="177">
        <f t="shared" si="144"/>
        <v>6.5879999999999992</v>
      </c>
      <c r="V314" s="177">
        <f t="shared" si="145"/>
        <v>1.6469999999999998</v>
      </c>
      <c r="W314" s="177">
        <f t="shared" si="146"/>
        <v>49.41</v>
      </c>
      <c r="X314" s="177">
        <f t="shared" si="147"/>
        <v>3.2939999999999996</v>
      </c>
      <c r="Y314" s="175"/>
    </row>
    <row r="315" spans="14:25">
      <c r="N315" s="173">
        <v>46022</v>
      </c>
      <c r="O315" s="174">
        <v>0.70833333333333337</v>
      </c>
      <c r="P315" s="175" t="s">
        <v>289</v>
      </c>
      <c r="Q315" s="175" t="s">
        <v>343</v>
      </c>
      <c r="R315" s="176">
        <v>1</v>
      </c>
      <c r="S315" s="175" t="str">
        <f t="shared" si="142"/>
        <v>bar</v>
      </c>
      <c r="T315" s="177">
        <f t="shared" si="143"/>
        <v>200</v>
      </c>
      <c r="U315" s="177">
        <f t="shared" si="144"/>
        <v>2</v>
      </c>
      <c r="V315" s="177">
        <f t="shared" si="145"/>
        <v>13</v>
      </c>
      <c r="W315" s="177">
        <f t="shared" si="146"/>
        <v>19</v>
      </c>
      <c r="X315" s="177">
        <f t="shared" si="147"/>
        <v>2</v>
      </c>
      <c r="Y315" s="175"/>
    </row>
    <row r="316" spans="14:25">
      <c r="N316" s="173">
        <v>46022</v>
      </c>
      <c r="O316" s="174">
        <v>0.70833333333333337</v>
      </c>
      <c r="P316" s="175" t="s">
        <v>289</v>
      </c>
      <c r="Q316" s="175" t="s">
        <v>219</v>
      </c>
      <c r="R316" s="176">
        <v>1</v>
      </c>
      <c r="S316" s="175" t="str">
        <f t="shared" si="142"/>
        <v>bottle</v>
      </c>
      <c r="T316" s="177">
        <f t="shared" si="143"/>
        <v>0</v>
      </c>
      <c r="U316" s="177">
        <f t="shared" si="144"/>
        <v>0</v>
      </c>
      <c r="V316" s="177">
        <f t="shared" si="145"/>
        <v>0</v>
      </c>
      <c r="W316" s="177">
        <f t="shared" si="146"/>
        <v>0</v>
      </c>
      <c r="X316" s="177">
        <f t="shared" si="147"/>
        <v>0</v>
      </c>
      <c r="Y316" s="175"/>
    </row>
    <row r="317" spans="14:25">
      <c r="N317" s="173">
        <v>46022</v>
      </c>
      <c r="O317" s="174">
        <v>0.79166666666666663</v>
      </c>
      <c r="P317" s="175" t="s">
        <v>199</v>
      </c>
      <c r="Q317" s="175" t="s">
        <v>176</v>
      </c>
      <c r="R317" s="176">
        <v>267</v>
      </c>
      <c r="S317" s="175" t="str">
        <f t="shared" si="142"/>
        <v>g</v>
      </c>
      <c r="T317" s="177">
        <f t="shared" si="143"/>
        <v>440.55</v>
      </c>
      <c r="U317" s="177">
        <f t="shared" si="144"/>
        <v>66.75</v>
      </c>
      <c r="V317" s="177">
        <f t="shared" si="145"/>
        <v>9.6120000000000001</v>
      </c>
      <c r="W317" s="177">
        <f t="shared" si="146"/>
        <v>0</v>
      </c>
      <c r="X317" s="177">
        <f t="shared" si="147"/>
        <v>0</v>
      </c>
      <c r="Y317" s="175"/>
    </row>
    <row r="318" spans="14:25">
      <c r="N318" s="173">
        <v>46022</v>
      </c>
      <c r="O318" s="174">
        <v>0.875</v>
      </c>
      <c r="P318" s="175" t="s">
        <v>289</v>
      </c>
      <c r="Q318" s="175" t="s">
        <v>334</v>
      </c>
      <c r="R318" s="176">
        <v>4</v>
      </c>
      <c r="S318" s="175" t="str">
        <f t="shared" si="142"/>
        <v>cookie</v>
      </c>
      <c r="T318" s="177">
        <f t="shared" si="143"/>
        <v>560</v>
      </c>
      <c r="U318" s="177">
        <f t="shared" si="144"/>
        <v>8</v>
      </c>
      <c r="V318" s="177">
        <f t="shared" si="145"/>
        <v>28</v>
      </c>
      <c r="W318" s="177">
        <f t="shared" si="146"/>
        <v>72</v>
      </c>
      <c r="X318" s="177">
        <f t="shared" si="147"/>
        <v>0</v>
      </c>
      <c r="Y318" s="175"/>
    </row>
    <row r="319" spans="14:25">
      <c r="N319" s="173">
        <v>46022</v>
      </c>
      <c r="O319" s="174">
        <v>0.95833333333333337</v>
      </c>
      <c r="P319" s="175" t="s">
        <v>289</v>
      </c>
      <c r="Q319" s="175" t="s">
        <v>345</v>
      </c>
      <c r="R319" s="176">
        <v>1</v>
      </c>
      <c r="S319" s="175" t="str">
        <f t="shared" si="142"/>
        <v>cone</v>
      </c>
      <c r="T319" s="177">
        <f t="shared" si="143"/>
        <v>220</v>
      </c>
      <c r="U319" s="177">
        <f t="shared" si="144"/>
        <v>3</v>
      </c>
      <c r="V319" s="177">
        <f t="shared" si="145"/>
        <v>8</v>
      </c>
      <c r="W319" s="177">
        <f t="shared" si="146"/>
        <v>35</v>
      </c>
      <c r="X319" s="177">
        <f t="shared" si="147"/>
        <v>2</v>
      </c>
      <c r="Y319" s="175"/>
    </row>
    <row r="320" spans="14:25">
      <c r="N320" s="173">
        <v>46022</v>
      </c>
      <c r="O320" s="174">
        <v>0.95833333333333337</v>
      </c>
      <c r="P320" s="175" t="s">
        <v>199</v>
      </c>
      <c r="Q320" s="175" t="s">
        <v>209</v>
      </c>
      <c r="R320" s="176">
        <v>3</v>
      </c>
      <c r="S320" s="175" t="str">
        <f t="shared" si="142"/>
        <v>tbsp</v>
      </c>
      <c r="T320" s="177">
        <f t="shared" si="143"/>
        <v>60</v>
      </c>
      <c r="U320" s="177">
        <f t="shared" si="144"/>
        <v>0</v>
      </c>
      <c r="V320" s="177">
        <f t="shared" si="145"/>
        <v>0</v>
      </c>
      <c r="W320" s="177">
        <f t="shared" si="146"/>
        <v>15</v>
      </c>
      <c r="X320" s="177">
        <f t="shared" si="147"/>
        <v>13.5</v>
      </c>
      <c r="Y320" s="175"/>
    </row>
    <row r="321" spans="14:25">
      <c r="N321" s="178"/>
      <c r="O321" s="179" t="s">
        <v>217</v>
      </c>
      <c r="P321" s="180"/>
      <c r="Q321" s="180"/>
      <c r="R321" s="180"/>
      <c r="S321" s="180"/>
      <c r="T321" s="181">
        <f>SUM(T308:T320)</f>
        <v>3101.9033333333332</v>
      </c>
      <c r="U321" s="181">
        <f>SUM(U308:U320)</f>
        <v>180.10466666666667</v>
      </c>
      <c r="V321" s="181">
        <f>SUM(V308:V320)</f>
        <v>138.44833333333332</v>
      </c>
      <c r="W321" s="181">
        <f>SUM(W308:W320)</f>
        <v>267.70999999999998</v>
      </c>
      <c r="X321" s="181">
        <f>SUM(X308:X320)</f>
        <v>26.193999999999999</v>
      </c>
      <c r="Y321" s="175"/>
    </row>
    <row r="322" spans="14:25">
      <c r="N322" s="178"/>
      <c r="O322" s="179" t="s">
        <v>220</v>
      </c>
      <c r="P322" s="180"/>
      <c r="Q322" s="180"/>
      <c r="R322" s="180"/>
      <c r="S322" s="180"/>
      <c r="T322" s="182">
        <f>$B$27</f>
        <v>2228.28125</v>
      </c>
      <c r="U322" s="182">
        <f>$B$29</f>
        <v>140.4</v>
      </c>
      <c r="V322" s="182">
        <f>$B$30</f>
        <v>64.739999999999995</v>
      </c>
      <c r="W322" s="182">
        <f>$B$31</f>
        <v>271.0053125</v>
      </c>
      <c r="X322" s="182">
        <f>$B$32</f>
        <v>31.195937500000003</v>
      </c>
      <c r="Y322" s="175"/>
    </row>
    <row r="323" spans="14:25">
      <c r="N323" s="178"/>
      <c r="O323" s="179" t="s">
        <v>222</v>
      </c>
      <c r="P323" s="180"/>
      <c r="Q323" s="180"/>
      <c r="R323" s="180"/>
      <c r="S323" s="180"/>
      <c r="T323" s="182">
        <f>T321-T322</f>
        <v>873.62208333333319</v>
      </c>
      <c r="U323" s="182">
        <f>U321-U322</f>
        <v>39.704666666666668</v>
      </c>
      <c r="V323" s="182">
        <f>V321-V322</f>
        <v>73.708333333333329</v>
      </c>
      <c r="W323" s="182">
        <f>W321-W322</f>
        <v>-3.2953125000000227</v>
      </c>
      <c r="X323" s="182">
        <f>X321-X322</f>
        <v>-5.0019375000000039</v>
      </c>
      <c r="Y323" s="175"/>
    </row>
    <row r="324" spans="14:25">
      <c r="N324" s="173">
        <v>46023</v>
      </c>
      <c r="O324" s="174"/>
      <c r="P324" s="175"/>
      <c r="Q324" s="175"/>
      <c r="R324" s="176"/>
      <c r="S324" s="175" t="str">
        <f t="shared" ref="S324:S337" si="148">IFERROR(VLOOKUP(Q324, $E$5:$L$109, 3, FALSE), "")</f>
        <v/>
      </c>
      <c r="T324" s="177" t="str">
        <f t="shared" ref="T324:T337" si="149">IFERROR(VLOOKUP(Q324, $E$5:$L$109, 4, FALSE) * (R324 / VLOOKUP(Q324, $E$5:$L$109, 2, FALSE)), "")</f>
        <v/>
      </c>
      <c r="U324" s="177" t="str">
        <f t="shared" ref="U324:U337" si="150">IFERROR(VLOOKUP(Q324, $E$5:$L$109, 5, FALSE) * (R324 / VLOOKUP(Q324, $E$5:$L$109, 2, FALSE)), "")</f>
        <v/>
      </c>
      <c r="V324" s="177" t="str">
        <f t="shared" ref="V324:V337" si="151">IFERROR(VLOOKUP(Q324, $E$5:$L$109, 6, FALSE) * (R324 / VLOOKUP(Q324, $E$5:$L$109, 2, FALSE)), "")</f>
        <v/>
      </c>
      <c r="W324" s="177" t="str">
        <f t="shared" ref="W324:W337" si="152">IFERROR(VLOOKUP(Q324, $E$5:$L$109, 7, FALSE) * (R324 / VLOOKUP(Q324, $E$5:$L$109, 2, FALSE)), "")</f>
        <v/>
      </c>
      <c r="X324" s="177" t="str">
        <f t="shared" ref="X324:X337" si="153">IFERROR(VLOOKUP(Q324, $E$5:$L$109, 8, FALSE) * (R324 / VLOOKUP(Q324, $E$5:$L$109, 2, FALSE)), "")</f>
        <v/>
      </c>
      <c r="Y324" s="175"/>
    </row>
    <row r="325" spans="14:25">
      <c r="N325" s="173">
        <v>46023</v>
      </c>
      <c r="O325" s="174"/>
      <c r="P325" s="175"/>
      <c r="Q325" s="175"/>
      <c r="R325" s="176"/>
      <c r="S325" s="175" t="str">
        <f t="shared" si="148"/>
        <v/>
      </c>
      <c r="T325" s="177" t="str">
        <f t="shared" si="149"/>
        <v/>
      </c>
      <c r="U325" s="177" t="str">
        <f t="shared" si="150"/>
        <v/>
      </c>
      <c r="V325" s="177" t="str">
        <f t="shared" si="151"/>
        <v/>
      </c>
      <c r="W325" s="177" t="str">
        <f t="shared" si="152"/>
        <v/>
      </c>
      <c r="X325" s="177" t="str">
        <f t="shared" si="153"/>
        <v/>
      </c>
      <c r="Y325" s="175"/>
    </row>
    <row r="326" spans="14:25">
      <c r="N326" s="173">
        <v>46023</v>
      </c>
      <c r="O326" s="174"/>
      <c r="P326" s="175"/>
      <c r="Q326" s="175"/>
      <c r="R326" s="176"/>
      <c r="S326" s="175" t="str">
        <f t="shared" si="148"/>
        <v/>
      </c>
      <c r="T326" s="177" t="str">
        <f t="shared" si="149"/>
        <v/>
      </c>
      <c r="U326" s="177" t="str">
        <f t="shared" si="150"/>
        <v/>
      </c>
      <c r="V326" s="177" t="str">
        <f t="shared" si="151"/>
        <v/>
      </c>
      <c r="W326" s="177" t="str">
        <f t="shared" si="152"/>
        <v/>
      </c>
      <c r="X326" s="177" t="str">
        <f t="shared" si="153"/>
        <v/>
      </c>
      <c r="Y326" s="175"/>
    </row>
    <row r="327" spans="14:25">
      <c r="N327" s="173">
        <v>46023</v>
      </c>
      <c r="O327" s="174"/>
      <c r="P327" s="175"/>
      <c r="Q327" s="175"/>
      <c r="R327" s="176"/>
      <c r="S327" s="175" t="str">
        <f t="shared" si="148"/>
        <v/>
      </c>
      <c r="T327" s="177" t="str">
        <f t="shared" si="149"/>
        <v/>
      </c>
      <c r="U327" s="177" t="str">
        <f t="shared" si="150"/>
        <v/>
      </c>
      <c r="V327" s="177" t="str">
        <f t="shared" si="151"/>
        <v/>
      </c>
      <c r="W327" s="177" t="str">
        <f t="shared" si="152"/>
        <v/>
      </c>
      <c r="X327" s="177" t="str">
        <f t="shared" si="153"/>
        <v/>
      </c>
      <c r="Y327" s="175"/>
    </row>
    <row r="328" spans="14:25">
      <c r="N328" s="173">
        <v>46023</v>
      </c>
      <c r="O328" s="174"/>
      <c r="P328" s="175"/>
      <c r="Q328" s="175"/>
      <c r="R328" s="176"/>
      <c r="S328" s="175" t="str">
        <f t="shared" si="148"/>
        <v/>
      </c>
      <c r="T328" s="177" t="str">
        <f t="shared" si="149"/>
        <v/>
      </c>
      <c r="U328" s="177" t="str">
        <f t="shared" si="150"/>
        <v/>
      </c>
      <c r="V328" s="177" t="str">
        <f t="shared" si="151"/>
        <v/>
      </c>
      <c r="W328" s="177" t="str">
        <f t="shared" si="152"/>
        <v/>
      </c>
      <c r="X328" s="177" t="str">
        <f t="shared" si="153"/>
        <v/>
      </c>
      <c r="Y328" s="175"/>
    </row>
    <row r="329" spans="14:25">
      <c r="N329" s="173">
        <v>46023</v>
      </c>
      <c r="O329" s="174"/>
      <c r="P329" s="175"/>
      <c r="Q329" s="175"/>
      <c r="R329" s="176"/>
      <c r="S329" s="175" t="str">
        <f t="shared" si="148"/>
        <v/>
      </c>
      <c r="T329" s="177" t="str">
        <f t="shared" si="149"/>
        <v/>
      </c>
      <c r="U329" s="177" t="str">
        <f t="shared" si="150"/>
        <v/>
      </c>
      <c r="V329" s="177" t="str">
        <f t="shared" si="151"/>
        <v/>
      </c>
      <c r="W329" s="177" t="str">
        <f t="shared" si="152"/>
        <v/>
      </c>
      <c r="X329" s="177" t="str">
        <f t="shared" si="153"/>
        <v/>
      </c>
      <c r="Y329" s="175"/>
    </row>
    <row r="330" spans="14:25">
      <c r="N330" s="173">
        <v>46023</v>
      </c>
      <c r="O330" s="174"/>
      <c r="P330" s="175"/>
      <c r="Q330" s="175"/>
      <c r="R330" s="176"/>
      <c r="S330" s="175" t="str">
        <f t="shared" si="148"/>
        <v/>
      </c>
      <c r="T330" s="177" t="str">
        <f t="shared" si="149"/>
        <v/>
      </c>
      <c r="U330" s="177" t="str">
        <f t="shared" si="150"/>
        <v/>
      </c>
      <c r="V330" s="177" t="str">
        <f t="shared" si="151"/>
        <v/>
      </c>
      <c r="W330" s="177" t="str">
        <f t="shared" si="152"/>
        <v/>
      </c>
      <c r="X330" s="177" t="str">
        <f t="shared" si="153"/>
        <v/>
      </c>
      <c r="Y330" s="175"/>
    </row>
    <row r="331" spans="14:25">
      <c r="N331" s="173">
        <v>46023</v>
      </c>
      <c r="O331" s="174"/>
      <c r="P331" s="175"/>
      <c r="Q331" s="175"/>
      <c r="R331" s="176"/>
      <c r="S331" s="175" t="str">
        <f t="shared" si="148"/>
        <v/>
      </c>
      <c r="T331" s="177" t="str">
        <f t="shared" si="149"/>
        <v/>
      </c>
      <c r="U331" s="177" t="str">
        <f t="shared" si="150"/>
        <v/>
      </c>
      <c r="V331" s="177" t="str">
        <f t="shared" si="151"/>
        <v/>
      </c>
      <c r="W331" s="177" t="str">
        <f t="shared" si="152"/>
        <v/>
      </c>
      <c r="X331" s="177" t="str">
        <f t="shared" si="153"/>
        <v/>
      </c>
      <c r="Y331" s="175"/>
    </row>
    <row r="332" spans="14:25">
      <c r="N332" s="173">
        <v>46023</v>
      </c>
      <c r="O332" s="174"/>
      <c r="P332" s="175"/>
      <c r="Q332" s="175"/>
      <c r="R332" s="176"/>
      <c r="S332" s="175" t="str">
        <f t="shared" si="148"/>
        <v/>
      </c>
      <c r="T332" s="177" t="str">
        <f t="shared" si="149"/>
        <v/>
      </c>
      <c r="U332" s="177" t="str">
        <f t="shared" si="150"/>
        <v/>
      </c>
      <c r="V332" s="177" t="str">
        <f t="shared" si="151"/>
        <v/>
      </c>
      <c r="W332" s="177" t="str">
        <f t="shared" si="152"/>
        <v/>
      </c>
      <c r="X332" s="177" t="str">
        <f t="shared" si="153"/>
        <v/>
      </c>
      <c r="Y332" s="175"/>
    </row>
    <row r="333" spans="14:25">
      <c r="N333" s="173">
        <v>46023</v>
      </c>
      <c r="O333" s="174"/>
      <c r="P333" s="175"/>
      <c r="Q333" s="175"/>
      <c r="R333" s="176"/>
      <c r="S333" s="175" t="str">
        <f t="shared" si="148"/>
        <v/>
      </c>
      <c r="T333" s="177" t="str">
        <f t="shared" si="149"/>
        <v/>
      </c>
      <c r="U333" s="177" t="str">
        <f t="shared" si="150"/>
        <v/>
      </c>
      <c r="V333" s="177" t="str">
        <f t="shared" si="151"/>
        <v/>
      </c>
      <c r="W333" s="177" t="str">
        <f t="shared" si="152"/>
        <v/>
      </c>
      <c r="X333" s="177" t="str">
        <f t="shared" si="153"/>
        <v/>
      </c>
      <c r="Y333" s="175"/>
    </row>
    <row r="334" spans="14:25">
      <c r="N334" s="173">
        <v>46023</v>
      </c>
      <c r="O334" s="174"/>
      <c r="P334" s="175"/>
      <c r="Q334" s="175"/>
      <c r="R334" s="176"/>
      <c r="S334" s="175" t="str">
        <f t="shared" si="148"/>
        <v/>
      </c>
      <c r="T334" s="177" t="str">
        <f t="shared" si="149"/>
        <v/>
      </c>
      <c r="U334" s="177" t="str">
        <f t="shared" si="150"/>
        <v/>
      </c>
      <c r="V334" s="177" t="str">
        <f t="shared" si="151"/>
        <v/>
      </c>
      <c r="W334" s="177" t="str">
        <f t="shared" si="152"/>
        <v/>
      </c>
      <c r="X334" s="177" t="str">
        <f t="shared" si="153"/>
        <v/>
      </c>
      <c r="Y334" s="175"/>
    </row>
    <row r="335" spans="14:25">
      <c r="N335" s="173">
        <v>46023</v>
      </c>
      <c r="O335" s="174"/>
      <c r="P335" s="175"/>
      <c r="Q335" s="175"/>
      <c r="R335" s="176"/>
      <c r="S335" s="175" t="str">
        <f t="shared" si="148"/>
        <v/>
      </c>
      <c r="T335" s="177" t="str">
        <f t="shared" si="149"/>
        <v/>
      </c>
      <c r="U335" s="177" t="str">
        <f t="shared" si="150"/>
        <v/>
      </c>
      <c r="V335" s="177" t="str">
        <f t="shared" si="151"/>
        <v/>
      </c>
      <c r="W335" s="177" t="str">
        <f t="shared" si="152"/>
        <v/>
      </c>
      <c r="X335" s="177" t="str">
        <f t="shared" si="153"/>
        <v/>
      </c>
      <c r="Y335" s="175"/>
    </row>
    <row r="336" spans="14:25">
      <c r="N336" s="173">
        <v>46023</v>
      </c>
      <c r="O336" s="174"/>
      <c r="P336" s="175"/>
      <c r="Q336" s="175"/>
      <c r="R336" s="176"/>
      <c r="S336" s="175" t="str">
        <f t="shared" si="148"/>
        <v/>
      </c>
      <c r="T336" s="177" t="str">
        <f t="shared" si="149"/>
        <v/>
      </c>
      <c r="U336" s="177" t="str">
        <f t="shared" si="150"/>
        <v/>
      </c>
      <c r="V336" s="177" t="str">
        <f t="shared" si="151"/>
        <v/>
      </c>
      <c r="W336" s="177" t="str">
        <f t="shared" si="152"/>
        <v/>
      </c>
      <c r="X336" s="177" t="str">
        <f t="shared" si="153"/>
        <v/>
      </c>
      <c r="Y336" s="175"/>
    </row>
    <row r="337" spans="14:25">
      <c r="N337" s="173">
        <v>46023</v>
      </c>
      <c r="O337" s="174"/>
      <c r="P337" s="175"/>
      <c r="Q337" s="175"/>
      <c r="R337" s="176"/>
      <c r="S337" s="175" t="str">
        <f t="shared" si="148"/>
        <v/>
      </c>
      <c r="T337" s="177" t="str">
        <f t="shared" si="149"/>
        <v/>
      </c>
      <c r="U337" s="177" t="str">
        <f t="shared" si="150"/>
        <v/>
      </c>
      <c r="V337" s="177" t="str">
        <f t="shared" si="151"/>
        <v/>
      </c>
      <c r="W337" s="177" t="str">
        <f t="shared" si="152"/>
        <v/>
      </c>
      <c r="X337" s="177" t="str">
        <f t="shared" si="153"/>
        <v/>
      </c>
      <c r="Y337" s="175"/>
    </row>
    <row r="338" spans="14:25">
      <c r="N338" s="178"/>
      <c r="O338" s="179" t="s">
        <v>217</v>
      </c>
      <c r="P338" s="180"/>
      <c r="Q338" s="180"/>
      <c r="R338" s="180"/>
      <c r="S338" s="180"/>
      <c r="T338" s="181">
        <f>SUM(T324:T337)</f>
        <v>0</v>
      </c>
      <c r="U338" s="181">
        <f>SUM(U324:U337)</f>
        <v>0</v>
      </c>
      <c r="V338" s="181">
        <f>SUM(V324:V337)</f>
        <v>0</v>
      </c>
      <c r="W338" s="181">
        <f>SUM(W324:W337)</f>
        <v>0</v>
      </c>
      <c r="X338" s="181">
        <f>SUM(X324:X337)</f>
        <v>0</v>
      </c>
      <c r="Y338" s="175"/>
    </row>
    <row r="339" spans="14:25">
      <c r="N339" s="178"/>
      <c r="O339" s="179" t="s">
        <v>220</v>
      </c>
      <c r="P339" s="180"/>
      <c r="Q339" s="180"/>
      <c r="R339" s="180"/>
      <c r="S339" s="180"/>
      <c r="T339" s="182">
        <f>$B$27</f>
        <v>2228.28125</v>
      </c>
      <c r="U339" s="182">
        <f>$B$29</f>
        <v>140.4</v>
      </c>
      <c r="V339" s="182">
        <f>$B$30</f>
        <v>64.739999999999995</v>
      </c>
      <c r="W339" s="182">
        <f>$B$31</f>
        <v>271.0053125</v>
      </c>
      <c r="X339" s="182">
        <f>$B$32</f>
        <v>31.195937500000003</v>
      </c>
      <c r="Y339" s="175"/>
    </row>
    <row r="340" spans="14:25">
      <c r="N340" s="178"/>
      <c r="O340" s="179" t="s">
        <v>222</v>
      </c>
      <c r="P340" s="180"/>
      <c r="Q340" s="180"/>
      <c r="R340" s="180"/>
      <c r="S340" s="180"/>
      <c r="T340" s="182">
        <f>T338-T339</f>
        <v>-2228.28125</v>
      </c>
      <c r="U340" s="182">
        <f>U338-U339</f>
        <v>-140.4</v>
      </c>
      <c r="V340" s="182">
        <f>V338-V339</f>
        <v>-64.739999999999995</v>
      </c>
      <c r="W340" s="182">
        <f>W338-W339</f>
        <v>-271.0053125</v>
      </c>
      <c r="X340" s="182">
        <f>X338-X339</f>
        <v>-31.195937500000003</v>
      </c>
      <c r="Y340" s="175"/>
    </row>
    <row r="341" spans="14:25">
      <c r="N341" s="173">
        <v>46024</v>
      </c>
      <c r="O341" s="174"/>
      <c r="P341" s="175"/>
      <c r="Q341" s="175"/>
      <c r="R341" s="176"/>
      <c r="S341" s="175" t="str">
        <f t="shared" ref="S341:S354" si="154">IFERROR(VLOOKUP(Q341, $E$5:$L$109, 3, FALSE), "")</f>
        <v/>
      </c>
      <c r="T341" s="177" t="str">
        <f t="shared" ref="T341:T354" si="155">IFERROR(VLOOKUP(Q341, $E$5:$L$109, 4, FALSE) * (R341 / VLOOKUP(Q341, $E$5:$L$109, 2, FALSE)), "")</f>
        <v/>
      </c>
      <c r="U341" s="177" t="str">
        <f t="shared" ref="U341:U354" si="156">IFERROR(VLOOKUP(Q341, $E$5:$L$109, 5, FALSE) * (R341 / VLOOKUP(Q341, $E$5:$L$109, 2, FALSE)), "")</f>
        <v/>
      </c>
      <c r="V341" s="177" t="str">
        <f t="shared" ref="V341:V354" si="157">IFERROR(VLOOKUP(Q341, $E$5:$L$109, 6, FALSE) * (R341 / VLOOKUP(Q341, $E$5:$L$109, 2, FALSE)), "")</f>
        <v/>
      </c>
      <c r="W341" s="177" t="str">
        <f t="shared" ref="W341:W354" si="158">IFERROR(VLOOKUP(Q341, $E$5:$L$109, 7, FALSE) * (R341 / VLOOKUP(Q341, $E$5:$L$109, 2, FALSE)), "")</f>
        <v/>
      </c>
      <c r="X341" s="177" t="str">
        <f t="shared" ref="X341:X354" si="159">IFERROR(VLOOKUP(Q341, $E$5:$L$109, 8, FALSE) * (R341 / VLOOKUP(Q341, $E$5:$L$109, 2, FALSE)), "")</f>
        <v/>
      </c>
      <c r="Y341" s="175"/>
    </row>
    <row r="342" spans="14:25">
      <c r="N342" s="173">
        <v>46024</v>
      </c>
      <c r="O342" s="174"/>
      <c r="P342" s="175"/>
      <c r="Q342" s="175"/>
      <c r="R342" s="176"/>
      <c r="S342" s="175" t="str">
        <f t="shared" si="154"/>
        <v/>
      </c>
      <c r="T342" s="177" t="str">
        <f t="shared" si="155"/>
        <v/>
      </c>
      <c r="U342" s="177" t="str">
        <f t="shared" si="156"/>
        <v/>
      </c>
      <c r="V342" s="177" t="str">
        <f t="shared" si="157"/>
        <v/>
      </c>
      <c r="W342" s="177" t="str">
        <f t="shared" si="158"/>
        <v/>
      </c>
      <c r="X342" s="177" t="str">
        <f t="shared" si="159"/>
        <v/>
      </c>
      <c r="Y342" s="175"/>
    </row>
    <row r="343" spans="14:25">
      <c r="N343" s="173">
        <v>46024</v>
      </c>
      <c r="O343" s="174"/>
      <c r="P343" s="175"/>
      <c r="Q343" s="175"/>
      <c r="R343" s="176"/>
      <c r="S343" s="175" t="str">
        <f t="shared" si="154"/>
        <v/>
      </c>
      <c r="T343" s="177" t="str">
        <f t="shared" si="155"/>
        <v/>
      </c>
      <c r="U343" s="177" t="str">
        <f t="shared" si="156"/>
        <v/>
      </c>
      <c r="V343" s="177" t="str">
        <f t="shared" si="157"/>
        <v/>
      </c>
      <c r="W343" s="177" t="str">
        <f t="shared" si="158"/>
        <v/>
      </c>
      <c r="X343" s="177" t="str">
        <f t="shared" si="159"/>
        <v/>
      </c>
      <c r="Y343" s="175"/>
    </row>
    <row r="344" spans="14:25">
      <c r="N344" s="173">
        <v>46024</v>
      </c>
      <c r="O344" s="174"/>
      <c r="P344" s="175"/>
      <c r="Q344" s="175"/>
      <c r="R344" s="176"/>
      <c r="S344" s="175" t="str">
        <f t="shared" si="154"/>
        <v/>
      </c>
      <c r="T344" s="177" t="str">
        <f t="shared" si="155"/>
        <v/>
      </c>
      <c r="U344" s="177" t="str">
        <f t="shared" si="156"/>
        <v/>
      </c>
      <c r="V344" s="177" t="str">
        <f t="shared" si="157"/>
        <v/>
      </c>
      <c r="W344" s="177" t="str">
        <f t="shared" si="158"/>
        <v/>
      </c>
      <c r="X344" s="177" t="str">
        <f t="shared" si="159"/>
        <v/>
      </c>
      <c r="Y344" s="175"/>
    </row>
    <row r="345" spans="14:25">
      <c r="N345" s="173">
        <v>46024</v>
      </c>
      <c r="O345" s="174"/>
      <c r="P345" s="175"/>
      <c r="Q345" s="175"/>
      <c r="R345" s="176"/>
      <c r="S345" s="175" t="str">
        <f t="shared" si="154"/>
        <v/>
      </c>
      <c r="T345" s="177" t="str">
        <f t="shared" si="155"/>
        <v/>
      </c>
      <c r="U345" s="177" t="str">
        <f t="shared" si="156"/>
        <v/>
      </c>
      <c r="V345" s="177" t="str">
        <f t="shared" si="157"/>
        <v/>
      </c>
      <c r="W345" s="177" t="str">
        <f t="shared" si="158"/>
        <v/>
      </c>
      <c r="X345" s="177" t="str">
        <f t="shared" si="159"/>
        <v/>
      </c>
      <c r="Y345" s="175"/>
    </row>
    <row r="346" spans="14:25">
      <c r="N346" s="173">
        <v>46024</v>
      </c>
      <c r="O346" s="174"/>
      <c r="P346" s="175"/>
      <c r="Q346" s="175"/>
      <c r="R346" s="176"/>
      <c r="S346" s="175" t="str">
        <f t="shared" si="154"/>
        <v/>
      </c>
      <c r="T346" s="177" t="str">
        <f t="shared" si="155"/>
        <v/>
      </c>
      <c r="U346" s="177" t="str">
        <f t="shared" si="156"/>
        <v/>
      </c>
      <c r="V346" s="177" t="str">
        <f t="shared" si="157"/>
        <v/>
      </c>
      <c r="W346" s="177" t="str">
        <f t="shared" si="158"/>
        <v/>
      </c>
      <c r="X346" s="177" t="str">
        <f t="shared" si="159"/>
        <v/>
      </c>
      <c r="Y346" s="175"/>
    </row>
    <row r="347" spans="14:25">
      <c r="N347" s="173">
        <v>46024</v>
      </c>
      <c r="O347" s="174"/>
      <c r="P347" s="175"/>
      <c r="Q347" s="175"/>
      <c r="R347" s="176"/>
      <c r="S347" s="175" t="str">
        <f t="shared" si="154"/>
        <v/>
      </c>
      <c r="T347" s="177" t="str">
        <f t="shared" si="155"/>
        <v/>
      </c>
      <c r="U347" s="177" t="str">
        <f t="shared" si="156"/>
        <v/>
      </c>
      <c r="V347" s="177" t="str">
        <f t="shared" si="157"/>
        <v/>
      </c>
      <c r="W347" s="177" t="str">
        <f t="shared" si="158"/>
        <v/>
      </c>
      <c r="X347" s="177" t="str">
        <f t="shared" si="159"/>
        <v/>
      </c>
      <c r="Y347" s="175"/>
    </row>
    <row r="348" spans="14:25">
      <c r="N348" s="173">
        <v>46024</v>
      </c>
      <c r="O348" s="174"/>
      <c r="P348" s="175"/>
      <c r="Q348" s="175"/>
      <c r="R348" s="176"/>
      <c r="S348" s="175" t="str">
        <f t="shared" si="154"/>
        <v/>
      </c>
      <c r="T348" s="177" t="str">
        <f t="shared" si="155"/>
        <v/>
      </c>
      <c r="U348" s="177" t="str">
        <f t="shared" si="156"/>
        <v/>
      </c>
      <c r="V348" s="177" t="str">
        <f t="shared" si="157"/>
        <v/>
      </c>
      <c r="W348" s="177" t="str">
        <f t="shared" si="158"/>
        <v/>
      </c>
      <c r="X348" s="177" t="str">
        <f t="shared" si="159"/>
        <v/>
      </c>
      <c r="Y348" s="175"/>
    </row>
    <row r="349" spans="14:25">
      <c r="N349" s="173">
        <v>46024</v>
      </c>
      <c r="O349" s="174"/>
      <c r="P349" s="175"/>
      <c r="Q349" s="175"/>
      <c r="R349" s="176"/>
      <c r="S349" s="175" t="str">
        <f t="shared" si="154"/>
        <v/>
      </c>
      <c r="T349" s="177" t="str">
        <f t="shared" si="155"/>
        <v/>
      </c>
      <c r="U349" s="177" t="str">
        <f t="shared" si="156"/>
        <v/>
      </c>
      <c r="V349" s="177" t="str">
        <f t="shared" si="157"/>
        <v/>
      </c>
      <c r="W349" s="177" t="str">
        <f t="shared" si="158"/>
        <v/>
      </c>
      <c r="X349" s="177" t="str">
        <f t="shared" si="159"/>
        <v/>
      </c>
      <c r="Y349" s="175"/>
    </row>
    <row r="350" spans="14:25">
      <c r="N350" s="173">
        <v>46024</v>
      </c>
      <c r="O350" s="174"/>
      <c r="P350" s="175"/>
      <c r="Q350" s="175"/>
      <c r="R350" s="176"/>
      <c r="S350" s="175" t="str">
        <f t="shared" si="154"/>
        <v/>
      </c>
      <c r="T350" s="177" t="str">
        <f t="shared" si="155"/>
        <v/>
      </c>
      <c r="U350" s="177" t="str">
        <f t="shared" si="156"/>
        <v/>
      </c>
      <c r="V350" s="177" t="str">
        <f t="shared" si="157"/>
        <v/>
      </c>
      <c r="W350" s="177" t="str">
        <f t="shared" si="158"/>
        <v/>
      </c>
      <c r="X350" s="177" t="str">
        <f t="shared" si="159"/>
        <v/>
      </c>
      <c r="Y350" s="175"/>
    </row>
    <row r="351" spans="14:25">
      <c r="N351" s="173">
        <v>46024</v>
      </c>
      <c r="O351" s="174"/>
      <c r="P351" s="175"/>
      <c r="Q351" s="175"/>
      <c r="R351" s="176"/>
      <c r="S351" s="175" t="str">
        <f t="shared" si="154"/>
        <v/>
      </c>
      <c r="T351" s="177" t="str">
        <f t="shared" si="155"/>
        <v/>
      </c>
      <c r="U351" s="177" t="str">
        <f t="shared" si="156"/>
        <v/>
      </c>
      <c r="V351" s="177" t="str">
        <f t="shared" si="157"/>
        <v/>
      </c>
      <c r="W351" s="177" t="str">
        <f t="shared" si="158"/>
        <v/>
      </c>
      <c r="X351" s="177" t="str">
        <f t="shared" si="159"/>
        <v/>
      </c>
      <c r="Y351" s="175"/>
    </row>
    <row r="352" spans="14:25">
      <c r="N352" s="173">
        <v>46024</v>
      </c>
      <c r="O352" s="174"/>
      <c r="P352" s="175"/>
      <c r="Q352" s="175"/>
      <c r="R352" s="176"/>
      <c r="S352" s="175" t="str">
        <f t="shared" si="154"/>
        <v/>
      </c>
      <c r="T352" s="177" t="str">
        <f t="shared" si="155"/>
        <v/>
      </c>
      <c r="U352" s="177" t="str">
        <f t="shared" si="156"/>
        <v/>
      </c>
      <c r="V352" s="177" t="str">
        <f t="shared" si="157"/>
        <v/>
      </c>
      <c r="W352" s="177" t="str">
        <f t="shared" si="158"/>
        <v/>
      </c>
      <c r="X352" s="177" t="str">
        <f t="shared" si="159"/>
        <v/>
      </c>
      <c r="Y352" s="175"/>
    </row>
    <row r="353" spans="11:25">
      <c r="N353" s="173">
        <v>46024</v>
      </c>
      <c r="O353" s="174"/>
      <c r="P353" s="175"/>
      <c r="Q353" s="175"/>
      <c r="R353" s="176"/>
      <c r="S353" s="175" t="str">
        <f t="shared" si="154"/>
        <v/>
      </c>
      <c r="T353" s="177" t="str">
        <f t="shared" si="155"/>
        <v/>
      </c>
      <c r="U353" s="177" t="str">
        <f t="shared" si="156"/>
        <v/>
      </c>
      <c r="V353" s="177" t="str">
        <f t="shared" si="157"/>
        <v/>
      </c>
      <c r="W353" s="177" t="str">
        <f t="shared" si="158"/>
        <v/>
      </c>
      <c r="X353" s="177" t="str">
        <f t="shared" si="159"/>
        <v/>
      </c>
      <c r="Y353" s="175"/>
    </row>
    <row r="354" spans="11:25">
      <c r="N354" s="173">
        <v>46024</v>
      </c>
      <c r="O354" s="174"/>
      <c r="P354" s="175"/>
      <c r="Q354" s="175"/>
      <c r="R354" s="176"/>
      <c r="S354" s="175" t="str">
        <f t="shared" si="154"/>
        <v/>
      </c>
      <c r="T354" s="177" t="str">
        <f t="shared" si="155"/>
        <v/>
      </c>
      <c r="U354" s="177" t="str">
        <f t="shared" si="156"/>
        <v/>
      </c>
      <c r="V354" s="177" t="str">
        <f t="shared" si="157"/>
        <v/>
      </c>
      <c r="W354" s="177" t="str">
        <f t="shared" si="158"/>
        <v/>
      </c>
      <c r="X354" s="177" t="str">
        <f t="shared" si="159"/>
        <v/>
      </c>
      <c r="Y354" s="175"/>
    </row>
    <row r="355" spans="11:25">
      <c r="N355" s="178"/>
      <c r="O355" s="179" t="s">
        <v>217</v>
      </c>
      <c r="P355" s="180"/>
      <c r="Q355" s="180"/>
      <c r="R355" s="180"/>
      <c r="S355" s="180"/>
      <c r="T355" s="181">
        <f>SUM(T341:T354)</f>
        <v>0</v>
      </c>
      <c r="U355" s="181">
        <f>SUM(U341:U354)</f>
        <v>0</v>
      </c>
      <c r="V355" s="181">
        <f>SUM(V341:V354)</f>
        <v>0</v>
      </c>
      <c r="W355" s="181">
        <f>SUM(W341:W354)</f>
        <v>0</v>
      </c>
      <c r="X355" s="181">
        <f>SUM(X341:X354)</f>
        <v>0</v>
      </c>
      <c r="Y355" s="175"/>
    </row>
    <row r="356" spans="11:25">
      <c r="N356" s="178"/>
      <c r="O356" s="179" t="s">
        <v>220</v>
      </c>
      <c r="P356" s="180"/>
      <c r="Q356" s="180"/>
      <c r="R356" s="180"/>
      <c r="S356" s="180"/>
      <c r="T356" s="182">
        <f>$B$27</f>
        <v>2228.28125</v>
      </c>
      <c r="U356" s="182">
        <f>$B$29</f>
        <v>140.4</v>
      </c>
      <c r="V356" s="182">
        <f>$B$30</f>
        <v>64.739999999999995</v>
      </c>
      <c r="W356" s="182">
        <f>$B$31</f>
        <v>271.0053125</v>
      </c>
      <c r="X356" s="182">
        <f>$B$32</f>
        <v>31.195937500000003</v>
      </c>
      <c r="Y356" s="175"/>
    </row>
    <row r="357" spans="11:25">
      <c r="N357" s="178"/>
      <c r="O357" s="179" t="s">
        <v>222</v>
      </c>
      <c r="P357" s="180"/>
      <c r="Q357" s="180"/>
      <c r="R357" s="180"/>
      <c r="S357" s="180"/>
      <c r="T357" s="182">
        <f>T355-T356</f>
        <v>-2228.28125</v>
      </c>
      <c r="U357" s="182">
        <f>U355-U356</f>
        <v>-140.4</v>
      </c>
      <c r="V357" s="182">
        <f>V355-V356</f>
        <v>-64.739999999999995</v>
      </c>
      <c r="W357" s="182">
        <f>W355-W356</f>
        <v>-271.0053125</v>
      </c>
      <c r="X357" s="182">
        <f>X355-X356</f>
        <v>-31.195937500000003</v>
      </c>
      <c r="Y357" s="175"/>
    </row>
    <row r="358" spans="11:25">
      <c r="N358" s="173">
        <v>46025</v>
      </c>
      <c r="O358" s="174"/>
      <c r="P358" s="175"/>
      <c r="Q358" s="175"/>
      <c r="R358" s="176"/>
      <c r="S358" s="175" t="str">
        <f t="shared" ref="S358:S371" si="160">IFERROR(VLOOKUP(Q358, $E$5:$L$109, 3, FALSE), "")</f>
        <v/>
      </c>
      <c r="T358" s="177" t="str">
        <f t="shared" ref="T358:T371" si="161">IFERROR(VLOOKUP(Q358, $E$5:$L$109, 4, FALSE) * (R358 / VLOOKUP(Q358, $E$5:$L$109, 2, FALSE)), "")</f>
        <v/>
      </c>
      <c r="U358" s="177" t="str">
        <f t="shared" ref="U358:U371" si="162">IFERROR(VLOOKUP(Q358, $E$5:$L$109, 5, FALSE) * (R358 / VLOOKUP(Q358, $E$5:$L$109, 2, FALSE)), "")</f>
        <v/>
      </c>
      <c r="V358" s="177" t="str">
        <f t="shared" ref="V358:V371" si="163">IFERROR(VLOOKUP(Q358, $E$5:$L$109, 6, FALSE) * (R358 / VLOOKUP(Q358, $E$5:$L$109, 2, FALSE)), "")</f>
        <v/>
      </c>
      <c r="W358" s="177" t="str">
        <f t="shared" ref="W358:W371" si="164">IFERROR(VLOOKUP(Q358, $E$5:$L$109, 7, FALSE) * (R358 / VLOOKUP(Q358, $E$5:$L$109, 2, FALSE)), "")</f>
        <v/>
      </c>
      <c r="X358" s="177" t="str">
        <f t="shared" ref="X358:X371" si="165">IFERROR(VLOOKUP(Q358, $E$5:$L$109, 8, FALSE) * (R358 / VLOOKUP(Q358, $E$5:$L$109, 2, FALSE)), "")</f>
        <v/>
      </c>
      <c r="Y358" s="175"/>
    </row>
    <row r="359" spans="11:25">
      <c r="N359" s="173">
        <v>46025</v>
      </c>
      <c r="O359" s="174"/>
      <c r="P359" s="175"/>
      <c r="Q359" s="175"/>
      <c r="R359" s="176"/>
      <c r="S359" s="175" t="str">
        <f t="shared" si="160"/>
        <v/>
      </c>
      <c r="T359" s="177" t="str">
        <f t="shared" si="161"/>
        <v/>
      </c>
      <c r="U359" s="177" t="str">
        <f t="shared" si="162"/>
        <v/>
      </c>
      <c r="V359" s="177" t="str">
        <f t="shared" si="163"/>
        <v/>
      </c>
      <c r="W359" s="177" t="str">
        <f t="shared" si="164"/>
        <v/>
      </c>
      <c r="X359" s="177" t="str">
        <f t="shared" si="165"/>
        <v/>
      </c>
      <c r="Y359" s="175"/>
    </row>
    <row r="360" spans="11:25">
      <c r="N360" s="173">
        <v>46025</v>
      </c>
      <c r="O360" s="174"/>
      <c r="P360" s="175"/>
      <c r="Q360" s="175"/>
      <c r="R360" s="176"/>
      <c r="S360" s="175" t="str">
        <f t="shared" si="160"/>
        <v/>
      </c>
      <c r="T360" s="177" t="str">
        <f t="shared" si="161"/>
        <v/>
      </c>
      <c r="U360" s="177" t="str">
        <f t="shared" si="162"/>
        <v/>
      </c>
      <c r="V360" s="177" t="str">
        <f t="shared" si="163"/>
        <v/>
      </c>
      <c r="W360" s="177" t="str">
        <f t="shared" si="164"/>
        <v/>
      </c>
      <c r="X360" s="177" t="str">
        <f t="shared" si="165"/>
        <v/>
      </c>
      <c r="Y360" s="175"/>
    </row>
    <row r="361" spans="11:25">
      <c r="N361" s="173">
        <v>46025</v>
      </c>
      <c r="O361" s="174"/>
      <c r="P361" s="175"/>
      <c r="Q361" s="175"/>
      <c r="R361" s="176"/>
      <c r="S361" s="175" t="str">
        <f t="shared" si="160"/>
        <v/>
      </c>
      <c r="T361" s="177" t="str">
        <f t="shared" si="161"/>
        <v/>
      </c>
      <c r="U361" s="177" t="str">
        <f t="shared" si="162"/>
        <v/>
      </c>
      <c r="V361" s="177" t="str">
        <f t="shared" si="163"/>
        <v/>
      </c>
      <c r="W361" s="177" t="str">
        <f t="shared" si="164"/>
        <v/>
      </c>
      <c r="X361" s="177" t="str">
        <f t="shared" si="165"/>
        <v/>
      </c>
      <c r="Y361" s="175"/>
    </row>
    <row r="362" spans="11:25">
      <c r="N362" s="173">
        <v>46025</v>
      </c>
      <c r="O362" s="174"/>
      <c r="P362" s="175"/>
      <c r="Q362" s="175"/>
      <c r="R362" s="176"/>
      <c r="S362" s="175" t="str">
        <f t="shared" si="160"/>
        <v/>
      </c>
      <c r="T362" s="177" t="str">
        <f t="shared" si="161"/>
        <v/>
      </c>
      <c r="U362" s="177" t="str">
        <f t="shared" si="162"/>
        <v/>
      </c>
      <c r="V362" s="177" t="str">
        <f t="shared" si="163"/>
        <v/>
      </c>
      <c r="W362" s="177" t="str">
        <f t="shared" si="164"/>
        <v/>
      </c>
      <c r="X362" s="177" t="str">
        <f t="shared" si="165"/>
        <v/>
      </c>
      <c r="Y362" s="175"/>
    </row>
    <row r="363" spans="11:25">
      <c r="N363" s="173">
        <v>46025</v>
      </c>
      <c r="O363" s="174"/>
      <c r="P363" s="175"/>
      <c r="Q363" s="175"/>
      <c r="R363" s="176"/>
      <c r="S363" s="175" t="str">
        <f t="shared" si="160"/>
        <v/>
      </c>
      <c r="T363" s="177" t="str">
        <f t="shared" si="161"/>
        <v/>
      </c>
      <c r="U363" s="177" t="str">
        <f t="shared" si="162"/>
        <v/>
      </c>
      <c r="V363" s="177" t="str">
        <f t="shared" si="163"/>
        <v/>
      </c>
      <c r="W363" s="177" t="str">
        <f t="shared" si="164"/>
        <v/>
      </c>
      <c r="X363" s="177" t="str">
        <f t="shared" si="165"/>
        <v/>
      </c>
      <c r="Y363" s="175"/>
    </row>
    <row r="364" spans="11:25">
      <c r="K364" s="237"/>
      <c r="N364" s="173">
        <v>46025</v>
      </c>
      <c r="O364" s="174"/>
      <c r="P364" s="175"/>
      <c r="Q364" s="175"/>
      <c r="R364" s="176"/>
      <c r="S364" s="175" t="str">
        <f t="shared" si="160"/>
        <v/>
      </c>
      <c r="T364" s="177" t="str">
        <f t="shared" si="161"/>
        <v/>
      </c>
      <c r="U364" s="177" t="str">
        <f t="shared" si="162"/>
        <v/>
      </c>
      <c r="V364" s="177" t="str">
        <f t="shared" si="163"/>
        <v/>
      </c>
      <c r="W364" s="177" t="str">
        <f t="shared" si="164"/>
        <v/>
      </c>
      <c r="X364" s="177" t="str">
        <f t="shared" si="165"/>
        <v/>
      </c>
      <c r="Y364" s="175"/>
    </row>
    <row r="365" spans="11:25">
      <c r="N365" s="173">
        <v>46025</v>
      </c>
      <c r="O365" s="174"/>
      <c r="P365" s="175"/>
      <c r="Q365" s="175"/>
      <c r="R365" s="176"/>
      <c r="S365" s="175" t="str">
        <f t="shared" si="160"/>
        <v/>
      </c>
      <c r="T365" s="177" t="str">
        <f t="shared" si="161"/>
        <v/>
      </c>
      <c r="U365" s="177" t="str">
        <f t="shared" si="162"/>
        <v/>
      </c>
      <c r="V365" s="177" t="str">
        <f t="shared" si="163"/>
        <v/>
      </c>
      <c r="W365" s="177" t="str">
        <f t="shared" si="164"/>
        <v/>
      </c>
      <c r="X365" s="177" t="str">
        <f t="shared" si="165"/>
        <v/>
      </c>
      <c r="Y365" s="175"/>
    </row>
    <row r="366" spans="11:25">
      <c r="N366" s="173">
        <v>46025</v>
      </c>
      <c r="O366" s="174"/>
      <c r="P366" s="175"/>
      <c r="Q366" s="175"/>
      <c r="R366" s="176"/>
      <c r="S366" s="175" t="str">
        <f t="shared" si="160"/>
        <v/>
      </c>
      <c r="T366" s="177" t="str">
        <f t="shared" si="161"/>
        <v/>
      </c>
      <c r="U366" s="177" t="str">
        <f t="shared" si="162"/>
        <v/>
      </c>
      <c r="V366" s="177" t="str">
        <f t="shared" si="163"/>
        <v/>
      </c>
      <c r="W366" s="177" t="str">
        <f t="shared" si="164"/>
        <v/>
      </c>
      <c r="X366" s="177" t="str">
        <f t="shared" si="165"/>
        <v/>
      </c>
      <c r="Y366" s="175"/>
    </row>
    <row r="367" spans="11:25">
      <c r="N367" s="173">
        <v>46025</v>
      </c>
      <c r="O367" s="174"/>
      <c r="P367" s="175"/>
      <c r="Q367" s="175"/>
      <c r="R367" s="176"/>
      <c r="S367" s="175" t="str">
        <f t="shared" si="160"/>
        <v/>
      </c>
      <c r="T367" s="177" t="str">
        <f t="shared" si="161"/>
        <v/>
      </c>
      <c r="U367" s="177" t="str">
        <f t="shared" si="162"/>
        <v/>
      </c>
      <c r="V367" s="177" t="str">
        <f t="shared" si="163"/>
        <v/>
      </c>
      <c r="W367" s="177" t="str">
        <f t="shared" si="164"/>
        <v/>
      </c>
      <c r="X367" s="177" t="str">
        <f t="shared" si="165"/>
        <v/>
      </c>
      <c r="Y367" s="175"/>
    </row>
    <row r="368" spans="11:25">
      <c r="N368" s="173">
        <v>46025</v>
      </c>
      <c r="O368" s="174"/>
      <c r="P368" s="175"/>
      <c r="Q368" s="175"/>
      <c r="R368" s="176"/>
      <c r="S368" s="175" t="str">
        <f t="shared" si="160"/>
        <v/>
      </c>
      <c r="T368" s="177" t="str">
        <f t="shared" si="161"/>
        <v/>
      </c>
      <c r="U368" s="177" t="str">
        <f t="shared" si="162"/>
        <v/>
      </c>
      <c r="V368" s="177" t="str">
        <f t="shared" si="163"/>
        <v/>
      </c>
      <c r="W368" s="177" t="str">
        <f t="shared" si="164"/>
        <v/>
      </c>
      <c r="X368" s="177" t="str">
        <f t="shared" si="165"/>
        <v/>
      </c>
      <c r="Y368" s="175"/>
    </row>
    <row r="369" spans="14:25">
      <c r="N369" s="173">
        <v>46025</v>
      </c>
      <c r="O369" s="174"/>
      <c r="P369" s="175"/>
      <c r="Q369" s="175"/>
      <c r="R369" s="176"/>
      <c r="S369" s="175" t="str">
        <f t="shared" si="160"/>
        <v/>
      </c>
      <c r="T369" s="177" t="str">
        <f t="shared" si="161"/>
        <v/>
      </c>
      <c r="U369" s="177" t="str">
        <f t="shared" si="162"/>
        <v/>
      </c>
      <c r="V369" s="177" t="str">
        <f t="shared" si="163"/>
        <v/>
      </c>
      <c r="W369" s="177" t="str">
        <f t="shared" si="164"/>
        <v/>
      </c>
      <c r="X369" s="177" t="str">
        <f t="shared" si="165"/>
        <v/>
      </c>
      <c r="Y369" s="175"/>
    </row>
    <row r="370" spans="14:25">
      <c r="N370" s="173">
        <v>46025</v>
      </c>
      <c r="O370" s="174"/>
      <c r="P370" s="175"/>
      <c r="Q370" s="175"/>
      <c r="R370" s="176"/>
      <c r="S370" s="175" t="str">
        <f t="shared" si="160"/>
        <v/>
      </c>
      <c r="T370" s="177" t="str">
        <f t="shared" si="161"/>
        <v/>
      </c>
      <c r="U370" s="177" t="str">
        <f t="shared" si="162"/>
        <v/>
      </c>
      <c r="V370" s="177" t="str">
        <f t="shared" si="163"/>
        <v/>
      </c>
      <c r="W370" s="177" t="str">
        <f t="shared" si="164"/>
        <v/>
      </c>
      <c r="X370" s="177" t="str">
        <f t="shared" si="165"/>
        <v/>
      </c>
      <c r="Y370" s="175"/>
    </row>
    <row r="371" spans="14:25">
      <c r="N371" s="173">
        <v>46025</v>
      </c>
      <c r="O371" s="174"/>
      <c r="P371" s="175"/>
      <c r="Q371" s="175"/>
      <c r="R371" s="176"/>
      <c r="S371" s="175" t="str">
        <f t="shared" si="160"/>
        <v/>
      </c>
      <c r="T371" s="177" t="str">
        <f t="shared" si="161"/>
        <v/>
      </c>
      <c r="U371" s="177" t="str">
        <f t="shared" si="162"/>
        <v/>
      </c>
      <c r="V371" s="177" t="str">
        <f t="shared" si="163"/>
        <v/>
      </c>
      <c r="W371" s="177" t="str">
        <f t="shared" si="164"/>
        <v/>
      </c>
      <c r="X371" s="177" t="str">
        <f t="shared" si="165"/>
        <v/>
      </c>
      <c r="Y371" s="175"/>
    </row>
    <row r="372" spans="14:25">
      <c r="N372" s="178"/>
      <c r="O372" s="179" t="s">
        <v>217</v>
      </c>
      <c r="P372" s="180"/>
      <c r="Q372" s="180"/>
      <c r="R372" s="180"/>
      <c r="S372" s="180"/>
      <c r="T372" s="181">
        <f>SUM(T358:T371)</f>
        <v>0</v>
      </c>
      <c r="U372" s="181">
        <f>SUM(U358:U371)</f>
        <v>0</v>
      </c>
      <c r="V372" s="181">
        <f>SUM(V358:V371)</f>
        <v>0</v>
      </c>
      <c r="W372" s="181">
        <f>SUM(W358:W371)</f>
        <v>0</v>
      </c>
      <c r="X372" s="181">
        <f>SUM(X358:X371)</f>
        <v>0</v>
      </c>
      <c r="Y372" s="175"/>
    </row>
    <row r="373" spans="14:25">
      <c r="N373" s="178"/>
      <c r="O373" s="179" t="s">
        <v>220</v>
      </c>
      <c r="P373" s="180"/>
      <c r="Q373" s="180"/>
      <c r="R373" s="180"/>
      <c r="S373" s="180"/>
      <c r="T373" s="182">
        <f>$B$27</f>
        <v>2228.28125</v>
      </c>
      <c r="U373" s="182">
        <f>$B$29</f>
        <v>140.4</v>
      </c>
      <c r="V373" s="182">
        <f>$B$30</f>
        <v>64.739999999999995</v>
      </c>
      <c r="W373" s="182">
        <f>$B$31</f>
        <v>271.0053125</v>
      </c>
      <c r="X373" s="182">
        <f>$B$32</f>
        <v>31.195937500000003</v>
      </c>
      <c r="Y373" s="175"/>
    </row>
    <row r="374" spans="14:25">
      <c r="N374" s="178"/>
      <c r="O374" s="179" t="s">
        <v>222</v>
      </c>
      <c r="P374" s="180"/>
      <c r="Q374" s="180"/>
      <c r="R374" s="180"/>
      <c r="S374" s="180"/>
      <c r="T374" s="182">
        <f>T372-T373</f>
        <v>-2228.28125</v>
      </c>
      <c r="U374" s="182">
        <f>U372-U373</f>
        <v>-140.4</v>
      </c>
      <c r="V374" s="182">
        <f>V372-V373</f>
        <v>-64.739999999999995</v>
      </c>
      <c r="W374" s="182">
        <f>W372-W373</f>
        <v>-271.0053125</v>
      </c>
      <c r="X374" s="182">
        <f>X372-X373</f>
        <v>-31.195937500000003</v>
      </c>
      <c r="Y374" s="175"/>
    </row>
    <row r="375" spans="14:25">
      <c r="N375" s="173">
        <v>46026</v>
      </c>
      <c r="O375" s="174">
        <v>0.41666666666666669</v>
      </c>
      <c r="P375" s="175" t="s">
        <v>178</v>
      </c>
      <c r="Q375" s="175" t="s">
        <v>295</v>
      </c>
      <c r="R375" s="176">
        <v>1</v>
      </c>
      <c r="S375" s="175" t="str">
        <f t="shared" ref="S375:S380" si="166">IFERROR(VLOOKUP(Q375, $E$5:$L$109, 3, FALSE), "")</f>
        <v>bottle</v>
      </c>
      <c r="T375" s="177">
        <f t="shared" ref="T375:T380" si="167">IFERROR(VLOOKUP(Q375, $E$5:$L$109, 4, FALSE) * (R375 / VLOOKUP(Q375, $E$5:$L$109, 2, FALSE)), "")</f>
        <v>200</v>
      </c>
      <c r="U375" s="177">
        <f t="shared" ref="U375:U380" si="168">IFERROR(VLOOKUP(Q375, $E$5:$L$109, 5, FALSE) * (R375 / VLOOKUP(Q375, $E$5:$L$109, 2, FALSE)), "")</f>
        <v>35</v>
      </c>
      <c r="V375" s="177">
        <f t="shared" ref="V375:V380" si="169">IFERROR(VLOOKUP(Q375, $E$5:$L$109, 6, FALSE) * (R375 / VLOOKUP(Q375, $E$5:$L$109, 2, FALSE)), "")</f>
        <v>2.5</v>
      </c>
      <c r="W375" s="177">
        <f t="shared" ref="W375:W380" si="170">IFERROR(VLOOKUP(Q375, $E$5:$L$109, 7, FALSE) * (R375 / VLOOKUP(Q375, $E$5:$L$109, 2, FALSE)), "")</f>
        <v>9</v>
      </c>
      <c r="X375" s="177">
        <f t="shared" ref="X375:X380" si="171">IFERROR(VLOOKUP(Q375, $E$5:$L$109, 8, FALSE) * (R375 / VLOOKUP(Q375, $E$5:$L$109, 2, FALSE)), "")</f>
        <v>0</v>
      </c>
      <c r="Y375" s="175"/>
    </row>
    <row r="376" spans="14:25">
      <c r="N376" s="173">
        <v>46026</v>
      </c>
      <c r="O376" s="174">
        <v>0.83333333333333337</v>
      </c>
      <c r="P376" s="175" t="s">
        <v>199</v>
      </c>
      <c r="Q376" s="175" t="s">
        <v>176</v>
      </c>
      <c r="R376" s="176">
        <v>150</v>
      </c>
      <c r="S376" s="175" t="str">
        <f t="shared" si="166"/>
        <v>g</v>
      </c>
      <c r="T376" s="177">
        <f t="shared" si="167"/>
        <v>247.5</v>
      </c>
      <c r="U376" s="177">
        <f t="shared" si="168"/>
        <v>37.5</v>
      </c>
      <c r="V376" s="177">
        <f t="shared" si="169"/>
        <v>5.4</v>
      </c>
      <c r="W376" s="177">
        <f t="shared" si="170"/>
        <v>0</v>
      </c>
      <c r="X376" s="177">
        <f t="shared" si="171"/>
        <v>0</v>
      </c>
      <c r="Y376" s="175"/>
    </row>
    <row r="377" spans="14:25">
      <c r="N377" s="173">
        <v>46026</v>
      </c>
      <c r="O377" s="174">
        <v>0.83333333333333337</v>
      </c>
      <c r="P377" s="175" t="s">
        <v>199</v>
      </c>
      <c r="Q377" s="175" t="s">
        <v>181</v>
      </c>
      <c r="R377" s="176">
        <v>4</v>
      </c>
      <c r="S377" s="175" t="str">
        <f t="shared" si="166"/>
        <v>slice</v>
      </c>
      <c r="T377" s="177">
        <f t="shared" si="167"/>
        <v>280</v>
      </c>
      <c r="U377" s="177">
        <f t="shared" si="168"/>
        <v>10</v>
      </c>
      <c r="V377" s="177">
        <f t="shared" si="169"/>
        <v>5</v>
      </c>
      <c r="W377" s="177">
        <f t="shared" si="170"/>
        <v>48</v>
      </c>
      <c r="X377" s="177">
        <f t="shared" si="171"/>
        <v>4</v>
      </c>
      <c r="Y377" s="175"/>
    </row>
    <row r="378" spans="14:25">
      <c r="N378" s="173">
        <v>46026</v>
      </c>
      <c r="O378" s="174">
        <v>0.83333333333333337</v>
      </c>
      <c r="P378" s="175" t="s">
        <v>199</v>
      </c>
      <c r="Q378" s="175" t="s">
        <v>347</v>
      </c>
      <c r="R378" s="176">
        <v>1</v>
      </c>
      <c r="S378" s="175" t="str">
        <f t="shared" si="166"/>
        <v>bottle</v>
      </c>
      <c r="T378" s="177">
        <f t="shared" si="167"/>
        <v>170</v>
      </c>
      <c r="U378" s="177">
        <f t="shared" si="168"/>
        <v>27</v>
      </c>
      <c r="V378" s="177">
        <f t="shared" si="169"/>
        <v>3</v>
      </c>
      <c r="W378" s="177">
        <f t="shared" si="170"/>
        <v>9</v>
      </c>
      <c r="X378" s="177">
        <f t="shared" si="171"/>
        <v>0</v>
      </c>
      <c r="Y378" s="175"/>
    </row>
    <row r="379" spans="14:25">
      <c r="N379" s="173">
        <v>46026</v>
      </c>
      <c r="O379" s="174">
        <v>0.91666666666666663</v>
      </c>
      <c r="P379" s="175" t="s">
        <v>199</v>
      </c>
      <c r="Q379" s="175" t="s">
        <v>194</v>
      </c>
      <c r="R379" s="176">
        <v>1</v>
      </c>
      <c r="S379" s="175" t="str">
        <f t="shared" si="166"/>
        <v>cup</v>
      </c>
      <c r="T379" s="177">
        <f t="shared" si="167"/>
        <v>126</v>
      </c>
      <c r="U379" s="177">
        <f t="shared" si="168"/>
        <v>26</v>
      </c>
      <c r="V379" s="177">
        <f t="shared" si="169"/>
        <v>0.4</v>
      </c>
      <c r="W379" s="177">
        <f t="shared" si="170"/>
        <v>1.8</v>
      </c>
      <c r="X379" s="177">
        <f t="shared" si="171"/>
        <v>0</v>
      </c>
      <c r="Y379" s="175"/>
    </row>
    <row r="380" spans="14:25">
      <c r="N380" s="173">
        <v>46026</v>
      </c>
      <c r="O380" s="174">
        <v>0.91666666666666663</v>
      </c>
      <c r="P380" s="175" t="s">
        <v>199</v>
      </c>
      <c r="Q380" s="175" t="s">
        <v>212</v>
      </c>
      <c r="R380" s="176">
        <v>1</v>
      </c>
      <c r="S380" s="175" t="str">
        <f t="shared" si="166"/>
        <v>bottle</v>
      </c>
      <c r="T380" s="177">
        <f t="shared" si="167"/>
        <v>70</v>
      </c>
      <c r="U380" s="177">
        <f t="shared" si="168"/>
        <v>0</v>
      </c>
      <c r="V380" s="177">
        <f t="shared" si="169"/>
        <v>0</v>
      </c>
      <c r="W380" s="177">
        <f t="shared" si="170"/>
        <v>17</v>
      </c>
      <c r="X380" s="177">
        <f t="shared" si="171"/>
        <v>1</v>
      </c>
      <c r="Y380" s="175"/>
    </row>
    <row r="381" spans="14:25">
      <c r="N381" s="178"/>
      <c r="O381" s="179" t="s">
        <v>217</v>
      </c>
      <c r="P381" s="180"/>
      <c r="Q381" s="180"/>
      <c r="R381" s="180"/>
      <c r="S381" s="180"/>
      <c r="T381" s="181">
        <f>SUM(T375:T380)</f>
        <v>1093.5</v>
      </c>
      <c r="U381" s="181">
        <f>SUM(U375:U380)</f>
        <v>135.5</v>
      </c>
      <c r="V381" s="181">
        <f>SUM(V375:V380)</f>
        <v>16.3</v>
      </c>
      <c r="W381" s="181">
        <f>SUM(W375:W380)</f>
        <v>84.8</v>
      </c>
      <c r="X381" s="181">
        <f>SUM(X375:X380)</f>
        <v>5</v>
      </c>
      <c r="Y381" s="175"/>
    </row>
    <row r="382" spans="14:25">
      <c r="N382" s="178"/>
      <c r="O382" s="179" t="s">
        <v>220</v>
      </c>
      <c r="P382" s="180"/>
      <c r="Q382" s="180"/>
      <c r="R382" s="180"/>
      <c r="S382" s="180"/>
      <c r="T382" s="182">
        <f>$B$27</f>
        <v>2228.28125</v>
      </c>
      <c r="U382" s="182">
        <f>$B$29</f>
        <v>140.4</v>
      </c>
      <c r="V382" s="182">
        <f>$B$30</f>
        <v>64.739999999999995</v>
      </c>
      <c r="W382" s="182">
        <f>$B$31</f>
        <v>271.0053125</v>
      </c>
      <c r="X382" s="182">
        <f>$B$32</f>
        <v>31.195937500000003</v>
      </c>
      <c r="Y382" s="175"/>
    </row>
    <row r="383" spans="14:25">
      <c r="N383" s="178"/>
      <c r="O383" s="179" t="s">
        <v>222</v>
      </c>
      <c r="P383" s="180"/>
      <c r="Q383" s="180"/>
      <c r="R383" s="180"/>
      <c r="S383" s="180"/>
      <c r="T383" s="182">
        <f>T381-T382</f>
        <v>-1134.78125</v>
      </c>
      <c r="U383" s="182">
        <f>U381-U382</f>
        <v>-4.9000000000000057</v>
      </c>
      <c r="V383" s="182">
        <f>V381-V382</f>
        <v>-48.44</v>
      </c>
      <c r="W383" s="182">
        <f>W381-W382</f>
        <v>-186.20531249999999</v>
      </c>
      <c r="X383" s="182">
        <f>X381-X382</f>
        <v>-26.195937500000003</v>
      </c>
      <c r="Y383" s="175"/>
    </row>
    <row r="384" spans="14:25">
      <c r="N384" s="173">
        <v>46027</v>
      </c>
      <c r="O384" s="174">
        <v>0.33333333333333331</v>
      </c>
      <c r="P384" s="175" t="s">
        <v>178</v>
      </c>
      <c r="Q384" s="175" t="s">
        <v>293</v>
      </c>
      <c r="R384" s="176">
        <v>1</v>
      </c>
      <c r="S384" s="175" t="str">
        <f t="shared" ref="S384:S397" si="172">IFERROR(VLOOKUP(Q384, $E$5:$L$109, 3, FALSE), "")</f>
        <v>bottle</v>
      </c>
      <c r="T384" s="177">
        <f t="shared" ref="T384:T397" si="173">IFERROR(VLOOKUP(Q384, $E$5:$L$109, 4, FALSE) * (R384 / VLOOKUP(Q384, $E$5:$L$109, 2, FALSE)), "")</f>
        <v>150</v>
      </c>
      <c r="U384" s="177">
        <f t="shared" ref="U384:U397" si="174">IFERROR(VLOOKUP(Q384, $E$5:$L$109, 5, FALSE) * (R384 / VLOOKUP(Q384, $E$5:$L$109, 2, FALSE)), "")</f>
        <v>16</v>
      </c>
      <c r="V384" s="177">
        <f t="shared" ref="V384:V397" si="175">IFERROR(VLOOKUP(Q384, $E$5:$L$109, 6, FALSE) * (R384 / VLOOKUP(Q384, $E$5:$L$109, 2, FALSE)), "")</f>
        <v>2.5</v>
      </c>
      <c r="W384" s="177">
        <f t="shared" ref="W384:W397" si="176">IFERROR(VLOOKUP(Q384, $E$5:$L$109, 7, FALSE) * (R384 / VLOOKUP(Q384, $E$5:$L$109, 2, FALSE)), "")</f>
        <v>16</v>
      </c>
      <c r="X384" s="177">
        <f t="shared" ref="X384:X397" si="177">IFERROR(VLOOKUP(Q384, $E$5:$L$109, 8, FALSE) * (R384 / VLOOKUP(Q384, $E$5:$L$109, 2, FALSE)), "")</f>
        <v>0</v>
      </c>
      <c r="Y384" s="175"/>
    </row>
    <row r="385" spans="14:25">
      <c r="N385" s="173">
        <v>46027</v>
      </c>
      <c r="O385" s="174">
        <v>0.33333333333333331</v>
      </c>
      <c r="P385" s="175" t="s">
        <v>178</v>
      </c>
      <c r="Q385" s="175" t="s">
        <v>181</v>
      </c>
      <c r="R385" s="176">
        <v>2</v>
      </c>
      <c r="S385" s="175" t="str">
        <f t="shared" si="172"/>
        <v>slice</v>
      </c>
      <c r="T385" s="177">
        <f t="shared" si="173"/>
        <v>140</v>
      </c>
      <c r="U385" s="177">
        <f t="shared" si="174"/>
        <v>5</v>
      </c>
      <c r="V385" s="177">
        <f t="shared" si="175"/>
        <v>2.5</v>
      </c>
      <c r="W385" s="177">
        <f t="shared" si="176"/>
        <v>24</v>
      </c>
      <c r="X385" s="177">
        <f t="shared" si="177"/>
        <v>2</v>
      </c>
      <c r="Y385" s="175"/>
    </row>
    <row r="386" spans="14:25">
      <c r="N386" s="173">
        <v>46027</v>
      </c>
      <c r="O386" s="174">
        <v>0.45833333333333331</v>
      </c>
      <c r="P386" s="175" t="s">
        <v>185</v>
      </c>
      <c r="Q386" s="175" t="s">
        <v>214</v>
      </c>
      <c r="R386" s="176">
        <v>1</v>
      </c>
      <c r="S386" s="175" t="str">
        <f t="shared" si="172"/>
        <v>bar</v>
      </c>
      <c r="T386" s="177">
        <f t="shared" si="173"/>
        <v>67</v>
      </c>
      <c r="U386" s="177">
        <f t="shared" si="174"/>
        <v>1</v>
      </c>
      <c r="V386" s="177">
        <f t="shared" si="175"/>
        <v>3.5</v>
      </c>
      <c r="W386" s="177">
        <f t="shared" si="176"/>
        <v>22</v>
      </c>
      <c r="X386" s="177">
        <f t="shared" si="177"/>
        <v>0.3</v>
      </c>
      <c r="Y386" s="175"/>
    </row>
    <row r="387" spans="14:25">
      <c r="N387" s="173">
        <v>46027</v>
      </c>
      <c r="O387" s="174">
        <v>0.5</v>
      </c>
      <c r="P387" s="175" t="s">
        <v>185</v>
      </c>
      <c r="Q387" s="175" t="s">
        <v>176</v>
      </c>
      <c r="R387" s="176">
        <v>280</v>
      </c>
      <c r="S387" s="175" t="str">
        <f t="shared" si="172"/>
        <v>g</v>
      </c>
      <c r="T387" s="177">
        <f t="shared" si="173"/>
        <v>461.99999999999994</v>
      </c>
      <c r="U387" s="177">
        <f t="shared" si="174"/>
        <v>70</v>
      </c>
      <c r="V387" s="177">
        <f t="shared" si="175"/>
        <v>10.08</v>
      </c>
      <c r="W387" s="177">
        <f t="shared" si="176"/>
        <v>0</v>
      </c>
      <c r="X387" s="177">
        <f t="shared" si="177"/>
        <v>0</v>
      </c>
      <c r="Y387" s="175"/>
    </row>
    <row r="388" spans="14:25">
      <c r="N388" s="173">
        <v>46027</v>
      </c>
      <c r="O388" s="174">
        <v>0.5</v>
      </c>
      <c r="P388" s="175" t="s">
        <v>185</v>
      </c>
      <c r="Q388" s="175" t="s">
        <v>181</v>
      </c>
      <c r="R388" s="176">
        <v>4</v>
      </c>
      <c r="S388" s="175" t="str">
        <f t="shared" si="172"/>
        <v>slice</v>
      </c>
      <c r="T388" s="177">
        <f t="shared" si="173"/>
        <v>280</v>
      </c>
      <c r="U388" s="177">
        <f t="shared" si="174"/>
        <v>10</v>
      </c>
      <c r="V388" s="177">
        <f t="shared" si="175"/>
        <v>5</v>
      </c>
      <c r="W388" s="177">
        <f t="shared" si="176"/>
        <v>48</v>
      </c>
      <c r="X388" s="177">
        <f t="shared" si="177"/>
        <v>4</v>
      </c>
      <c r="Y388" s="175"/>
    </row>
    <row r="389" spans="14:25">
      <c r="N389" s="173">
        <v>46027</v>
      </c>
      <c r="O389" s="174">
        <v>0.5</v>
      </c>
      <c r="P389" s="175" t="s">
        <v>289</v>
      </c>
      <c r="Q389" s="175" t="s">
        <v>219</v>
      </c>
      <c r="R389" s="176">
        <v>1</v>
      </c>
      <c r="S389" s="175" t="str">
        <f t="shared" si="172"/>
        <v>bottle</v>
      </c>
      <c r="T389" s="177">
        <f t="shared" si="173"/>
        <v>0</v>
      </c>
      <c r="U389" s="177">
        <f t="shared" si="174"/>
        <v>0</v>
      </c>
      <c r="V389" s="177">
        <f t="shared" si="175"/>
        <v>0</v>
      </c>
      <c r="W389" s="177">
        <f t="shared" si="176"/>
        <v>0</v>
      </c>
      <c r="X389" s="177">
        <f t="shared" si="177"/>
        <v>0</v>
      </c>
      <c r="Y389" s="175"/>
    </row>
    <row r="390" spans="14:25">
      <c r="N390" s="173">
        <v>46027</v>
      </c>
      <c r="O390" s="174">
        <v>0.625</v>
      </c>
      <c r="P390" s="175" t="s">
        <v>289</v>
      </c>
      <c r="Q390" s="175" t="s">
        <v>190</v>
      </c>
      <c r="R390" s="176">
        <v>2</v>
      </c>
      <c r="S390" s="175" t="str">
        <f t="shared" si="172"/>
        <v>medium</v>
      </c>
      <c r="T390" s="177">
        <f t="shared" si="173"/>
        <v>124</v>
      </c>
      <c r="U390" s="177">
        <f t="shared" si="174"/>
        <v>2.4</v>
      </c>
      <c r="V390" s="177">
        <f t="shared" si="175"/>
        <v>0.4</v>
      </c>
      <c r="W390" s="177">
        <f t="shared" si="176"/>
        <v>30.8</v>
      </c>
      <c r="X390" s="177">
        <f t="shared" si="177"/>
        <v>6.2</v>
      </c>
      <c r="Y390" s="175"/>
    </row>
    <row r="391" spans="14:25">
      <c r="N391" s="173">
        <v>46027</v>
      </c>
      <c r="O391" s="174">
        <v>0.625</v>
      </c>
      <c r="P391" s="175" t="s">
        <v>289</v>
      </c>
      <c r="Q391" s="175" t="s">
        <v>214</v>
      </c>
      <c r="R391" s="176">
        <v>1</v>
      </c>
      <c r="S391" s="175" t="str">
        <f t="shared" si="172"/>
        <v>bar</v>
      </c>
      <c r="T391" s="177">
        <f t="shared" si="173"/>
        <v>67</v>
      </c>
      <c r="U391" s="177">
        <f t="shared" si="174"/>
        <v>1</v>
      </c>
      <c r="V391" s="177">
        <f t="shared" si="175"/>
        <v>3.5</v>
      </c>
      <c r="W391" s="177">
        <f t="shared" si="176"/>
        <v>22</v>
      </c>
      <c r="X391" s="177">
        <f t="shared" si="177"/>
        <v>0.3</v>
      </c>
      <c r="Y391" s="175"/>
    </row>
    <row r="392" spans="14:25">
      <c r="N392" s="173">
        <v>46027</v>
      </c>
      <c r="O392" s="174">
        <v>0.66666666666666663</v>
      </c>
      <c r="P392" s="175" t="s">
        <v>289</v>
      </c>
      <c r="Q392" s="175" t="s">
        <v>190</v>
      </c>
      <c r="R392" s="176">
        <v>2</v>
      </c>
      <c r="S392" s="175" t="str">
        <f t="shared" si="172"/>
        <v>medium</v>
      </c>
      <c r="T392" s="177">
        <f t="shared" si="173"/>
        <v>124</v>
      </c>
      <c r="U392" s="177">
        <f t="shared" si="174"/>
        <v>2.4</v>
      </c>
      <c r="V392" s="177">
        <f t="shared" si="175"/>
        <v>0.4</v>
      </c>
      <c r="W392" s="177">
        <f t="shared" si="176"/>
        <v>30.8</v>
      </c>
      <c r="X392" s="177">
        <f t="shared" si="177"/>
        <v>6.2</v>
      </c>
      <c r="Y392" s="175"/>
    </row>
    <row r="393" spans="14:25">
      <c r="N393" s="173">
        <v>46027</v>
      </c>
      <c r="O393" s="174">
        <v>0.70833333333333337</v>
      </c>
      <c r="P393" s="175" t="s">
        <v>289</v>
      </c>
      <c r="Q393" s="175" t="s">
        <v>350</v>
      </c>
      <c r="R393" s="176">
        <v>0.5</v>
      </c>
      <c r="S393" s="175" t="str">
        <f t="shared" si="172"/>
        <v>bag</v>
      </c>
      <c r="T393" s="177">
        <f t="shared" si="173"/>
        <v>190</v>
      </c>
      <c r="U393" s="177">
        <f t="shared" si="174"/>
        <v>3</v>
      </c>
      <c r="V393" s="177">
        <f t="shared" si="175"/>
        <v>9</v>
      </c>
      <c r="W393" s="177">
        <f t="shared" si="176"/>
        <v>23</v>
      </c>
      <c r="X393" s="177">
        <f t="shared" si="177"/>
        <v>0</v>
      </c>
      <c r="Y393" s="175"/>
    </row>
    <row r="394" spans="14:25">
      <c r="N394" s="173">
        <v>46027</v>
      </c>
      <c r="O394" s="174">
        <v>0.875</v>
      </c>
      <c r="P394" s="175" t="s">
        <v>199</v>
      </c>
      <c r="Q394" s="175" t="s">
        <v>176</v>
      </c>
      <c r="R394" s="176">
        <v>190</v>
      </c>
      <c r="S394" s="175" t="str">
        <f t="shared" si="172"/>
        <v>g</v>
      </c>
      <c r="T394" s="177">
        <f t="shared" si="173"/>
        <v>313.5</v>
      </c>
      <c r="U394" s="177">
        <f t="shared" si="174"/>
        <v>47.5</v>
      </c>
      <c r="V394" s="177">
        <f t="shared" si="175"/>
        <v>6.84</v>
      </c>
      <c r="W394" s="177">
        <f t="shared" si="176"/>
        <v>0</v>
      </c>
      <c r="X394" s="177">
        <f t="shared" si="177"/>
        <v>0</v>
      </c>
      <c r="Y394" s="175"/>
    </row>
    <row r="395" spans="14:25">
      <c r="N395" s="173">
        <v>46027</v>
      </c>
      <c r="O395" s="174">
        <v>0.875</v>
      </c>
      <c r="P395" s="175" t="s">
        <v>199</v>
      </c>
      <c r="Q395" s="175" t="s">
        <v>181</v>
      </c>
      <c r="R395" s="176">
        <v>1</v>
      </c>
      <c r="S395" s="175" t="str">
        <f t="shared" si="172"/>
        <v>slice</v>
      </c>
      <c r="T395" s="177">
        <f t="shared" si="173"/>
        <v>70</v>
      </c>
      <c r="U395" s="177">
        <f t="shared" si="174"/>
        <v>2.5</v>
      </c>
      <c r="V395" s="177">
        <f t="shared" si="175"/>
        <v>1.25</v>
      </c>
      <c r="W395" s="177">
        <f t="shared" si="176"/>
        <v>12</v>
      </c>
      <c r="X395" s="177">
        <f t="shared" si="177"/>
        <v>1</v>
      </c>
      <c r="Y395" s="175"/>
    </row>
    <row r="396" spans="14:25">
      <c r="N396" s="173">
        <v>46027</v>
      </c>
      <c r="O396" s="174">
        <v>0.875</v>
      </c>
      <c r="P396" s="175" t="s">
        <v>199</v>
      </c>
      <c r="Q396" s="175" t="s">
        <v>351</v>
      </c>
      <c r="R396" s="176">
        <v>1</v>
      </c>
      <c r="S396" s="175" t="str">
        <f t="shared" si="172"/>
        <v>egg</v>
      </c>
      <c r="T396" s="177">
        <f t="shared" si="173"/>
        <v>70</v>
      </c>
      <c r="U396" s="177">
        <f t="shared" si="174"/>
        <v>6</v>
      </c>
      <c r="V396" s="177">
        <f t="shared" si="175"/>
        <v>5</v>
      </c>
      <c r="W396" s="177">
        <f t="shared" si="176"/>
        <v>0</v>
      </c>
      <c r="X396" s="177">
        <f t="shared" si="177"/>
        <v>0</v>
      </c>
      <c r="Y396" s="175"/>
    </row>
    <row r="397" spans="14:25">
      <c r="N397" s="173">
        <v>46027</v>
      </c>
      <c r="O397" s="174">
        <v>0.875</v>
      </c>
      <c r="P397" s="175" t="s">
        <v>199</v>
      </c>
      <c r="Q397" s="175" t="s">
        <v>212</v>
      </c>
      <c r="R397" s="176">
        <v>1</v>
      </c>
      <c r="S397" s="175" t="str">
        <f t="shared" si="172"/>
        <v>bottle</v>
      </c>
      <c r="T397" s="177">
        <f t="shared" si="173"/>
        <v>70</v>
      </c>
      <c r="U397" s="177">
        <f t="shared" si="174"/>
        <v>0</v>
      </c>
      <c r="V397" s="177">
        <f t="shared" si="175"/>
        <v>0</v>
      </c>
      <c r="W397" s="177">
        <f t="shared" si="176"/>
        <v>17</v>
      </c>
      <c r="X397" s="177">
        <f t="shared" si="177"/>
        <v>1</v>
      </c>
      <c r="Y397" s="175"/>
    </row>
    <row r="398" spans="14:25">
      <c r="N398" s="178"/>
      <c r="O398" s="179" t="s">
        <v>217</v>
      </c>
      <c r="P398" s="180"/>
      <c r="Q398" s="180"/>
      <c r="R398" s="180"/>
      <c r="S398" s="180"/>
      <c r="T398" s="181">
        <f>SUM(T384:T397)</f>
        <v>2127.5</v>
      </c>
      <c r="U398" s="181">
        <f>SUM(U384:U397)</f>
        <v>166.8</v>
      </c>
      <c r="V398" s="181">
        <f>SUM(V384:V397)</f>
        <v>49.97</v>
      </c>
      <c r="W398" s="181">
        <f>SUM(W384:W397)</f>
        <v>245.60000000000002</v>
      </c>
      <c r="X398" s="181">
        <f>SUM(X384:X397)</f>
        <v>21</v>
      </c>
      <c r="Y398" s="175"/>
    </row>
    <row r="399" spans="14:25">
      <c r="N399" s="178"/>
      <c r="O399" s="179" t="s">
        <v>220</v>
      </c>
      <c r="P399" s="180"/>
      <c r="Q399" s="180"/>
      <c r="R399" s="180"/>
      <c r="S399" s="180"/>
      <c r="T399" s="182">
        <f>$B$27</f>
        <v>2228.28125</v>
      </c>
      <c r="U399" s="182">
        <f>$B$29</f>
        <v>140.4</v>
      </c>
      <c r="V399" s="182">
        <f>$B$30</f>
        <v>64.739999999999995</v>
      </c>
      <c r="W399" s="182">
        <f>$B$31</f>
        <v>271.0053125</v>
      </c>
      <c r="X399" s="182">
        <f>$B$32</f>
        <v>31.195937500000003</v>
      </c>
      <c r="Y399" s="175"/>
    </row>
    <row r="400" spans="14:25">
      <c r="N400" s="178"/>
      <c r="O400" s="179" t="s">
        <v>222</v>
      </c>
      <c r="P400" s="180"/>
      <c r="Q400" s="180"/>
      <c r="R400" s="180"/>
      <c r="S400" s="180"/>
      <c r="T400" s="182">
        <f>T398-T399</f>
        <v>-100.78125</v>
      </c>
      <c r="U400" s="182">
        <f>U398-U399</f>
        <v>26.400000000000006</v>
      </c>
      <c r="V400" s="182">
        <f>V398-V399</f>
        <v>-14.769999999999996</v>
      </c>
      <c r="W400" s="182">
        <f>W398-W399</f>
        <v>-25.40531249999998</v>
      </c>
      <c r="X400" s="182">
        <f>X398-X399</f>
        <v>-10.195937500000003</v>
      </c>
      <c r="Y400" s="175"/>
    </row>
    <row r="401" spans="14:25">
      <c r="N401" s="173">
        <v>46028</v>
      </c>
      <c r="O401" s="174">
        <v>0.375</v>
      </c>
      <c r="P401" s="175" t="s">
        <v>178</v>
      </c>
      <c r="Q401" s="175" t="s">
        <v>181</v>
      </c>
      <c r="R401" s="176">
        <v>2</v>
      </c>
      <c r="S401" s="175" t="str">
        <f t="shared" ref="S401:S406" si="178">IFERROR(VLOOKUP(Q401, $E$5:$L$109, 3, FALSE), "")</f>
        <v>slice</v>
      </c>
      <c r="T401" s="177">
        <f t="shared" ref="T401:T410" si="179">IFERROR(VLOOKUP(Q401, $E$5:$L$109, 4, FALSE) * (R401 / VLOOKUP(Q401, $E$5:$L$109, 2, FALSE)), "")</f>
        <v>140</v>
      </c>
      <c r="U401" s="177">
        <f t="shared" ref="U401:U410" si="180">IFERROR(VLOOKUP(Q401, $E$5:$L$109, 5, FALSE) * (R401 / VLOOKUP(Q401, $E$5:$L$109, 2, FALSE)), "")</f>
        <v>5</v>
      </c>
      <c r="V401" s="177">
        <f t="shared" ref="V401:V410" si="181">IFERROR(VLOOKUP(Q401, $E$5:$L$109, 6, FALSE) * (R401 / VLOOKUP(Q401, $E$5:$L$109, 2, FALSE)), "")</f>
        <v>2.5</v>
      </c>
      <c r="W401" s="177">
        <f t="shared" ref="W401:W410" si="182">IFERROR(VLOOKUP(Q401, $E$5:$L$109, 7, FALSE) * (R401 / VLOOKUP(Q401, $E$5:$L$109, 2, FALSE)), "")</f>
        <v>24</v>
      </c>
      <c r="X401" s="177">
        <f t="shared" ref="X401:X410" si="183">IFERROR(VLOOKUP(Q401, $E$5:$L$109, 8, FALSE) * (R401 / VLOOKUP(Q401, $E$5:$L$109, 2, FALSE)), "")</f>
        <v>2</v>
      </c>
      <c r="Y401" s="175"/>
    </row>
    <row r="402" spans="14:25">
      <c r="N402" s="173">
        <v>46028</v>
      </c>
      <c r="O402" s="174">
        <v>0.41666666666666669</v>
      </c>
      <c r="P402" s="175" t="s">
        <v>289</v>
      </c>
      <c r="Q402" s="175" t="s">
        <v>190</v>
      </c>
      <c r="R402" s="176">
        <v>2</v>
      </c>
      <c r="S402" s="175" t="str">
        <f t="shared" si="178"/>
        <v>medium</v>
      </c>
      <c r="T402" s="177">
        <f t="shared" si="179"/>
        <v>124</v>
      </c>
      <c r="U402" s="177">
        <f t="shared" si="180"/>
        <v>2.4</v>
      </c>
      <c r="V402" s="177">
        <f t="shared" si="181"/>
        <v>0.4</v>
      </c>
      <c r="W402" s="177">
        <f t="shared" si="182"/>
        <v>30.8</v>
      </c>
      <c r="X402" s="177">
        <f t="shared" si="183"/>
        <v>6.2</v>
      </c>
      <c r="Y402" s="175"/>
    </row>
    <row r="403" spans="14:25">
      <c r="N403" s="173">
        <v>46028</v>
      </c>
      <c r="O403" s="174">
        <v>0.5</v>
      </c>
      <c r="P403" s="175" t="s">
        <v>185</v>
      </c>
      <c r="Q403" s="175" t="s">
        <v>180</v>
      </c>
      <c r="R403" s="176">
        <v>300</v>
      </c>
      <c r="S403" s="175" t="str">
        <f t="shared" si="178"/>
        <v>g</v>
      </c>
      <c r="T403" s="177">
        <f t="shared" si="179"/>
        <v>390</v>
      </c>
      <c r="U403" s="177">
        <f t="shared" si="180"/>
        <v>8.1000000000000014</v>
      </c>
      <c r="V403" s="177">
        <f t="shared" si="181"/>
        <v>0.89999999999999991</v>
      </c>
      <c r="W403" s="177">
        <f t="shared" si="182"/>
        <v>84</v>
      </c>
      <c r="X403" s="177">
        <f t="shared" si="183"/>
        <v>1.2000000000000002</v>
      </c>
      <c r="Y403" s="175"/>
    </row>
    <row r="404" spans="14:25">
      <c r="N404" s="173">
        <v>46028</v>
      </c>
      <c r="O404" s="174">
        <v>0.5</v>
      </c>
      <c r="P404" s="175" t="s">
        <v>185</v>
      </c>
      <c r="Q404" s="175" t="s">
        <v>282</v>
      </c>
      <c r="R404" s="176">
        <v>2</v>
      </c>
      <c r="S404" s="175" t="str">
        <f t="shared" si="178"/>
        <v>bowl</v>
      </c>
      <c r="T404" s="177">
        <f t="shared" si="179"/>
        <v>640</v>
      </c>
      <c r="U404" s="177">
        <f t="shared" si="180"/>
        <v>30</v>
      </c>
      <c r="V404" s="177">
        <f t="shared" si="181"/>
        <v>36</v>
      </c>
      <c r="W404" s="177">
        <f t="shared" si="182"/>
        <v>40</v>
      </c>
      <c r="X404" s="177">
        <f t="shared" si="183"/>
        <v>6</v>
      </c>
      <c r="Y404" s="175"/>
    </row>
    <row r="405" spans="14:25">
      <c r="N405" s="173">
        <v>46028</v>
      </c>
      <c r="O405" s="174">
        <v>0.625</v>
      </c>
      <c r="P405" s="175" t="s">
        <v>289</v>
      </c>
      <c r="Q405" s="175" t="s">
        <v>190</v>
      </c>
      <c r="R405" s="176">
        <v>2</v>
      </c>
      <c r="S405" s="175" t="str">
        <f t="shared" si="178"/>
        <v>medium</v>
      </c>
      <c r="T405" s="177">
        <f t="shared" si="179"/>
        <v>124</v>
      </c>
      <c r="U405" s="177">
        <f t="shared" si="180"/>
        <v>2.4</v>
      </c>
      <c r="V405" s="177">
        <f t="shared" si="181"/>
        <v>0.4</v>
      </c>
      <c r="W405" s="177">
        <f t="shared" si="182"/>
        <v>30.8</v>
      </c>
      <c r="X405" s="177">
        <f t="shared" si="183"/>
        <v>6.2</v>
      </c>
      <c r="Y405" s="175"/>
    </row>
    <row r="406" spans="14:25">
      <c r="N406" s="173">
        <v>46028</v>
      </c>
      <c r="O406" s="174">
        <v>0.70833333333333337</v>
      </c>
      <c r="P406" s="175" t="s">
        <v>289</v>
      </c>
      <c r="Q406" s="175" t="s">
        <v>354</v>
      </c>
      <c r="R406" s="176">
        <v>1</v>
      </c>
      <c r="S406" s="175" t="str">
        <f t="shared" si="178"/>
        <v>nugget</v>
      </c>
      <c r="T406" s="177">
        <f t="shared" si="179"/>
        <v>45</v>
      </c>
      <c r="U406" s="177">
        <f t="shared" si="180"/>
        <v>1</v>
      </c>
      <c r="V406" s="177">
        <f t="shared" si="181"/>
        <v>3</v>
      </c>
      <c r="W406" s="177">
        <f t="shared" si="182"/>
        <v>5</v>
      </c>
      <c r="X406" s="177">
        <f t="shared" si="183"/>
        <v>0.5</v>
      </c>
      <c r="Y406" s="175"/>
    </row>
    <row r="407" spans="14:25">
      <c r="N407" s="173">
        <v>46028</v>
      </c>
      <c r="O407" s="174">
        <v>0.70833333333333337</v>
      </c>
      <c r="P407" s="175" t="s">
        <v>289</v>
      </c>
      <c r="Q407" s="175" t="s">
        <v>357</v>
      </c>
      <c r="R407" s="176">
        <v>3</v>
      </c>
      <c r="S407" s="175" t="str">
        <f t="shared" ref="S407:S410" si="184">IFERROR(VLOOKUP(Q407, $E$5:$L$109, 3, FALSE), "")</f>
        <v>cola</v>
      </c>
      <c r="T407" s="177">
        <f t="shared" si="179"/>
        <v>52.5</v>
      </c>
      <c r="U407" s="177">
        <f t="shared" si="180"/>
        <v>0.75</v>
      </c>
      <c r="V407" s="177">
        <f t="shared" si="181"/>
        <v>0</v>
      </c>
      <c r="W407" s="177">
        <f t="shared" si="182"/>
        <v>12</v>
      </c>
      <c r="X407" s="177">
        <f t="shared" si="183"/>
        <v>0</v>
      </c>
      <c r="Y407" s="175"/>
    </row>
    <row r="408" spans="14:25">
      <c r="N408" s="173">
        <v>46028</v>
      </c>
      <c r="O408" s="174">
        <v>0.875</v>
      </c>
      <c r="P408" s="175" t="s">
        <v>199</v>
      </c>
      <c r="Q408" s="175" t="s">
        <v>176</v>
      </c>
      <c r="R408" s="176">
        <v>290</v>
      </c>
      <c r="S408" s="175" t="str">
        <f t="shared" si="184"/>
        <v>g</v>
      </c>
      <c r="T408" s="177">
        <f t="shared" si="179"/>
        <v>478.5</v>
      </c>
      <c r="U408" s="177">
        <f t="shared" si="180"/>
        <v>72.5</v>
      </c>
      <c r="V408" s="177">
        <f t="shared" si="181"/>
        <v>10.44</v>
      </c>
      <c r="W408" s="177">
        <f t="shared" si="182"/>
        <v>0</v>
      </c>
      <c r="X408" s="177">
        <f t="shared" si="183"/>
        <v>0</v>
      </c>
      <c r="Y408" s="175"/>
    </row>
    <row r="409" spans="14:25">
      <c r="N409" s="173">
        <v>46028</v>
      </c>
      <c r="O409" s="174">
        <v>0.875</v>
      </c>
      <c r="P409" s="175" t="s">
        <v>199</v>
      </c>
      <c r="Q409" s="175" t="s">
        <v>351</v>
      </c>
      <c r="R409" s="176">
        <v>3</v>
      </c>
      <c r="S409" s="175" t="str">
        <f t="shared" si="184"/>
        <v>egg</v>
      </c>
      <c r="T409" s="177">
        <f t="shared" si="179"/>
        <v>210</v>
      </c>
      <c r="U409" s="177">
        <f t="shared" si="180"/>
        <v>18</v>
      </c>
      <c r="V409" s="177">
        <f t="shared" si="181"/>
        <v>15</v>
      </c>
      <c r="W409" s="177">
        <f t="shared" si="182"/>
        <v>0</v>
      </c>
      <c r="X409" s="177">
        <f t="shared" si="183"/>
        <v>0</v>
      </c>
      <c r="Y409" s="175"/>
    </row>
    <row r="410" spans="14:25">
      <c r="N410" s="173">
        <v>46028</v>
      </c>
      <c r="O410" s="174">
        <v>0.875</v>
      </c>
      <c r="P410" s="175" t="s">
        <v>199</v>
      </c>
      <c r="Q410" s="175" t="s">
        <v>212</v>
      </c>
      <c r="R410" s="176">
        <v>1</v>
      </c>
      <c r="S410" s="175" t="str">
        <f t="shared" si="184"/>
        <v>bottle</v>
      </c>
      <c r="T410" s="177">
        <f t="shared" si="179"/>
        <v>70</v>
      </c>
      <c r="U410" s="177">
        <f t="shared" si="180"/>
        <v>0</v>
      </c>
      <c r="V410" s="177">
        <f t="shared" si="181"/>
        <v>0</v>
      </c>
      <c r="W410" s="177">
        <f t="shared" si="182"/>
        <v>17</v>
      </c>
      <c r="X410" s="177">
        <f t="shared" si="183"/>
        <v>1</v>
      </c>
      <c r="Y410" s="175"/>
    </row>
    <row r="411" spans="14:25">
      <c r="N411" s="178"/>
      <c r="O411" s="179" t="s">
        <v>217</v>
      </c>
      <c r="P411" s="180"/>
      <c r="Q411" s="180"/>
      <c r="R411" s="180"/>
      <c r="S411" s="180"/>
      <c r="T411" s="181">
        <f>SUM(T401:T410)</f>
        <v>2274</v>
      </c>
      <c r="U411" s="181">
        <f>SUM(U401:U410)</f>
        <v>140.15</v>
      </c>
      <c r="V411" s="181">
        <f>SUM(V401:V410)</f>
        <v>68.639999999999986</v>
      </c>
      <c r="W411" s="181">
        <f>SUM(W401:W410)</f>
        <v>243.60000000000002</v>
      </c>
      <c r="X411" s="181">
        <f>SUM(X401:X410)</f>
        <v>23.099999999999998</v>
      </c>
      <c r="Y411" s="175"/>
    </row>
    <row r="412" spans="14:25">
      <c r="N412" s="178"/>
      <c r="O412" s="179" t="s">
        <v>220</v>
      </c>
      <c r="P412" s="180"/>
      <c r="Q412" s="180"/>
      <c r="R412" s="180"/>
      <c r="S412" s="180"/>
      <c r="T412" s="182">
        <f>$B$27</f>
        <v>2228.28125</v>
      </c>
      <c r="U412" s="182">
        <f>$B$29</f>
        <v>140.4</v>
      </c>
      <c r="V412" s="182">
        <f>$B$30</f>
        <v>64.739999999999995</v>
      </c>
      <c r="W412" s="182">
        <f>$B$31</f>
        <v>271.0053125</v>
      </c>
      <c r="X412" s="182">
        <f>$B$32</f>
        <v>31.195937500000003</v>
      </c>
      <c r="Y412" s="175"/>
    </row>
    <row r="413" spans="14:25">
      <c r="N413" s="178"/>
      <c r="O413" s="179" t="s">
        <v>222</v>
      </c>
      <c r="P413" s="180"/>
      <c r="Q413" s="180"/>
      <c r="R413" s="180"/>
      <c r="S413" s="180"/>
      <c r="T413" s="182">
        <f>T411-T412</f>
        <v>45.71875</v>
      </c>
      <c r="U413" s="182">
        <f>U411-U412</f>
        <v>-0.25</v>
      </c>
      <c r="V413" s="182">
        <f>V411-V412</f>
        <v>3.8999999999999915</v>
      </c>
      <c r="W413" s="182">
        <f>W411-W412</f>
        <v>-27.40531249999998</v>
      </c>
      <c r="X413" s="182">
        <f>X411-X412</f>
        <v>-8.0959375000000051</v>
      </c>
      <c r="Y413" s="175"/>
    </row>
    <row r="414" spans="14:25">
      <c r="N414" s="173">
        <v>46029</v>
      </c>
      <c r="O414" s="174">
        <v>0.33333333333333331</v>
      </c>
      <c r="P414" s="175" t="s">
        <v>178</v>
      </c>
      <c r="Q414" s="175" t="s">
        <v>295</v>
      </c>
      <c r="R414" s="176">
        <v>1</v>
      </c>
      <c r="S414" s="175" t="str">
        <f t="shared" ref="S414:S418" si="185">IFERROR(VLOOKUP(Q414, $E$5:$L$109, 3, FALSE), "")</f>
        <v>bottle</v>
      </c>
      <c r="T414" s="177">
        <f t="shared" ref="T414:T423" si="186">IFERROR(VLOOKUP(Q414, $E$5:$L$109, 4, FALSE) * (R414 / VLOOKUP(Q414, $E$5:$L$109, 2, FALSE)), "")</f>
        <v>200</v>
      </c>
      <c r="U414" s="177">
        <f t="shared" ref="U414:U423" si="187">IFERROR(VLOOKUP(Q414, $E$5:$L$109, 5, FALSE) * (R414 / VLOOKUP(Q414, $E$5:$L$109, 2, FALSE)), "")</f>
        <v>35</v>
      </c>
      <c r="V414" s="177">
        <f t="shared" ref="V414:V423" si="188">IFERROR(VLOOKUP(Q414, $E$5:$L$109, 6, FALSE) * (R414 / VLOOKUP(Q414, $E$5:$L$109, 2, FALSE)), "")</f>
        <v>2.5</v>
      </c>
      <c r="W414" s="177">
        <f t="shared" ref="W414:W423" si="189">IFERROR(VLOOKUP(Q414, $E$5:$L$109, 7, FALSE) * (R414 / VLOOKUP(Q414, $E$5:$L$109, 2, FALSE)), "")</f>
        <v>9</v>
      </c>
      <c r="X414" s="177">
        <f t="shared" ref="X414:X423" si="190">IFERROR(VLOOKUP(Q414, $E$5:$L$109, 8, FALSE) * (R414 / VLOOKUP(Q414, $E$5:$L$109, 2, FALSE)), "")</f>
        <v>0</v>
      </c>
      <c r="Y414" s="175"/>
    </row>
    <row r="415" spans="14:25">
      <c r="N415" s="173">
        <v>46029</v>
      </c>
      <c r="O415" s="174">
        <v>0.375</v>
      </c>
      <c r="P415" s="175" t="s">
        <v>289</v>
      </c>
      <c r="Q415" s="175" t="s">
        <v>355</v>
      </c>
      <c r="R415" s="176">
        <v>1</v>
      </c>
      <c r="S415" s="175" t="str">
        <f t="shared" si="185"/>
        <v>fruit</v>
      </c>
      <c r="T415" s="177">
        <f t="shared" si="186"/>
        <v>60</v>
      </c>
      <c r="U415" s="177">
        <f t="shared" si="187"/>
        <v>2</v>
      </c>
      <c r="V415" s="177">
        <f t="shared" si="188"/>
        <v>1</v>
      </c>
      <c r="W415" s="177">
        <f t="shared" si="189"/>
        <v>14</v>
      </c>
      <c r="X415" s="177">
        <f t="shared" si="190"/>
        <v>5</v>
      </c>
      <c r="Y415" s="175"/>
    </row>
    <row r="416" spans="14:25">
      <c r="N416" s="173">
        <v>46029</v>
      </c>
      <c r="O416" s="174">
        <v>0.41666666666666702</v>
      </c>
      <c r="P416" s="175" t="s">
        <v>289</v>
      </c>
      <c r="Q416" s="175" t="s">
        <v>357</v>
      </c>
      <c r="R416" s="176">
        <v>2</v>
      </c>
      <c r="S416" s="175" t="str">
        <f t="shared" si="185"/>
        <v>cola</v>
      </c>
      <c r="T416" s="177">
        <f t="shared" si="186"/>
        <v>35</v>
      </c>
      <c r="U416" s="177">
        <f t="shared" si="187"/>
        <v>0.5</v>
      </c>
      <c r="V416" s="177">
        <f t="shared" si="188"/>
        <v>0</v>
      </c>
      <c r="W416" s="177">
        <f t="shared" si="189"/>
        <v>8</v>
      </c>
      <c r="X416" s="177">
        <f t="shared" si="190"/>
        <v>0</v>
      </c>
      <c r="Y416" s="175"/>
    </row>
    <row r="417" spans="14:25">
      <c r="N417" s="173">
        <v>46029</v>
      </c>
      <c r="O417" s="174">
        <v>0.5</v>
      </c>
      <c r="P417" s="175" t="s">
        <v>185</v>
      </c>
      <c r="Q417" s="175" t="s">
        <v>176</v>
      </c>
      <c r="R417" s="176">
        <v>290</v>
      </c>
      <c r="S417" s="175" t="str">
        <f t="shared" si="185"/>
        <v>g</v>
      </c>
      <c r="T417" s="177">
        <f t="shared" si="186"/>
        <v>478.5</v>
      </c>
      <c r="U417" s="177">
        <f t="shared" si="187"/>
        <v>72.5</v>
      </c>
      <c r="V417" s="177">
        <f t="shared" si="188"/>
        <v>10.44</v>
      </c>
      <c r="W417" s="177">
        <f t="shared" si="189"/>
        <v>0</v>
      </c>
      <c r="X417" s="177">
        <f t="shared" si="190"/>
        <v>0</v>
      </c>
      <c r="Y417" s="175"/>
    </row>
    <row r="418" spans="14:25">
      <c r="N418" s="173">
        <v>46029</v>
      </c>
      <c r="O418" s="174">
        <v>0.5</v>
      </c>
      <c r="P418" s="175" t="s">
        <v>185</v>
      </c>
      <c r="Q418" s="175" t="s">
        <v>189</v>
      </c>
      <c r="R418" s="176">
        <v>159</v>
      </c>
      <c r="S418" s="175" t="str">
        <f t="shared" si="185"/>
        <v>g</v>
      </c>
      <c r="T418" s="177">
        <f t="shared" si="186"/>
        <v>55.650000000000006</v>
      </c>
      <c r="U418" s="177">
        <f t="shared" si="187"/>
        <v>3.9750000000000001</v>
      </c>
      <c r="V418" s="177">
        <f t="shared" si="188"/>
        <v>0.63600000000000012</v>
      </c>
      <c r="W418" s="177">
        <f t="shared" si="189"/>
        <v>11.13</v>
      </c>
      <c r="X418" s="177">
        <f t="shared" si="190"/>
        <v>4.1340000000000003</v>
      </c>
      <c r="Y418" s="175"/>
    </row>
    <row r="419" spans="14:25">
      <c r="N419" s="173">
        <v>46029</v>
      </c>
      <c r="O419" s="174">
        <v>0.5</v>
      </c>
      <c r="P419" s="175" t="s">
        <v>185</v>
      </c>
      <c r="Q419" s="175" t="s">
        <v>351</v>
      </c>
      <c r="R419" s="176">
        <v>2</v>
      </c>
      <c r="S419" s="175" t="str">
        <f>IFERROR(VLOOKUP(Q419, $E$5:$L$109, 3, FALSE), "")</f>
        <v>egg</v>
      </c>
      <c r="T419" s="177">
        <f>IFERROR(VLOOKUP(Q419, $E$5:$L$109, 4, FALSE) * (R419 / VLOOKUP(Q419, $E$5:$L$109, 2, FALSE)), "")</f>
        <v>140</v>
      </c>
      <c r="U419" s="177">
        <f>IFERROR(VLOOKUP(Q419, $E$5:$L$109, 5, FALSE) * (R419 / VLOOKUP(Q419, $E$5:$L$109, 2, FALSE)), "")</f>
        <v>12</v>
      </c>
      <c r="V419" s="177">
        <f>IFERROR(VLOOKUP(Q419, $E$5:$L$109, 6, FALSE) * (R419 / VLOOKUP(Q419, $E$5:$L$109, 2, FALSE)), "")</f>
        <v>10</v>
      </c>
      <c r="W419" s="177">
        <f>IFERROR(VLOOKUP(Q419, $E$5:$L$109, 7, FALSE) * (R419 / VLOOKUP(Q419, $E$5:$L$109, 2, FALSE)), "")</f>
        <v>0</v>
      </c>
      <c r="X419" s="177">
        <f>IFERROR(VLOOKUP(Q419, $E$5:$L$109, 8, FALSE) * (R419 / VLOOKUP(Q419, $E$5:$L$109, 2, FALSE)), "")</f>
        <v>0</v>
      </c>
      <c r="Y419" s="175"/>
    </row>
    <row r="420" spans="14:25">
      <c r="N420" s="173">
        <v>46029</v>
      </c>
      <c r="O420" s="174">
        <v>0.70833333333333337</v>
      </c>
      <c r="P420" s="175" t="s">
        <v>289</v>
      </c>
      <c r="Q420" s="244" t="s">
        <v>358</v>
      </c>
      <c r="R420" s="176">
        <v>50</v>
      </c>
      <c r="S420" s="175" t="str">
        <f>IFERROR(VLOOKUP(Q420, $E$5:$L$109, 3, FALSE), "")</f>
        <v>g</v>
      </c>
      <c r="T420" s="177">
        <f>IFERROR(VLOOKUP(Q420, $E$5:$L$109, 4, FALSE) * (R420 / VLOOKUP(Q420, $E$5:$L$109, 2, FALSE)), "")</f>
        <v>260</v>
      </c>
      <c r="U420" s="177">
        <f>IFERROR(VLOOKUP(Q420, $E$5:$L$109, 5, FALSE) * (R420 / VLOOKUP(Q420, $E$5:$L$109, 2, FALSE)), "")</f>
        <v>30</v>
      </c>
      <c r="V420" s="177">
        <f>IFERROR(VLOOKUP(Q420, $E$5:$L$109, 6, FALSE) * (R420 / VLOOKUP(Q420, $E$5:$L$109, 2, FALSE)), "")</f>
        <v>15</v>
      </c>
      <c r="W420" s="177">
        <f>IFERROR(VLOOKUP(Q420, $E$5:$L$109, 7, FALSE) * (R420 / VLOOKUP(Q420, $E$5:$L$109, 2, FALSE)), "")</f>
        <v>0</v>
      </c>
      <c r="X420" s="177">
        <f>IFERROR(VLOOKUP(Q420, $E$5:$L$109, 8, FALSE) * (R420 / VLOOKUP(Q420, $E$5:$L$109, 2, FALSE)), "")</f>
        <v>0</v>
      </c>
      <c r="Y420" s="175"/>
    </row>
    <row r="421" spans="14:25">
      <c r="N421" s="173">
        <v>46029</v>
      </c>
      <c r="O421" s="174">
        <v>0.875</v>
      </c>
      <c r="P421" s="175" t="s">
        <v>199</v>
      </c>
      <c r="Q421" s="244" t="s">
        <v>348</v>
      </c>
      <c r="R421" s="245">
        <v>2</v>
      </c>
      <c r="S421" s="175" t="str">
        <f t="shared" ref="S421:S423" si="191">IFERROR(VLOOKUP(Q421, $E$5:$L$109, 3, FALSE), "")</f>
        <v>pastry</v>
      </c>
      <c r="T421" s="177">
        <f t="shared" si="186"/>
        <v>640</v>
      </c>
      <c r="U421" s="177">
        <f t="shared" si="187"/>
        <v>16</v>
      </c>
      <c r="V421" s="177">
        <f t="shared" si="188"/>
        <v>38</v>
      </c>
      <c r="W421" s="177">
        <f t="shared" si="189"/>
        <v>56</v>
      </c>
      <c r="X421" s="177">
        <f t="shared" si="190"/>
        <v>2</v>
      </c>
      <c r="Y421" s="175"/>
    </row>
    <row r="422" spans="14:25">
      <c r="N422" s="173">
        <v>46029</v>
      </c>
      <c r="O422" s="174">
        <v>0.875</v>
      </c>
      <c r="P422" s="175" t="s">
        <v>289</v>
      </c>
      <c r="Q422" s="175" t="s">
        <v>214</v>
      </c>
      <c r="R422" s="245">
        <v>1</v>
      </c>
      <c r="S422" s="175" t="str">
        <f t="shared" si="191"/>
        <v>bar</v>
      </c>
      <c r="T422" s="177">
        <f t="shared" si="186"/>
        <v>67</v>
      </c>
      <c r="U422" s="177">
        <f t="shared" si="187"/>
        <v>1</v>
      </c>
      <c r="V422" s="177">
        <f t="shared" si="188"/>
        <v>3.5</v>
      </c>
      <c r="W422" s="177">
        <f t="shared" si="189"/>
        <v>22</v>
      </c>
      <c r="X422" s="177">
        <f t="shared" si="190"/>
        <v>0.3</v>
      </c>
      <c r="Y422" s="175"/>
    </row>
    <row r="423" spans="14:25">
      <c r="N423" s="173">
        <v>46029</v>
      </c>
      <c r="O423" s="174">
        <v>0.875</v>
      </c>
      <c r="P423" s="175" t="s">
        <v>199</v>
      </c>
      <c r="Q423" s="175" t="s">
        <v>212</v>
      </c>
      <c r="R423" s="176">
        <v>1</v>
      </c>
      <c r="S423" s="175" t="str">
        <f t="shared" si="191"/>
        <v>bottle</v>
      </c>
      <c r="T423" s="177">
        <f t="shared" si="186"/>
        <v>70</v>
      </c>
      <c r="U423" s="177">
        <f t="shared" si="187"/>
        <v>0</v>
      </c>
      <c r="V423" s="177">
        <f t="shared" si="188"/>
        <v>0</v>
      </c>
      <c r="W423" s="177">
        <f t="shared" si="189"/>
        <v>17</v>
      </c>
      <c r="X423" s="177">
        <f t="shared" si="190"/>
        <v>1</v>
      </c>
      <c r="Y423" s="175"/>
    </row>
    <row r="424" spans="14:25">
      <c r="N424" s="178"/>
      <c r="O424" s="179" t="s">
        <v>217</v>
      </c>
      <c r="P424" s="180"/>
      <c r="Q424" s="180"/>
      <c r="R424" s="180"/>
      <c r="S424" s="180"/>
      <c r="T424" s="181">
        <f>SUM(T414:T423)</f>
        <v>2006.15</v>
      </c>
      <c r="U424" s="181">
        <f>SUM(U414:U423)</f>
        <v>172.97499999999999</v>
      </c>
      <c r="V424" s="181">
        <f>SUM(V414:V423)</f>
        <v>81.075999999999993</v>
      </c>
      <c r="W424" s="181">
        <f>SUM(W414:W423)</f>
        <v>137.13</v>
      </c>
      <c r="X424" s="181">
        <f>SUM(X414:X423)</f>
        <v>12.434000000000001</v>
      </c>
      <c r="Y424" s="175"/>
    </row>
    <row r="425" spans="14:25">
      <c r="N425" s="178"/>
      <c r="O425" s="179" t="s">
        <v>220</v>
      </c>
      <c r="P425" s="180"/>
      <c r="Q425" s="180"/>
      <c r="R425" s="180"/>
      <c r="S425" s="180"/>
      <c r="T425" s="182">
        <f>$B$27</f>
        <v>2228.28125</v>
      </c>
      <c r="U425" s="182">
        <f>$B$29</f>
        <v>140.4</v>
      </c>
      <c r="V425" s="182">
        <f>$B$30</f>
        <v>64.739999999999995</v>
      </c>
      <c r="W425" s="182">
        <f>$B$31</f>
        <v>271.0053125</v>
      </c>
      <c r="X425" s="182">
        <f>$B$32</f>
        <v>31.195937500000003</v>
      </c>
      <c r="Y425" s="175"/>
    </row>
    <row r="426" spans="14:25">
      <c r="N426" s="178"/>
      <c r="O426" s="179" t="s">
        <v>222</v>
      </c>
      <c r="P426" s="180"/>
      <c r="Q426" s="180"/>
      <c r="R426" s="180"/>
      <c r="S426" s="180"/>
      <c r="T426" s="182">
        <f>T424-T425</f>
        <v>-222.13124999999991</v>
      </c>
      <c r="U426" s="182">
        <f>U424-U425</f>
        <v>32.574999999999989</v>
      </c>
      <c r="V426" s="182">
        <f>V424-V425</f>
        <v>16.335999999999999</v>
      </c>
      <c r="W426" s="182">
        <f>W424-W425</f>
        <v>-133.87531250000001</v>
      </c>
      <c r="X426" s="182">
        <f>X424-X425</f>
        <v>-18.761937500000002</v>
      </c>
      <c r="Y426" s="175"/>
    </row>
    <row r="427" spans="14:25">
      <c r="N427" s="242">
        <v>46030</v>
      </c>
      <c r="O427" s="243">
        <v>0.33333333333333331</v>
      </c>
      <c r="P427" s="244" t="s">
        <v>178</v>
      </c>
      <c r="Q427" s="244" t="s">
        <v>295</v>
      </c>
      <c r="R427" s="245">
        <v>1</v>
      </c>
      <c r="S427" s="244" t="str">
        <f t="shared" ref="S427:S437" si="192">IFERROR(VLOOKUP(Q427, $E$5:$L$109, 3, FALSE), "")</f>
        <v>bottle</v>
      </c>
      <c r="T427" s="246">
        <f t="shared" ref="T427:T437" si="193">IFERROR(VLOOKUP(Q427, $E$5:$L$109, 4, FALSE) * (R427 / VLOOKUP(Q427, $E$5:$L$109, 2, FALSE)), "")</f>
        <v>200</v>
      </c>
      <c r="U427" s="246">
        <f t="shared" ref="U427:U437" si="194">IFERROR(VLOOKUP(Q427, $E$5:$L$109, 5, FALSE) * (R427 / VLOOKUP(Q427, $E$5:$L$109, 2, FALSE)), "")</f>
        <v>35</v>
      </c>
      <c r="V427" s="246">
        <f t="shared" ref="V427:V437" si="195">IFERROR(VLOOKUP(Q427, $E$5:$L$109, 6, FALSE) * (R427 / VLOOKUP(Q427, $E$5:$L$109, 2, FALSE)), "")</f>
        <v>2.5</v>
      </c>
      <c r="W427" s="246">
        <f t="shared" ref="W427:W437" si="196">IFERROR(VLOOKUP(Q427, $E$5:$L$109, 7, FALSE) * (R427 / VLOOKUP(Q427, $E$5:$L$109, 2, FALSE)), "")</f>
        <v>9</v>
      </c>
      <c r="X427" s="246">
        <f t="shared" ref="X427:X437" si="197">IFERROR(VLOOKUP(Q427, $E$5:$L$109, 8, FALSE) * (R427 / VLOOKUP(Q427, $E$5:$L$109, 2, FALSE)), "")</f>
        <v>0</v>
      </c>
      <c r="Y427" s="244"/>
    </row>
    <row r="428" spans="14:25">
      <c r="N428" s="242">
        <v>46030</v>
      </c>
      <c r="O428" s="243">
        <v>0.375</v>
      </c>
      <c r="P428" s="244" t="s">
        <v>289</v>
      </c>
      <c r="Q428" s="244" t="s">
        <v>358</v>
      </c>
      <c r="R428" s="245">
        <v>10</v>
      </c>
      <c r="S428" s="244" t="str">
        <f t="shared" si="192"/>
        <v>g</v>
      </c>
      <c r="T428" s="246">
        <f t="shared" si="193"/>
        <v>52</v>
      </c>
      <c r="U428" s="246">
        <f t="shared" si="194"/>
        <v>6</v>
      </c>
      <c r="V428" s="246">
        <f t="shared" si="195"/>
        <v>3</v>
      </c>
      <c r="W428" s="246">
        <f t="shared" si="196"/>
        <v>0</v>
      </c>
      <c r="X428" s="246">
        <f t="shared" si="197"/>
        <v>0</v>
      </c>
      <c r="Y428" s="244"/>
    </row>
    <row r="429" spans="14:25">
      <c r="N429" s="242">
        <v>46030</v>
      </c>
      <c r="O429" s="243">
        <v>0.41666666666666702</v>
      </c>
      <c r="P429" s="244" t="s">
        <v>289</v>
      </c>
      <c r="Q429" s="145" t="s">
        <v>359</v>
      </c>
      <c r="R429" s="245">
        <v>1.25</v>
      </c>
      <c r="S429" s="244" t="str">
        <f t="shared" si="192"/>
        <v>piece</v>
      </c>
      <c r="T429" s="246">
        <f t="shared" si="193"/>
        <v>650</v>
      </c>
      <c r="U429" s="246">
        <f t="shared" si="194"/>
        <v>11.25</v>
      </c>
      <c r="V429" s="246">
        <f t="shared" si="195"/>
        <v>38.75</v>
      </c>
      <c r="W429" s="246">
        <f t="shared" si="196"/>
        <v>75</v>
      </c>
      <c r="X429" s="246">
        <f t="shared" si="197"/>
        <v>4.375</v>
      </c>
      <c r="Y429" s="244"/>
    </row>
    <row r="430" spans="14:25">
      <c r="N430" s="242">
        <v>46030</v>
      </c>
      <c r="O430" s="243">
        <v>0.5</v>
      </c>
      <c r="P430" s="244" t="s">
        <v>289</v>
      </c>
      <c r="Q430" s="244" t="s">
        <v>357</v>
      </c>
      <c r="R430" s="245">
        <v>3</v>
      </c>
      <c r="S430" s="244" t="str">
        <f t="shared" si="192"/>
        <v>cola</v>
      </c>
      <c r="T430" s="246">
        <f t="shared" si="193"/>
        <v>52.5</v>
      </c>
      <c r="U430" s="246">
        <f t="shared" si="194"/>
        <v>0.75</v>
      </c>
      <c r="V430" s="246">
        <f t="shared" si="195"/>
        <v>0</v>
      </c>
      <c r="W430" s="246">
        <f t="shared" si="196"/>
        <v>12</v>
      </c>
      <c r="X430" s="246">
        <f t="shared" si="197"/>
        <v>0</v>
      </c>
      <c r="Y430" s="244"/>
    </row>
    <row r="431" spans="14:25">
      <c r="N431" s="242">
        <v>46030</v>
      </c>
      <c r="O431" s="243">
        <v>0.5</v>
      </c>
      <c r="P431" s="244" t="s">
        <v>185</v>
      </c>
      <c r="Q431" s="244" t="s">
        <v>176</v>
      </c>
      <c r="R431" s="245">
        <v>322</v>
      </c>
      <c r="S431" s="244" t="str">
        <f t="shared" si="192"/>
        <v>g</v>
      </c>
      <c r="T431" s="246">
        <f t="shared" si="193"/>
        <v>531.30000000000007</v>
      </c>
      <c r="U431" s="246">
        <f t="shared" si="194"/>
        <v>80.5</v>
      </c>
      <c r="V431" s="246">
        <f t="shared" si="195"/>
        <v>11.592000000000001</v>
      </c>
      <c r="W431" s="246">
        <f t="shared" si="196"/>
        <v>0</v>
      </c>
      <c r="X431" s="246">
        <f t="shared" si="197"/>
        <v>0</v>
      </c>
      <c r="Y431" s="244"/>
    </row>
    <row r="432" spans="14:25">
      <c r="N432" s="242">
        <v>46030</v>
      </c>
      <c r="O432" s="243">
        <v>0.5</v>
      </c>
      <c r="P432" s="244" t="s">
        <v>185</v>
      </c>
      <c r="Q432" s="244" t="s">
        <v>189</v>
      </c>
      <c r="R432" s="245">
        <v>165</v>
      </c>
      <c r="S432" s="244" t="str">
        <f t="shared" si="192"/>
        <v>g</v>
      </c>
      <c r="T432" s="246">
        <f t="shared" si="193"/>
        <v>57.75</v>
      </c>
      <c r="U432" s="246">
        <f t="shared" si="194"/>
        <v>4.125</v>
      </c>
      <c r="V432" s="246">
        <f t="shared" si="195"/>
        <v>0.66</v>
      </c>
      <c r="W432" s="246">
        <f t="shared" si="196"/>
        <v>11.549999999999999</v>
      </c>
      <c r="X432" s="246">
        <f t="shared" si="197"/>
        <v>4.29</v>
      </c>
      <c r="Y432" s="244"/>
    </row>
    <row r="433" spans="14:25">
      <c r="N433" s="242">
        <v>46030</v>
      </c>
      <c r="O433" s="243">
        <v>0.5</v>
      </c>
      <c r="P433" s="244" t="s">
        <v>185</v>
      </c>
      <c r="Q433" s="244" t="s">
        <v>351</v>
      </c>
      <c r="R433" s="245">
        <v>2</v>
      </c>
      <c r="S433" s="244" t="str">
        <f t="shared" si="192"/>
        <v>egg</v>
      </c>
      <c r="T433" s="246">
        <f t="shared" si="193"/>
        <v>140</v>
      </c>
      <c r="U433" s="246">
        <f t="shared" si="194"/>
        <v>12</v>
      </c>
      <c r="V433" s="246">
        <f t="shared" si="195"/>
        <v>10</v>
      </c>
      <c r="W433" s="246">
        <f t="shared" si="196"/>
        <v>0</v>
      </c>
      <c r="X433" s="246">
        <f t="shared" si="197"/>
        <v>0</v>
      </c>
      <c r="Y433" s="244"/>
    </row>
    <row r="434" spans="14:25">
      <c r="N434" s="242">
        <v>46030</v>
      </c>
      <c r="O434" s="243">
        <v>0.70833333333333337</v>
      </c>
      <c r="P434" s="244" t="s">
        <v>289</v>
      </c>
      <c r="Q434" s="244" t="s">
        <v>190</v>
      </c>
      <c r="R434" s="245">
        <v>2</v>
      </c>
      <c r="S434" s="244" t="str">
        <f t="shared" si="192"/>
        <v>medium</v>
      </c>
      <c r="T434" s="246">
        <f t="shared" si="193"/>
        <v>124</v>
      </c>
      <c r="U434" s="246">
        <f t="shared" si="194"/>
        <v>2.4</v>
      </c>
      <c r="V434" s="246">
        <f t="shared" si="195"/>
        <v>0.4</v>
      </c>
      <c r="W434" s="246">
        <f t="shared" si="196"/>
        <v>30.8</v>
      </c>
      <c r="X434" s="246">
        <f t="shared" si="197"/>
        <v>6.2</v>
      </c>
      <c r="Y434" s="244"/>
    </row>
    <row r="435" spans="14:25">
      <c r="N435" s="242">
        <v>46030</v>
      </c>
      <c r="O435" s="243">
        <v>0.9375</v>
      </c>
      <c r="P435" s="244" t="s">
        <v>199</v>
      </c>
      <c r="Q435" s="244" t="s">
        <v>181</v>
      </c>
      <c r="R435" s="245">
        <v>4</v>
      </c>
      <c r="S435" s="244" t="str">
        <f t="shared" si="192"/>
        <v>slice</v>
      </c>
      <c r="T435" s="246">
        <f t="shared" si="193"/>
        <v>280</v>
      </c>
      <c r="U435" s="246">
        <f t="shared" si="194"/>
        <v>10</v>
      </c>
      <c r="V435" s="246">
        <f t="shared" si="195"/>
        <v>5</v>
      </c>
      <c r="W435" s="246">
        <f t="shared" si="196"/>
        <v>48</v>
      </c>
      <c r="X435" s="246">
        <f t="shared" si="197"/>
        <v>4</v>
      </c>
      <c r="Y435" s="244"/>
    </row>
    <row r="436" spans="14:25">
      <c r="N436" s="242">
        <v>46030</v>
      </c>
      <c r="O436" s="243">
        <v>0.97916666666666663</v>
      </c>
      <c r="P436" s="244" t="s">
        <v>199</v>
      </c>
      <c r="Q436" s="244" t="s">
        <v>212</v>
      </c>
      <c r="R436" s="245">
        <v>1</v>
      </c>
      <c r="S436" s="244" t="str">
        <f t="shared" si="192"/>
        <v>bottle</v>
      </c>
      <c r="T436" s="246">
        <f t="shared" si="193"/>
        <v>70</v>
      </c>
      <c r="U436" s="246">
        <f t="shared" si="194"/>
        <v>0</v>
      </c>
      <c r="V436" s="246">
        <f t="shared" si="195"/>
        <v>0</v>
      </c>
      <c r="W436" s="246">
        <f t="shared" si="196"/>
        <v>17</v>
      </c>
      <c r="X436" s="246">
        <f t="shared" si="197"/>
        <v>1</v>
      </c>
      <c r="Y436" s="244"/>
    </row>
    <row r="437" spans="14:25">
      <c r="N437" s="242">
        <v>46030</v>
      </c>
      <c r="O437" s="243">
        <v>0.97916666666666663</v>
      </c>
      <c r="P437" s="244" t="s">
        <v>199</v>
      </c>
      <c r="Q437" s="244" t="s">
        <v>209</v>
      </c>
      <c r="R437" s="245">
        <v>3</v>
      </c>
      <c r="S437" s="244" t="str">
        <f t="shared" si="192"/>
        <v>tbsp</v>
      </c>
      <c r="T437" s="246">
        <f t="shared" si="193"/>
        <v>60</v>
      </c>
      <c r="U437" s="246">
        <f t="shared" si="194"/>
        <v>0</v>
      </c>
      <c r="V437" s="246">
        <f t="shared" si="195"/>
        <v>0</v>
      </c>
      <c r="W437" s="246">
        <f t="shared" si="196"/>
        <v>15</v>
      </c>
      <c r="X437" s="246">
        <f t="shared" si="197"/>
        <v>13.5</v>
      </c>
      <c r="Y437" s="244"/>
    </row>
    <row r="438" spans="14:25">
      <c r="N438" s="247"/>
      <c r="O438" s="248" t="s">
        <v>217</v>
      </c>
      <c r="P438" s="249"/>
      <c r="Q438" s="249"/>
      <c r="R438" s="249"/>
      <c r="S438" s="249"/>
      <c r="T438" s="250">
        <f>SUM(T427:T437)</f>
        <v>2217.5500000000002</v>
      </c>
      <c r="U438" s="250">
        <f>SUM(U427:U437)</f>
        <v>162.02500000000001</v>
      </c>
      <c r="V438" s="250">
        <f>SUM(V427:V437)</f>
        <v>71.902000000000001</v>
      </c>
      <c r="W438" s="250">
        <f>SUM(W427:W437)</f>
        <v>218.35</v>
      </c>
      <c r="X438" s="250">
        <f>SUM(X427:X437)</f>
        <v>33.364999999999995</v>
      </c>
      <c r="Y438" s="244"/>
    </row>
    <row r="439" spans="14:25">
      <c r="N439" s="247"/>
      <c r="O439" s="248" t="s">
        <v>220</v>
      </c>
      <c r="P439" s="249"/>
      <c r="Q439" s="249"/>
      <c r="R439" s="249"/>
      <c r="S439" s="249"/>
      <c r="T439" s="251">
        <f>$B$27</f>
        <v>2228.28125</v>
      </c>
      <c r="U439" s="251">
        <f>$B$29</f>
        <v>140.4</v>
      </c>
      <c r="V439" s="251">
        <f>$B$30</f>
        <v>64.739999999999995</v>
      </c>
      <c r="W439" s="251">
        <f>$B$31</f>
        <v>271.0053125</v>
      </c>
      <c r="X439" s="251">
        <f>$B$32</f>
        <v>31.195937500000003</v>
      </c>
      <c r="Y439" s="244"/>
    </row>
    <row r="440" spans="14:25">
      <c r="N440" s="247"/>
      <c r="O440" s="248" t="s">
        <v>222</v>
      </c>
      <c r="P440" s="249"/>
      <c r="Q440" s="249"/>
      <c r="R440" s="249"/>
      <c r="S440" s="249"/>
      <c r="T440" s="251">
        <f>T438-T439</f>
        <v>-10.731249999999818</v>
      </c>
      <c r="U440" s="251">
        <f>U438-U439</f>
        <v>21.625</v>
      </c>
      <c r="V440" s="251">
        <f>V438-V439</f>
        <v>7.1620000000000061</v>
      </c>
      <c r="W440" s="251">
        <f>W438-W439</f>
        <v>-52.655312500000008</v>
      </c>
      <c r="X440" s="251">
        <f>X438-X439</f>
        <v>2.1690624999999919</v>
      </c>
      <c r="Y440" s="244"/>
    </row>
    <row r="441" spans="14:25">
      <c r="N441" s="255">
        <v>46031</v>
      </c>
      <c r="O441" s="256">
        <v>0.33333333333333331</v>
      </c>
      <c r="P441" s="257" t="s">
        <v>178</v>
      </c>
      <c r="Q441" s="257" t="s">
        <v>295</v>
      </c>
      <c r="R441" s="258">
        <v>1</v>
      </c>
      <c r="S441" s="257" t="str">
        <f t="shared" ref="S441:S450" si="198">IFERROR(VLOOKUP(Q441, $E$5:$L$109, 3, FALSE), "")</f>
        <v>bottle</v>
      </c>
      <c r="T441" s="259">
        <f t="shared" ref="T441:T450" si="199">IFERROR(VLOOKUP(Q441, $E$5:$L$109, 4, FALSE) * (R441 / VLOOKUP(Q441, $E$5:$L$109, 2, FALSE)), "")</f>
        <v>200</v>
      </c>
      <c r="U441" s="259">
        <f t="shared" ref="U441:U450" si="200">IFERROR(VLOOKUP(Q441, $E$5:$L$109, 5, FALSE) * (R441 / VLOOKUP(Q441, $E$5:$L$109, 2, FALSE)), "")</f>
        <v>35</v>
      </c>
      <c r="V441" s="259">
        <f t="shared" ref="V441:V450" si="201">IFERROR(VLOOKUP(Q441, $E$5:$L$109, 6, FALSE) * (R441 / VLOOKUP(Q441, $E$5:$L$109, 2, FALSE)), "")</f>
        <v>2.5</v>
      </c>
      <c r="W441" s="259">
        <f t="shared" ref="W441:W450" si="202">IFERROR(VLOOKUP(Q441, $E$5:$L$109, 7, FALSE) * (R441 / VLOOKUP(Q441, $E$5:$L$109, 2, FALSE)), "")</f>
        <v>9</v>
      </c>
      <c r="X441" s="259">
        <f t="shared" ref="X441:X450" si="203">IFERROR(VLOOKUP(Q441, $E$5:$L$109, 8, FALSE) * (R441 / VLOOKUP(Q441, $E$5:$L$109, 2, FALSE)), "")</f>
        <v>0</v>
      </c>
      <c r="Y441" s="257"/>
    </row>
    <row r="442" spans="14:25">
      <c r="N442" s="255">
        <v>46031</v>
      </c>
      <c r="O442" s="256">
        <v>0.33333333333333331</v>
      </c>
      <c r="P442" s="257" t="s">
        <v>178</v>
      </c>
      <c r="Q442" s="257" t="s">
        <v>351</v>
      </c>
      <c r="R442" s="258">
        <v>1</v>
      </c>
      <c r="S442" s="257" t="str">
        <f t="shared" si="198"/>
        <v>egg</v>
      </c>
      <c r="T442" s="259">
        <f t="shared" si="199"/>
        <v>70</v>
      </c>
      <c r="U442" s="259">
        <f t="shared" si="200"/>
        <v>6</v>
      </c>
      <c r="V442" s="259">
        <f t="shared" si="201"/>
        <v>5</v>
      </c>
      <c r="W442" s="259">
        <f t="shared" si="202"/>
        <v>0</v>
      </c>
      <c r="X442" s="259">
        <f t="shared" si="203"/>
        <v>0</v>
      </c>
      <c r="Y442" s="257"/>
    </row>
    <row r="443" spans="14:25">
      <c r="N443" s="255">
        <v>46031</v>
      </c>
      <c r="O443" s="256">
        <v>0.45833333333333331</v>
      </c>
      <c r="P443" s="257" t="s">
        <v>178</v>
      </c>
      <c r="Q443" s="257" t="s">
        <v>181</v>
      </c>
      <c r="R443" s="258">
        <v>2</v>
      </c>
      <c r="S443" s="257" t="str">
        <f t="shared" si="198"/>
        <v>slice</v>
      </c>
      <c r="T443" s="259">
        <f t="shared" si="199"/>
        <v>140</v>
      </c>
      <c r="U443" s="259">
        <f t="shared" si="200"/>
        <v>5</v>
      </c>
      <c r="V443" s="259">
        <f t="shared" si="201"/>
        <v>2.5</v>
      </c>
      <c r="W443" s="259">
        <f t="shared" si="202"/>
        <v>24</v>
      </c>
      <c r="X443" s="259">
        <f t="shared" si="203"/>
        <v>2</v>
      </c>
      <c r="Y443" s="257"/>
    </row>
    <row r="444" spans="14:25">
      <c r="N444" s="255">
        <v>46031</v>
      </c>
      <c r="O444" s="256">
        <v>0.5</v>
      </c>
      <c r="P444" s="257" t="s">
        <v>185</v>
      </c>
      <c r="Q444" s="257" t="s">
        <v>176</v>
      </c>
      <c r="R444" s="258">
        <v>189</v>
      </c>
      <c r="S444" s="257" t="str">
        <f t="shared" si="198"/>
        <v>g</v>
      </c>
      <c r="T444" s="259">
        <f t="shared" si="199"/>
        <v>311.84999999999997</v>
      </c>
      <c r="U444" s="259">
        <f t="shared" si="200"/>
        <v>47.25</v>
      </c>
      <c r="V444" s="259">
        <f t="shared" si="201"/>
        <v>6.8039999999999994</v>
      </c>
      <c r="W444" s="259">
        <f t="shared" si="202"/>
        <v>0</v>
      </c>
      <c r="X444" s="259">
        <f t="shared" si="203"/>
        <v>0</v>
      </c>
      <c r="Y444" s="257"/>
    </row>
    <row r="445" spans="14:25">
      <c r="N445" s="255">
        <v>46031</v>
      </c>
      <c r="O445" s="256">
        <v>0.5</v>
      </c>
      <c r="P445" s="257" t="s">
        <v>185</v>
      </c>
      <c r="Q445" s="257" t="s">
        <v>189</v>
      </c>
      <c r="R445" s="258">
        <v>172</v>
      </c>
      <c r="S445" s="257" t="str">
        <f t="shared" si="198"/>
        <v>g</v>
      </c>
      <c r="T445" s="259">
        <f t="shared" si="199"/>
        <v>60.199999999999996</v>
      </c>
      <c r="U445" s="259">
        <f t="shared" si="200"/>
        <v>4.3</v>
      </c>
      <c r="V445" s="259">
        <f t="shared" si="201"/>
        <v>0.68800000000000006</v>
      </c>
      <c r="W445" s="259">
        <f t="shared" si="202"/>
        <v>12.04</v>
      </c>
      <c r="X445" s="259">
        <f t="shared" si="203"/>
        <v>4.4720000000000004</v>
      </c>
      <c r="Y445" s="257"/>
    </row>
    <row r="446" spans="14:25">
      <c r="N446" s="255">
        <v>46031</v>
      </c>
      <c r="O446" s="256">
        <v>0.5</v>
      </c>
      <c r="P446" s="257" t="s">
        <v>185</v>
      </c>
      <c r="Q446" s="257" t="s">
        <v>351</v>
      </c>
      <c r="R446" s="258">
        <v>3</v>
      </c>
      <c r="S446" s="257" t="str">
        <f t="shared" si="198"/>
        <v>egg</v>
      </c>
      <c r="T446" s="259">
        <f t="shared" si="199"/>
        <v>210</v>
      </c>
      <c r="U446" s="259">
        <f t="shared" si="200"/>
        <v>18</v>
      </c>
      <c r="V446" s="259">
        <f t="shared" si="201"/>
        <v>15</v>
      </c>
      <c r="W446" s="259">
        <f t="shared" si="202"/>
        <v>0</v>
      </c>
      <c r="X446" s="259">
        <f t="shared" si="203"/>
        <v>0</v>
      </c>
      <c r="Y446" s="257"/>
    </row>
    <row r="447" spans="14:25">
      <c r="N447" s="255">
        <v>46031</v>
      </c>
      <c r="O447" s="256">
        <v>0.54166666666666663</v>
      </c>
      <c r="P447" s="257" t="s">
        <v>289</v>
      </c>
      <c r="Q447" s="257" t="s">
        <v>360</v>
      </c>
      <c r="R447" s="258">
        <v>0.5</v>
      </c>
      <c r="S447" s="257" t="str">
        <f t="shared" si="198"/>
        <v>box</v>
      </c>
      <c r="T447" s="259">
        <f t="shared" si="199"/>
        <v>350</v>
      </c>
      <c r="U447" s="259">
        <f t="shared" si="200"/>
        <v>4</v>
      </c>
      <c r="V447" s="259">
        <f t="shared" si="201"/>
        <v>20</v>
      </c>
      <c r="W447" s="259">
        <f t="shared" si="202"/>
        <v>38</v>
      </c>
      <c r="X447" s="259">
        <f t="shared" si="203"/>
        <v>0</v>
      </c>
      <c r="Y447" s="257"/>
    </row>
    <row r="448" spans="14:25">
      <c r="N448" s="255">
        <v>46031</v>
      </c>
      <c r="O448" s="256">
        <v>0.66666666666666663</v>
      </c>
      <c r="P448" s="257" t="s">
        <v>289</v>
      </c>
      <c r="Q448" s="257" t="s">
        <v>362</v>
      </c>
      <c r="R448" s="258">
        <v>0.5</v>
      </c>
      <c r="S448" s="257" t="str">
        <f t="shared" si="198"/>
        <v/>
      </c>
      <c r="T448" s="259" t="str">
        <f t="shared" si="199"/>
        <v/>
      </c>
      <c r="U448" s="259" t="str">
        <f t="shared" si="200"/>
        <v/>
      </c>
      <c r="V448" s="259" t="str">
        <f t="shared" si="201"/>
        <v/>
      </c>
      <c r="W448" s="259" t="str">
        <f t="shared" si="202"/>
        <v/>
      </c>
      <c r="X448" s="259" t="str">
        <f t="shared" si="203"/>
        <v/>
      </c>
      <c r="Y448" s="257"/>
    </row>
    <row r="449" spans="6:25">
      <c r="N449" s="255">
        <v>46031</v>
      </c>
      <c r="O449" s="256">
        <v>0.83333333333333337</v>
      </c>
      <c r="P449" s="257" t="s">
        <v>199</v>
      </c>
      <c r="Q449" s="257" t="s">
        <v>302</v>
      </c>
      <c r="R449" s="258">
        <v>2</v>
      </c>
      <c r="S449" s="257" t="str">
        <f t="shared" si="198"/>
        <v>order</v>
      </c>
      <c r="T449" s="259">
        <f t="shared" si="199"/>
        <v>900</v>
      </c>
      <c r="U449" s="259">
        <f t="shared" si="200"/>
        <v>70</v>
      </c>
      <c r="V449" s="259">
        <f t="shared" si="201"/>
        <v>64</v>
      </c>
      <c r="W449" s="259">
        <f t="shared" si="202"/>
        <v>10</v>
      </c>
      <c r="X449" s="259">
        <f t="shared" si="203"/>
        <v>0</v>
      </c>
      <c r="Y449" s="257"/>
    </row>
    <row r="450" spans="6:25">
      <c r="N450" s="255">
        <v>46031</v>
      </c>
      <c r="O450" s="256">
        <v>0.83333333333333337</v>
      </c>
      <c r="P450" s="257" t="s">
        <v>199</v>
      </c>
      <c r="Q450" s="257" t="s">
        <v>273</v>
      </c>
      <c r="R450" s="258">
        <v>1</v>
      </c>
      <c r="S450" s="257" t="str">
        <f t="shared" si="198"/>
        <v>medium bag</v>
      </c>
      <c r="T450" s="259">
        <f t="shared" si="199"/>
        <v>210</v>
      </c>
      <c r="U450" s="259">
        <f t="shared" si="200"/>
        <v>5</v>
      </c>
      <c r="V450" s="259">
        <f t="shared" si="201"/>
        <v>1</v>
      </c>
      <c r="W450" s="259">
        <f t="shared" si="202"/>
        <v>45</v>
      </c>
      <c r="X450" s="259">
        <f t="shared" si="203"/>
        <v>2</v>
      </c>
      <c r="Y450" s="257"/>
    </row>
    <row r="451" spans="6:25">
      <c r="F451" s="267"/>
      <c r="G451" s="266"/>
      <c r="H451" s="268"/>
      <c r="I451" s="268"/>
      <c r="N451" s="260"/>
      <c r="O451" s="261" t="s">
        <v>217</v>
      </c>
      <c r="P451" s="262"/>
      <c r="Q451" s="262"/>
      <c r="R451" s="262"/>
      <c r="S451" s="262"/>
      <c r="T451" s="263">
        <f>SUM(T441:T450)</f>
        <v>2452.0500000000002</v>
      </c>
      <c r="U451" s="263">
        <f>SUM(U441:U450)</f>
        <v>194.55</v>
      </c>
      <c r="V451" s="263">
        <f>SUM(V441:V450)</f>
        <v>117.49199999999999</v>
      </c>
      <c r="W451" s="263">
        <f>SUM(W441:W450)</f>
        <v>138.04</v>
      </c>
      <c r="X451" s="263">
        <f>SUM(X441:X450)</f>
        <v>8.4720000000000013</v>
      </c>
      <c r="Y451" s="257"/>
    </row>
    <row r="452" spans="6:25">
      <c r="G452" s="266"/>
      <c r="H452" s="268"/>
      <c r="I452" s="268"/>
      <c r="N452" s="260"/>
      <c r="O452" s="261" t="s">
        <v>220</v>
      </c>
      <c r="P452" s="262"/>
      <c r="Q452" s="262"/>
      <c r="R452" s="262"/>
      <c r="S452" s="262"/>
      <c r="T452" s="264">
        <f>$B$27</f>
        <v>2228.28125</v>
      </c>
      <c r="U452" s="264">
        <f>$B$29</f>
        <v>140.4</v>
      </c>
      <c r="V452" s="264">
        <f>$B$30</f>
        <v>64.739999999999995</v>
      </c>
      <c r="W452" s="264">
        <f>$B$31</f>
        <v>271.0053125</v>
      </c>
      <c r="X452" s="264">
        <f>$B$32</f>
        <v>31.195937500000003</v>
      </c>
      <c r="Y452" s="257"/>
    </row>
    <row r="453" spans="6:25">
      <c r="N453" s="260"/>
      <c r="O453" s="261" t="s">
        <v>222</v>
      </c>
      <c r="P453" s="262"/>
      <c r="Q453" s="262"/>
      <c r="R453" s="262"/>
      <c r="S453" s="262"/>
      <c r="T453" s="264">
        <f>T451-T452</f>
        <v>223.76875000000018</v>
      </c>
      <c r="U453" s="264">
        <f>U451-U452</f>
        <v>54.150000000000006</v>
      </c>
      <c r="V453" s="264">
        <f>V451-V452</f>
        <v>52.751999999999995</v>
      </c>
      <c r="W453" s="264">
        <f>W451-W452</f>
        <v>-132.96531250000001</v>
      </c>
      <c r="X453" s="264">
        <f>X451-X452</f>
        <v>-22.723937500000002</v>
      </c>
      <c r="Y453" s="257"/>
    </row>
    <row r="454" spans="6:25">
      <c r="N454" s="255">
        <v>46032</v>
      </c>
      <c r="O454" s="256">
        <v>0.45833333333333331</v>
      </c>
      <c r="P454" s="257" t="s">
        <v>178</v>
      </c>
      <c r="Q454" s="257" t="s">
        <v>363</v>
      </c>
      <c r="R454" s="258">
        <v>2</v>
      </c>
      <c r="S454" s="257" t="str">
        <f t="shared" ref="S454:S460" si="204">IFERROR(VLOOKUP(Q454, $E$5:$L$109, 3, FALSE), "")</f>
        <v>burger</v>
      </c>
      <c r="T454" s="259">
        <f t="shared" ref="T454:T460" si="205">IFERROR(VLOOKUP(Q454, $E$5:$L$109, 4, FALSE) * (R454 / VLOOKUP(Q454, $E$5:$L$109, 2, FALSE)), "")</f>
        <v>480</v>
      </c>
      <c r="U454" s="259">
        <f t="shared" ref="U454:U460" si="206">IFERROR(VLOOKUP(Q454, $E$5:$L$109, 5, FALSE) * (R454 / VLOOKUP(Q454, $E$5:$L$109, 2, FALSE)), "")</f>
        <v>20</v>
      </c>
      <c r="V454" s="259">
        <f t="shared" ref="V454:V460" si="207">IFERROR(VLOOKUP(Q454, $E$5:$L$109, 6, FALSE) * (R454 / VLOOKUP(Q454, $E$5:$L$109, 2, FALSE)), "")</f>
        <v>18</v>
      </c>
      <c r="W454" s="259">
        <f t="shared" ref="W454:W460" si="208">IFERROR(VLOOKUP(Q454, $E$5:$L$109, 7, FALSE) * (R454 / VLOOKUP(Q454, $E$5:$L$109, 2, FALSE)), "")</f>
        <v>60</v>
      </c>
      <c r="X454" s="259">
        <f t="shared" ref="X454:X460" si="209">IFERROR(VLOOKUP(Q454, $E$5:$L$109, 8, FALSE) * (R454 / VLOOKUP(Q454, $E$5:$L$109, 2, FALSE)), "")</f>
        <v>0</v>
      </c>
      <c r="Y454" s="257"/>
    </row>
    <row r="455" spans="6:25">
      <c r="N455" s="255">
        <v>46032</v>
      </c>
      <c r="O455" s="256">
        <v>0.5</v>
      </c>
      <c r="P455" s="257" t="s">
        <v>289</v>
      </c>
      <c r="Q455" s="257" t="s">
        <v>366</v>
      </c>
      <c r="R455" s="258">
        <v>1</v>
      </c>
      <c r="S455" s="257" t="str">
        <f t="shared" si="204"/>
        <v>coconut</v>
      </c>
      <c r="T455" s="259">
        <f t="shared" si="205"/>
        <v>430</v>
      </c>
      <c r="U455" s="259">
        <f t="shared" si="206"/>
        <v>5</v>
      </c>
      <c r="V455" s="259">
        <f t="shared" si="207"/>
        <v>34</v>
      </c>
      <c r="W455" s="259">
        <f t="shared" si="208"/>
        <v>28</v>
      </c>
      <c r="X455" s="259">
        <f t="shared" si="209"/>
        <v>10</v>
      </c>
      <c r="Y455" s="257"/>
    </row>
    <row r="456" spans="6:25">
      <c r="N456" s="255">
        <v>46032</v>
      </c>
      <c r="O456" s="256">
        <v>0.625</v>
      </c>
      <c r="P456" s="257" t="s">
        <v>185</v>
      </c>
      <c r="Q456" s="257" t="s">
        <v>295</v>
      </c>
      <c r="R456" s="258">
        <v>1</v>
      </c>
      <c r="S456" s="257" t="str">
        <f t="shared" si="204"/>
        <v>bottle</v>
      </c>
      <c r="T456" s="259">
        <f t="shared" si="205"/>
        <v>200</v>
      </c>
      <c r="U456" s="259">
        <f t="shared" si="206"/>
        <v>35</v>
      </c>
      <c r="V456" s="259">
        <f t="shared" si="207"/>
        <v>2.5</v>
      </c>
      <c r="W456" s="259">
        <f t="shared" si="208"/>
        <v>9</v>
      </c>
      <c r="X456" s="259">
        <f t="shared" si="209"/>
        <v>0</v>
      </c>
      <c r="Y456" s="257"/>
    </row>
    <row r="457" spans="6:25">
      <c r="N457" s="255">
        <v>46032</v>
      </c>
      <c r="O457" s="256">
        <v>0.83333333333333337</v>
      </c>
      <c r="P457" s="257" t="s">
        <v>199</v>
      </c>
      <c r="Q457" s="257" t="s">
        <v>176</v>
      </c>
      <c r="R457" s="258">
        <v>299</v>
      </c>
      <c r="S457" s="257" t="str">
        <f t="shared" si="204"/>
        <v>g</v>
      </c>
      <c r="T457" s="259">
        <f t="shared" si="205"/>
        <v>493.35</v>
      </c>
      <c r="U457" s="259">
        <f t="shared" si="206"/>
        <v>74.75</v>
      </c>
      <c r="V457" s="259">
        <f t="shared" si="207"/>
        <v>10.764000000000001</v>
      </c>
      <c r="W457" s="259">
        <f t="shared" si="208"/>
        <v>0</v>
      </c>
      <c r="X457" s="259">
        <f t="shared" si="209"/>
        <v>0</v>
      </c>
      <c r="Y457" s="257"/>
    </row>
    <row r="458" spans="6:25">
      <c r="N458" s="255">
        <v>46032</v>
      </c>
      <c r="O458" s="256">
        <v>0.83333333333333337</v>
      </c>
      <c r="P458" s="257" t="s">
        <v>199</v>
      </c>
      <c r="Q458" s="257" t="s">
        <v>181</v>
      </c>
      <c r="R458" s="258">
        <v>5</v>
      </c>
      <c r="S458" s="257" t="str">
        <f t="shared" si="204"/>
        <v>slice</v>
      </c>
      <c r="T458" s="259">
        <f t="shared" si="205"/>
        <v>350</v>
      </c>
      <c r="U458" s="259">
        <f t="shared" si="206"/>
        <v>12.5</v>
      </c>
      <c r="V458" s="259">
        <f t="shared" si="207"/>
        <v>6.25</v>
      </c>
      <c r="W458" s="259">
        <f t="shared" si="208"/>
        <v>60</v>
      </c>
      <c r="X458" s="259">
        <f t="shared" si="209"/>
        <v>5</v>
      </c>
      <c r="Y458" s="257"/>
    </row>
    <row r="459" spans="6:25">
      <c r="N459" s="255">
        <v>46032</v>
      </c>
      <c r="O459" s="256">
        <v>0.83333333333333337</v>
      </c>
      <c r="P459" s="257" t="s">
        <v>199</v>
      </c>
      <c r="Q459" s="257" t="s">
        <v>219</v>
      </c>
      <c r="R459" s="258">
        <v>1</v>
      </c>
      <c r="S459" s="257" t="str">
        <f t="shared" si="204"/>
        <v>bottle</v>
      </c>
      <c r="T459" s="259">
        <f t="shared" si="205"/>
        <v>0</v>
      </c>
      <c r="U459" s="259">
        <f t="shared" si="206"/>
        <v>0</v>
      </c>
      <c r="V459" s="259">
        <f t="shared" si="207"/>
        <v>0</v>
      </c>
      <c r="W459" s="259">
        <f t="shared" si="208"/>
        <v>0</v>
      </c>
      <c r="X459" s="259">
        <f t="shared" si="209"/>
        <v>0</v>
      </c>
      <c r="Y459" s="257"/>
    </row>
    <row r="460" spans="6:25">
      <c r="N460" s="255">
        <v>46032</v>
      </c>
      <c r="O460" s="256">
        <v>0.875</v>
      </c>
      <c r="P460" s="257" t="s">
        <v>289</v>
      </c>
      <c r="Q460" s="257" t="s">
        <v>292</v>
      </c>
      <c r="R460" s="258">
        <v>0.5</v>
      </c>
      <c r="S460" s="257" t="str">
        <f t="shared" si="204"/>
        <v>bar</v>
      </c>
      <c r="T460" s="259">
        <f t="shared" si="205"/>
        <v>125</v>
      </c>
      <c r="U460" s="259">
        <f t="shared" si="206"/>
        <v>1.5</v>
      </c>
      <c r="V460" s="259">
        <f t="shared" si="207"/>
        <v>7.5</v>
      </c>
      <c r="W460" s="259">
        <f t="shared" si="208"/>
        <v>13</v>
      </c>
      <c r="X460" s="259">
        <f t="shared" si="209"/>
        <v>0</v>
      </c>
      <c r="Y460" s="257"/>
    </row>
    <row r="461" spans="6:25">
      <c r="N461" s="260"/>
      <c r="O461" s="261" t="s">
        <v>217</v>
      </c>
      <c r="P461" s="262"/>
      <c r="Q461" s="262"/>
      <c r="R461" s="262"/>
      <c r="S461" s="262"/>
      <c r="T461" s="263">
        <f>SUM(T454:T460)</f>
        <v>2078.35</v>
      </c>
      <c r="U461" s="263">
        <f>SUM(U454:U460)</f>
        <v>148.75</v>
      </c>
      <c r="V461" s="263">
        <f>SUM(V454:V460)</f>
        <v>79.013999999999996</v>
      </c>
      <c r="W461" s="263">
        <f>SUM(W454:W460)</f>
        <v>170</v>
      </c>
      <c r="X461" s="263">
        <f>SUM(X454:X460)</f>
        <v>15</v>
      </c>
      <c r="Y461" s="257"/>
    </row>
    <row r="462" spans="6:25">
      <c r="N462" s="260"/>
      <c r="O462" s="261" t="s">
        <v>220</v>
      </c>
      <c r="P462" s="262"/>
      <c r="Q462" s="262"/>
      <c r="R462" s="262"/>
      <c r="S462" s="262"/>
      <c r="T462" s="264">
        <f>$B$27</f>
        <v>2228.28125</v>
      </c>
      <c r="U462" s="264">
        <f>$B$29</f>
        <v>140.4</v>
      </c>
      <c r="V462" s="264">
        <f>$B$30</f>
        <v>64.739999999999995</v>
      </c>
      <c r="W462" s="264">
        <f>$B$31</f>
        <v>271.0053125</v>
      </c>
      <c r="X462" s="264">
        <f>$B$32</f>
        <v>31.195937500000003</v>
      </c>
      <c r="Y462" s="257"/>
    </row>
    <row r="463" spans="6:25">
      <c r="N463" s="260"/>
      <c r="O463" s="261" t="s">
        <v>222</v>
      </c>
      <c r="P463" s="262"/>
      <c r="Q463" s="262"/>
      <c r="R463" s="262"/>
      <c r="S463" s="262"/>
      <c r="T463" s="264">
        <f>T461-T462</f>
        <v>-149.93125000000009</v>
      </c>
      <c r="U463" s="264">
        <f>U461-U462</f>
        <v>8.3499999999999943</v>
      </c>
      <c r="V463" s="264">
        <f>V461-V462</f>
        <v>14.274000000000001</v>
      </c>
      <c r="W463" s="264">
        <f>W461-W462</f>
        <v>-101.0053125</v>
      </c>
      <c r="X463" s="264">
        <f>X461-X462</f>
        <v>-16.195937500000003</v>
      </c>
      <c r="Y463" s="257"/>
    </row>
    <row r="464" spans="6:25">
      <c r="N464" s="255">
        <v>46033</v>
      </c>
      <c r="O464" s="256">
        <v>0.33333333333333331</v>
      </c>
      <c r="P464" s="257" t="s">
        <v>178</v>
      </c>
      <c r="Q464" s="257" t="s">
        <v>295</v>
      </c>
      <c r="R464" s="258">
        <v>1</v>
      </c>
      <c r="S464" s="257" t="str">
        <f t="shared" ref="S464:S475" si="210">IFERROR(VLOOKUP(Q464, $E$5:$L$997, 3, FALSE), "")</f>
        <v>bottle</v>
      </c>
      <c r="T464" s="259">
        <f t="shared" ref="T464:T475" si="211">IFERROR(VLOOKUP(Q464, $E$5:$L$997, 4, FALSE) * (R464 / VLOOKUP(Q464, $E$5:$L$997, 2, FALSE)), "")</f>
        <v>200</v>
      </c>
      <c r="U464" s="259">
        <f t="shared" ref="U464:U475" si="212">IFERROR(VLOOKUP(Q464, $E$5:$L$997, 5, FALSE) * (R464 / VLOOKUP(Q464, $E$5:$L$997, 2, FALSE)), "")</f>
        <v>35</v>
      </c>
      <c r="V464" s="259">
        <f t="shared" ref="V464:V475" si="213">IFERROR(VLOOKUP(Q464, $E$5:$L$997, 6, FALSE) * (R464 / VLOOKUP(Q464, $E$5:$L$997, 2, FALSE)), "")</f>
        <v>2.5</v>
      </c>
      <c r="W464" s="259">
        <f t="shared" ref="W464:W475" si="214">IFERROR(VLOOKUP(Q464, $E$5:$L$997, 7, FALSE) * (R464 / VLOOKUP(Q464, $E$5:$L$997, 2, FALSE)), "")</f>
        <v>9</v>
      </c>
      <c r="X464" s="259">
        <f t="shared" ref="X464:X475" si="215">IFERROR(VLOOKUP(Q464, $E$5:$L$997, 8, FALSE) * (R464 / VLOOKUP(Q464, $E$5:$L$997, 2, FALSE)), "")</f>
        <v>0</v>
      </c>
      <c r="Y464" s="257"/>
    </row>
    <row r="465" spans="14:25">
      <c r="N465" s="255">
        <v>46033</v>
      </c>
      <c r="O465" s="256">
        <v>0.41666666666666669</v>
      </c>
      <c r="P465" s="257" t="s">
        <v>289</v>
      </c>
      <c r="Q465" s="257" t="s">
        <v>214</v>
      </c>
      <c r="R465" s="258">
        <v>1</v>
      </c>
      <c r="S465" s="257" t="str">
        <f t="shared" si="210"/>
        <v>bar</v>
      </c>
      <c r="T465" s="259">
        <f t="shared" si="211"/>
        <v>67</v>
      </c>
      <c r="U465" s="259">
        <f t="shared" si="212"/>
        <v>1</v>
      </c>
      <c r="V465" s="259">
        <f t="shared" si="213"/>
        <v>3.5</v>
      </c>
      <c r="W465" s="259">
        <f t="shared" si="214"/>
        <v>22</v>
      </c>
      <c r="X465" s="259">
        <f t="shared" si="215"/>
        <v>0.3</v>
      </c>
      <c r="Y465" s="257"/>
    </row>
    <row r="466" spans="14:25">
      <c r="N466" s="255">
        <v>46033</v>
      </c>
      <c r="O466" s="256">
        <v>0.41666666666666669</v>
      </c>
      <c r="P466" s="257" t="s">
        <v>185</v>
      </c>
      <c r="Q466" s="257" t="s">
        <v>189</v>
      </c>
      <c r="R466" s="258">
        <v>121</v>
      </c>
      <c r="S466" s="257" t="str">
        <f t="shared" si="210"/>
        <v>g</v>
      </c>
      <c r="T466" s="259">
        <f t="shared" si="211"/>
        <v>42.35</v>
      </c>
      <c r="U466" s="259">
        <f t="shared" si="212"/>
        <v>3.0249999999999999</v>
      </c>
      <c r="V466" s="259">
        <f t="shared" si="213"/>
        <v>0.48399999999999999</v>
      </c>
      <c r="W466" s="259">
        <f t="shared" si="214"/>
        <v>8.4699999999999989</v>
      </c>
      <c r="X466" s="259">
        <f t="shared" si="215"/>
        <v>3.1459999999999999</v>
      </c>
      <c r="Y466" s="257"/>
    </row>
    <row r="467" spans="14:25">
      <c r="N467" s="255">
        <v>46033</v>
      </c>
      <c r="O467" s="256">
        <v>0.41666666666666669</v>
      </c>
      <c r="P467" s="257" t="s">
        <v>185</v>
      </c>
      <c r="Q467" s="257" t="s">
        <v>176</v>
      </c>
      <c r="R467" s="258">
        <v>186</v>
      </c>
      <c r="S467" s="257" t="str">
        <f t="shared" si="210"/>
        <v>g</v>
      </c>
      <c r="T467" s="259">
        <f t="shared" si="211"/>
        <v>306.90000000000003</v>
      </c>
      <c r="U467" s="259">
        <f t="shared" si="212"/>
        <v>46.5</v>
      </c>
      <c r="V467" s="259">
        <f t="shared" si="213"/>
        <v>6.6960000000000006</v>
      </c>
      <c r="W467" s="259">
        <f t="shared" si="214"/>
        <v>0</v>
      </c>
      <c r="X467" s="259">
        <f t="shared" si="215"/>
        <v>0</v>
      </c>
      <c r="Y467" s="257"/>
    </row>
    <row r="468" spans="14:25">
      <c r="N468" s="255">
        <v>46033</v>
      </c>
      <c r="O468" s="256">
        <v>0.41666666666666669</v>
      </c>
      <c r="P468" s="257" t="s">
        <v>185</v>
      </c>
      <c r="Q468" s="257" t="s">
        <v>234</v>
      </c>
      <c r="R468" s="258">
        <v>1</v>
      </c>
      <c r="S468" s="257" t="str">
        <f t="shared" si="210"/>
        <v>can</v>
      </c>
      <c r="T468" s="259">
        <f t="shared" si="211"/>
        <v>260</v>
      </c>
      <c r="U468" s="259">
        <f t="shared" si="212"/>
        <v>30</v>
      </c>
      <c r="V468" s="259">
        <f t="shared" si="213"/>
        <v>16</v>
      </c>
      <c r="W468" s="259">
        <f t="shared" si="214"/>
        <v>2</v>
      </c>
      <c r="X468" s="259">
        <f t="shared" si="215"/>
        <v>0</v>
      </c>
      <c r="Y468" s="257"/>
    </row>
    <row r="469" spans="14:25">
      <c r="N469" s="255">
        <v>46033</v>
      </c>
      <c r="O469" s="256">
        <v>0.41666666666666669</v>
      </c>
      <c r="P469" s="257" t="s">
        <v>185</v>
      </c>
      <c r="Q469" s="257" t="s">
        <v>181</v>
      </c>
      <c r="R469" s="258">
        <v>2</v>
      </c>
      <c r="S469" s="257" t="str">
        <f t="shared" si="210"/>
        <v>slice</v>
      </c>
      <c r="T469" s="259">
        <f t="shared" si="211"/>
        <v>140</v>
      </c>
      <c r="U469" s="259">
        <f t="shared" si="212"/>
        <v>5</v>
      </c>
      <c r="V469" s="259">
        <f t="shared" si="213"/>
        <v>2.5</v>
      </c>
      <c r="W469" s="259">
        <f t="shared" si="214"/>
        <v>24</v>
      </c>
      <c r="X469" s="259">
        <f t="shared" si="215"/>
        <v>2</v>
      </c>
      <c r="Y469" s="257"/>
    </row>
    <row r="470" spans="14:25">
      <c r="N470" s="255">
        <v>46033</v>
      </c>
      <c r="O470" s="256">
        <v>0.45833333333333331</v>
      </c>
      <c r="P470" s="257" t="s">
        <v>185</v>
      </c>
      <c r="Q470" s="257" t="s">
        <v>209</v>
      </c>
      <c r="R470" s="258">
        <v>2</v>
      </c>
      <c r="S470" s="257" t="str">
        <f t="shared" si="210"/>
        <v>tbsp</v>
      </c>
      <c r="T470" s="259">
        <f t="shared" si="211"/>
        <v>40</v>
      </c>
      <c r="U470" s="259">
        <f t="shared" si="212"/>
        <v>0</v>
      </c>
      <c r="V470" s="259">
        <f t="shared" si="213"/>
        <v>0</v>
      </c>
      <c r="W470" s="259">
        <f t="shared" si="214"/>
        <v>10</v>
      </c>
      <c r="X470" s="259">
        <f t="shared" si="215"/>
        <v>9</v>
      </c>
      <c r="Y470" s="257"/>
    </row>
    <row r="471" spans="14:25">
      <c r="N471" s="255">
        <v>46033</v>
      </c>
      <c r="O471" s="256">
        <v>0.58333333333333337</v>
      </c>
      <c r="P471" s="257" t="s">
        <v>289</v>
      </c>
      <c r="Q471" s="257" t="s">
        <v>214</v>
      </c>
      <c r="R471" s="258">
        <v>2</v>
      </c>
      <c r="S471" s="257" t="str">
        <f t="shared" si="210"/>
        <v>bar</v>
      </c>
      <c r="T471" s="259">
        <f t="shared" si="211"/>
        <v>134</v>
      </c>
      <c r="U471" s="259">
        <f t="shared" si="212"/>
        <v>2</v>
      </c>
      <c r="V471" s="259">
        <f t="shared" si="213"/>
        <v>7</v>
      </c>
      <c r="W471" s="259">
        <f t="shared" si="214"/>
        <v>44</v>
      </c>
      <c r="X471" s="259">
        <f t="shared" si="215"/>
        <v>0.6</v>
      </c>
      <c r="Y471" s="257"/>
    </row>
    <row r="472" spans="14:25">
      <c r="N472" s="255">
        <v>46033</v>
      </c>
      <c r="O472" s="256">
        <v>0.83333333333333337</v>
      </c>
      <c r="P472" s="257" t="s">
        <v>199</v>
      </c>
      <c r="Q472" s="257" t="s">
        <v>368</v>
      </c>
      <c r="R472" s="258">
        <v>2</v>
      </c>
      <c r="S472" s="257" t="str">
        <f t="shared" si="210"/>
        <v>pack</v>
      </c>
      <c r="T472" s="259">
        <f t="shared" si="211"/>
        <v>640</v>
      </c>
      <c r="U472" s="259">
        <f t="shared" si="212"/>
        <v>24</v>
      </c>
      <c r="V472" s="259">
        <f t="shared" si="213"/>
        <v>20</v>
      </c>
      <c r="W472" s="259">
        <f t="shared" si="214"/>
        <v>90</v>
      </c>
      <c r="X472" s="259">
        <f t="shared" si="215"/>
        <v>6</v>
      </c>
      <c r="Y472" s="257"/>
    </row>
    <row r="473" spans="14:25">
      <c r="N473" s="255">
        <v>46033</v>
      </c>
      <c r="O473" s="256">
        <v>0.95833333333333337</v>
      </c>
      <c r="P473" s="257" t="s">
        <v>289</v>
      </c>
      <c r="Q473" s="257" t="s">
        <v>190</v>
      </c>
      <c r="R473" s="258">
        <v>2</v>
      </c>
      <c r="S473" s="257" t="str">
        <f t="shared" si="210"/>
        <v>medium</v>
      </c>
      <c r="T473" s="259">
        <f t="shared" si="211"/>
        <v>124</v>
      </c>
      <c r="U473" s="259">
        <f t="shared" si="212"/>
        <v>2.4</v>
      </c>
      <c r="V473" s="259">
        <f t="shared" si="213"/>
        <v>0.4</v>
      </c>
      <c r="W473" s="259">
        <f t="shared" si="214"/>
        <v>30.8</v>
      </c>
      <c r="X473" s="259">
        <f t="shared" si="215"/>
        <v>6.2</v>
      </c>
      <c r="Y473" s="257"/>
    </row>
    <row r="474" spans="14:25">
      <c r="N474" s="255">
        <v>46033</v>
      </c>
      <c r="O474" s="256">
        <v>0.95833333333333337</v>
      </c>
      <c r="P474" s="257" t="s">
        <v>199</v>
      </c>
      <c r="Q474" s="257" t="s">
        <v>212</v>
      </c>
      <c r="R474" s="258">
        <v>1</v>
      </c>
      <c r="S474" s="257" t="str">
        <f t="shared" si="210"/>
        <v>bottle</v>
      </c>
      <c r="T474" s="259">
        <f t="shared" si="211"/>
        <v>70</v>
      </c>
      <c r="U474" s="259">
        <f t="shared" si="212"/>
        <v>0</v>
      </c>
      <c r="V474" s="259">
        <f t="shared" si="213"/>
        <v>0</v>
      </c>
      <c r="W474" s="259">
        <f t="shared" si="214"/>
        <v>17</v>
      </c>
      <c r="X474" s="259">
        <f t="shared" si="215"/>
        <v>1</v>
      </c>
      <c r="Y474" s="257"/>
    </row>
    <row r="475" spans="14:25">
      <c r="N475" s="255">
        <v>46033</v>
      </c>
      <c r="O475" s="256">
        <v>0.95833333333333337</v>
      </c>
      <c r="P475" s="257" t="s">
        <v>199</v>
      </c>
      <c r="Q475" s="257" t="s">
        <v>209</v>
      </c>
      <c r="R475" s="258">
        <v>1</v>
      </c>
      <c r="S475" s="257" t="str">
        <f t="shared" si="210"/>
        <v>tbsp</v>
      </c>
      <c r="T475" s="259">
        <f t="shared" si="211"/>
        <v>20</v>
      </c>
      <c r="U475" s="259">
        <f t="shared" si="212"/>
        <v>0</v>
      </c>
      <c r="V475" s="259">
        <f t="shared" si="213"/>
        <v>0</v>
      </c>
      <c r="W475" s="259">
        <f t="shared" si="214"/>
        <v>5</v>
      </c>
      <c r="X475" s="259">
        <f t="shared" si="215"/>
        <v>4.5</v>
      </c>
      <c r="Y475" s="257"/>
    </row>
    <row r="476" spans="14:25">
      <c r="N476" s="260"/>
      <c r="O476" s="261" t="s">
        <v>217</v>
      </c>
      <c r="P476" s="262"/>
      <c r="Q476" s="262"/>
      <c r="R476" s="262"/>
      <c r="S476" s="262"/>
      <c r="T476" s="263">
        <f>SUM(T464:T475)</f>
        <v>2044.25</v>
      </c>
      <c r="U476" s="263">
        <f>SUM(U464:U475)</f>
        <v>148.92500000000001</v>
      </c>
      <c r="V476" s="263">
        <f>SUM(V464:V475)</f>
        <v>59.08</v>
      </c>
      <c r="W476" s="263">
        <f>SUM(W464:W475)</f>
        <v>262.27</v>
      </c>
      <c r="X476" s="263">
        <f>SUM(X464:X475)</f>
        <v>32.745999999999995</v>
      </c>
      <c r="Y476" s="257"/>
    </row>
    <row r="477" spans="14:25">
      <c r="N477" s="260"/>
      <c r="O477" s="261" t="s">
        <v>220</v>
      </c>
      <c r="P477" s="262"/>
      <c r="Q477" s="262"/>
      <c r="R477" s="262"/>
      <c r="S477" s="262"/>
      <c r="T477" s="264">
        <f>$B$27</f>
        <v>2228.28125</v>
      </c>
      <c r="U477" s="264">
        <f>$B$29</f>
        <v>140.4</v>
      </c>
      <c r="V477" s="264">
        <f>$B$30</f>
        <v>64.739999999999995</v>
      </c>
      <c r="W477" s="264">
        <f>$B$31</f>
        <v>271.0053125</v>
      </c>
      <c r="X477" s="264">
        <f>$B$32</f>
        <v>31.195937500000003</v>
      </c>
      <c r="Y477" s="257"/>
    </row>
    <row r="478" spans="14:25">
      <c r="N478" s="260"/>
      <c r="O478" s="261" t="s">
        <v>222</v>
      </c>
      <c r="P478" s="262"/>
      <c r="Q478" s="262"/>
      <c r="R478" s="262"/>
      <c r="S478" s="262"/>
      <c r="T478" s="264">
        <f>T476-T477</f>
        <v>-184.03125</v>
      </c>
      <c r="U478" s="264">
        <f>U476-U477</f>
        <v>8.5250000000000057</v>
      </c>
      <c r="V478" s="264">
        <f>V476-V477</f>
        <v>-5.6599999999999966</v>
      </c>
      <c r="W478" s="264">
        <f>W476-W477</f>
        <v>-8.7353125000000205</v>
      </c>
      <c r="X478" s="264">
        <f>X476-X477</f>
        <v>1.5500624999999921</v>
      </c>
      <c r="Y478" s="257"/>
    </row>
    <row r="479" spans="14:25">
      <c r="N479" s="255">
        <v>46034</v>
      </c>
      <c r="O479" s="256">
        <v>0.33333333333333331</v>
      </c>
      <c r="P479" s="257" t="s">
        <v>178</v>
      </c>
      <c r="Q479" s="257" t="s">
        <v>295</v>
      </c>
      <c r="R479" s="258">
        <v>1</v>
      </c>
      <c r="S479" s="257" t="str">
        <f t="shared" ref="S479:S488" si="216">IFERROR(VLOOKUP(Q479, $E$5:$L$997, 3, FALSE), "")</f>
        <v>bottle</v>
      </c>
      <c r="T479" s="259">
        <f t="shared" ref="T479:T488" si="217">IFERROR(VLOOKUP(Q479, $E$5:$L$997, 4, FALSE) * (R479 / VLOOKUP(Q479, $E$5:$L$997, 2, FALSE)), "")</f>
        <v>200</v>
      </c>
      <c r="U479" s="259">
        <f t="shared" ref="U479:U488" si="218">IFERROR(VLOOKUP(Q479, $E$5:$L$997, 5, FALSE) * (R479 / VLOOKUP(Q479, $E$5:$L$997, 2, FALSE)), "")</f>
        <v>35</v>
      </c>
      <c r="V479" s="259">
        <f t="shared" ref="V479:V488" si="219">IFERROR(VLOOKUP(Q479, $E$5:$L$997, 6, FALSE) * (R479 / VLOOKUP(Q479, $E$5:$L$997, 2, FALSE)), "")</f>
        <v>2.5</v>
      </c>
      <c r="W479" s="259">
        <f t="shared" ref="W479:W488" si="220">IFERROR(VLOOKUP(Q479, $E$5:$L$997, 7, FALSE) * (R479 / VLOOKUP(Q479, $E$5:$L$997, 2, FALSE)), "")</f>
        <v>9</v>
      </c>
      <c r="X479" s="259">
        <f t="shared" ref="X479:X488" si="221">IFERROR(VLOOKUP(Q479, $E$5:$L$997, 8, FALSE) * (R479 / VLOOKUP(Q479, $E$5:$L$997, 2, FALSE)), "")</f>
        <v>0</v>
      </c>
      <c r="Y479" s="257"/>
    </row>
    <row r="480" spans="14:25">
      <c r="N480" s="255">
        <v>46034</v>
      </c>
      <c r="O480" s="256">
        <v>0.33333333333333331</v>
      </c>
      <c r="P480" s="257" t="s">
        <v>178</v>
      </c>
      <c r="Q480" s="257" t="s">
        <v>273</v>
      </c>
      <c r="R480" s="258">
        <v>1</v>
      </c>
      <c r="S480" s="257" t="str">
        <f t="shared" si="216"/>
        <v>medium bag</v>
      </c>
      <c r="T480" s="259">
        <f t="shared" si="217"/>
        <v>210</v>
      </c>
      <c r="U480" s="259">
        <f t="shared" si="218"/>
        <v>5</v>
      </c>
      <c r="V480" s="259">
        <f t="shared" si="219"/>
        <v>1</v>
      </c>
      <c r="W480" s="259">
        <f t="shared" si="220"/>
        <v>45</v>
      </c>
      <c r="X480" s="259">
        <f t="shared" si="221"/>
        <v>2</v>
      </c>
      <c r="Y480" s="257"/>
    </row>
    <row r="481" spans="14:25">
      <c r="N481" s="255">
        <v>46034</v>
      </c>
      <c r="O481" s="256">
        <v>0.33333333333333331</v>
      </c>
      <c r="P481" s="257" t="s">
        <v>178</v>
      </c>
      <c r="Q481" s="257" t="s">
        <v>264</v>
      </c>
      <c r="R481" s="258">
        <v>2</v>
      </c>
      <c r="S481" s="257" t="str">
        <f t="shared" si="216"/>
        <v>stick</v>
      </c>
      <c r="T481" s="259">
        <f t="shared" si="217"/>
        <v>200</v>
      </c>
      <c r="U481" s="259">
        <f t="shared" si="218"/>
        <v>16</v>
      </c>
      <c r="V481" s="259">
        <f t="shared" si="219"/>
        <v>14</v>
      </c>
      <c r="W481" s="259">
        <f t="shared" si="220"/>
        <v>6</v>
      </c>
      <c r="X481" s="259">
        <f t="shared" si="221"/>
        <v>0</v>
      </c>
      <c r="Y481" s="257"/>
    </row>
    <row r="482" spans="14:25">
      <c r="N482" s="255">
        <v>46034</v>
      </c>
      <c r="O482" s="256">
        <v>0.5</v>
      </c>
      <c r="P482" s="257" t="s">
        <v>185</v>
      </c>
      <c r="Q482" s="257" t="s">
        <v>351</v>
      </c>
      <c r="R482" s="258">
        <v>1</v>
      </c>
      <c r="S482" s="257" t="str">
        <f t="shared" si="216"/>
        <v>egg</v>
      </c>
      <c r="T482" s="259">
        <f t="shared" si="217"/>
        <v>70</v>
      </c>
      <c r="U482" s="259">
        <f t="shared" si="218"/>
        <v>6</v>
      </c>
      <c r="V482" s="259">
        <f t="shared" si="219"/>
        <v>5</v>
      </c>
      <c r="W482" s="259">
        <f t="shared" si="220"/>
        <v>0</v>
      </c>
      <c r="X482" s="259">
        <f t="shared" si="221"/>
        <v>0</v>
      </c>
      <c r="Y482" s="257"/>
    </row>
    <row r="483" spans="14:25">
      <c r="N483" s="255">
        <v>46034</v>
      </c>
      <c r="O483" s="256">
        <v>0.5</v>
      </c>
      <c r="P483" s="257" t="s">
        <v>185</v>
      </c>
      <c r="Q483" s="257" t="s">
        <v>176</v>
      </c>
      <c r="R483" s="258">
        <v>243</v>
      </c>
      <c r="S483" s="257" t="str">
        <f t="shared" si="216"/>
        <v>g</v>
      </c>
      <c r="T483" s="259">
        <f t="shared" si="217"/>
        <v>400.95000000000005</v>
      </c>
      <c r="U483" s="259">
        <f t="shared" si="218"/>
        <v>60.750000000000007</v>
      </c>
      <c r="V483" s="259">
        <f t="shared" si="219"/>
        <v>8.7480000000000011</v>
      </c>
      <c r="W483" s="259">
        <f t="shared" si="220"/>
        <v>0</v>
      </c>
      <c r="X483" s="259">
        <f t="shared" si="221"/>
        <v>0</v>
      </c>
      <c r="Y483" s="257"/>
    </row>
    <row r="484" spans="14:25">
      <c r="N484" s="255">
        <v>46034</v>
      </c>
      <c r="O484" s="256">
        <v>0.5</v>
      </c>
      <c r="P484" s="257" t="s">
        <v>185</v>
      </c>
      <c r="Q484" s="257" t="s">
        <v>229</v>
      </c>
      <c r="R484" s="258">
        <v>1</v>
      </c>
      <c r="S484" s="257" t="str">
        <f t="shared" si="216"/>
        <v>large plate</v>
      </c>
      <c r="T484" s="259">
        <f t="shared" si="217"/>
        <v>500</v>
      </c>
      <c r="U484" s="259">
        <f t="shared" si="218"/>
        <v>20</v>
      </c>
      <c r="V484" s="259">
        <f t="shared" si="219"/>
        <v>30</v>
      </c>
      <c r="W484" s="259">
        <f t="shared" si="220"/>
        <v>40</v>
      </c>
      <c r="X484" s="259">
        <f t="shared" si="221"/>
        <v>3</v>
      </c>
      <c r="Y484" s="257"/>
    </row>
    <row r="485" spans="14:25">
      <c r="N485" s="255">
        <v>46034</v>
      </c>
      <c r="O485" s="256">
        <v>0.58333333333333337</v>
      </c>
      <c r="P485" s="257" t="s">
        <v>289</v>
      </c>
      <c r="Q485" s="257" t="s">
        <v>369</v>
      </c>
      <c r="R485" s="258">
        <v>1</v>
      </c>
      <c r="S485" s="257" t="str">
        <f t="shared" si="216"/>
        <v>lonzenge</v>
      </c>
      <c r="T485" s="259">
        <f t="shared" si="217"/>
        <v>10</v>
      </c>
      <c r="U485" s="259">
        <f t="shared" si="218"/>
        <v>0</v>
      </c>
      <c r="V485" s="259">
        <f t="shared" si="219"/>
        <v>0</v>
      </c>
      <c r="W485" s="259">
        <f t="shared" si="220"/>
        <v>3</v>
      </c>
      <c r="X485" s="259">
        <f t="shared" si="221"/>
        <v>0</v>
      </c>
      <c r="Y485" s="257"/>
    </row>
    <row r="486" spans="14:25">
      <c r="N486" s="255">
        <v>46034</v>
      </c>
      <c r="O486" s="256">
        <v>0.625</v>
      </c>
      <c r="P486" s="257" t="s">
        <v>289</v>
      </c>
      <c r="Q486" s="257" t="s">
        <v>371</v>
      </c>
      <c r="R486" s="258">
        <v>1</v>
      </c>
      <c r="S486" s="257" t="str">
        <f t="shared" si="216"/>
        <v>piece</v>
      </c>
      <c r="T486" s="259">
        <f t="shared" si="217"/>
        <v>85</v>
      </c>
      <c r="U486" s="259">
        <f t="shared" si="218"/>
        <v>2</v>
      </c>
      <c r="V486" s="259">
        <f t="shared" si="219"/>
        <v>5</v>
      </c>
      <c r="W486" s="259">
        <f t="shared" si="220"/>
        <v>8</v>
      </c>
      <c r="X486" s="259">
        <f t="shared" si="221"/>
        <v>0.5</v>
      </c>
      <c r="Y486" s="257"/>
    </row>
    <row r="487" spans="14:25">
      <c r="N487" s="255">
        <v>46034</v>
      </c>
      <c r="O487" s="256">
        <v>0.625</v>
      </c>
      <c r="P487" s="257" t="s">
        <v>289</v>
      </c>
      <c r="Q487" s="257" t="s">
        <v>190</v>
      </c>
      <c r="R487" s="258">
        <v>2</v>
      </c>
      <c r="S487" s="257" t="str">
        <f t="shared" si="216"/>
        <v>medium</v>
      </c>
      <c r="T487" s="259">
        <f t="shared" si="217"/>
        <v>124</v>
      </c>
      <c r="U487" s="259">
        <f t="shared" si="218"/>
        <v>2.4</v>
      </c>
      <c r="V487" s="259">
        <f t="shared" si="219"/>
        <v>0.4</v>
      </c>
      <c r="W487" s="259">
        <f t="shared" si="220"/>
        <v>30.8</v>
      </c>
      <c r="X487" s="259">
        <f t="shared" si="221"/>
        <v>6.2</v>
      </c>
      <c r="Y487" s="257"/>
    </row>
    <row r="488" spans="14:25">
      <c r="N488" s="255">
        <v>46034</v>
      </c>
      <c r="O488" s="256">
        <v>0.66666666666666663</v>
      </c>
      <c r="P488" s="257" t="s">
        <v>289</v>
      </c>
      <c r="Q488" s="257" t="s">
        <v>372</v>
      </c>
      <c r="R488" s="258">
        <v>2</v>
      </c>
      <c r="S488" s="257" t="str">
        <f t="shared" si="216"/>
        <v>piece</v>
      </c>
      <c r="T488" s="259">
        <f t="shared" si="217"/>
        <v>240</v>
      </c>
      <c r="U488" s="259">
        <f t="shared" si="218"/>
        <v>2</v>
      </c>
      <c r="V488" s="259">
        <f t="shared" si="219"/>
        <v>16</v>
      </c>
      <c r="W488" s="259">
        <f t="shared" si="220"/>
        <v>24</v>
      </c>
      <c r="X488" s="259">
        <f t="shared" si="221"/>
        <v>0</v>
      </c>
      <c r="Y488" s="257"/>
    </row>
    <row r="489" spans="14:25">
      <c r="N489" s="260"/>
      <c r="O489" s="261" t="s">
        <v>217</v>
      </c>
      <c r="P489" s="262"/>
      <c r="Q489" s="262"/>
      <c r="R489" s="262"/>
      <c r="S489" s="262"/>
      <c r="T489" s="263">
        <f>SUM(T479:T488)</f>
        <v>2039.95</v>
      </c>
      <c r="U489" s="263">
        <f>SUM(U479:U488)</f>
        <v>149.15</v>
      </c>
      <c r="V489" s="263">
        <f>SUM(V479:V488)</f>
        <v>82.64800000000001</v>
      </c>
      <c r="W489" s="263">
        <f>SUM(W479:W488)</f>
        <v>165.8</v>
      </c>
      <c r="X489" s="263">
        <f>SUM(X479:X488)</f>
        <v>11.7</v>
      </c>
      <c r="Y489" s="257"/>
    </row>
    <row r="490" spans="14:25">
      <c r="N490" s="260"/>
      <c r="O490" s="261" t="s">
        <v>220</v>
      </c>
      <c r="P490" s="262"/>
      <c r="Q490" s="262"/>
      <c r="R490" s="262"/>
      <c r="S490" s="262"/>
      <c r="T490" s="264">
        <f>$B$27</f>
        <v>2228.28125</v>
      </c>
      <c r="U490" s="264">
        <f>$B$29</f>
        <v>140.4</v>
      </c>
      <c r="V490" s="264">
        <f>$B$30</f>
        <v>64.739999999999995</v>
      </c>
      <c r="W490" s="264">
        <f>$B$31</f>
        <v>271.0053125</v>
      </c>
      <c r="X490" s="264">
        <f>$B$32</f>
        <v>31.195937500000003</v>
      </c>
      <c r="Y490" s="257"/>
    </row>
    <row r="491" spans="14:25">
      <c r="N491" s="260"/>
      <c r="O491" s="261" t="s">
        <v>222</v>
      </c>
      <c r="P491" s="262"/>
      <c r="Q491" s="262"/>
      <c r="R491" s="262"/>
      <c r="S491" s="262"/>
      <c r="T491" s="264">
        <f>T489-T490</f>
        <v>-188.33124999999995</v>
      </c>
      <c r="U491" s="264">
        <f>U489-U490</f>
        <v>8.75</v>
      </c>
      <c r="V491" s="264">
        <f>V489-V490</f>
        <v>17.908000000000015</v>
      </c>
      <c r="W491" s="264">
        <f>W489-W490</f>
        <v>-105.20531249999999</v>
      </c>
      <c r="X491" s="264">
        <f>X489-X490</f>
        <v>-19.495937500000004</v>
      </c>
      <c r="Y491" s="257"/>
    </row>
    <row r="492" spans="14:25">
      <c r="N492" s="149">
        <v>46035</v>
      </c>
      <c r="O492" s="150">
        <v>0.33333333333333331</v>
      </c>
      <c r="P492" s="145" t="s">
        <v>178</v>
      </c>
      <c r="Q492" s="145" t="s">
        <v>295</v>
      </c>
      <c r="R492" s="151">
        <v>1</v>
      </c>
      <c r="S492" s="145" t="str">
        <f t="shared" ref="S492:S505" si="222">IFERROR(VLOOKUP(Q492, $E$5:$L$997, 3, FALSE), "")</f>
        <v>bottle</v>
      </c>
      <c r="T492" s="152">
        <f t="shared" ref="T492:T505" si="223">IFERROR(VLOOKUP(Q492, $E$5:$L$997, 4, FALSE) * (R492 / VLOOKUP(Q492, $E$5:$L$997, 2, FALSE)), "")</f>
        <v>200</v>
      </c>
      <c r="U492" s="152">
        <f t="shared" ref="U492:U505" si="224">IFERROR(VLOOKUP(Q492, $E$5:$L$997, 5, FALSE) * (R492 / VLOOKUP(Q492, $E$5:$L$997, 2, FALSE)), "")</f>
        <v>35</v>
      </c>
      <c r="V492" s="152">
        <f t="shared" ref="V492:V505" si="225">IFERROR(VLOOKUP(Q492, $E$5:$L$997, 6, FALSE) * (R492 / VLOOKUP(Q492, $E$5:$L$997, 2, FALSE)), "")</f>
        <v>2.5</v>
      </c>
      <c r="W492" s="152">
        <f t="shared" ref="W492:W505" si="226">IFERROR(VLOOKUP(Q492, $E$5:$L$997, 7, FALSE) * (R492 / VLOOKUP(Q492, $E$5:$L$997, 2, FALSE)), "")</f>
        <v>9</v>
      </c>
      <c r="X492" s="152">
        <f t="shared" ref="X492:X505" si="227">IFERROR(VLOOKUP(Q492, $E$5:$L$997, 8, FALSE) * (R492 / VLOOKUP(Q492, $E$5:$L$997, 2, FALSE)), "")</f>
        <v>0</v>
      </c>
      <c r="Y492" s="145"/>
    </row>
    <row r="493" spans="14:25">
      <c r="N493" s="149">
        <v>46035</v>
      </c>
      <c r="O493" s="150">
        <v>0.33333333333333331</v>
      </c>
      <c r="P493" s="145" t="s">
        <v>178</v>
      </c>
      <c r="Q493" s="145" t="s">
        <v>375</v>
      </c>
      <c r="R493" s="151">
        <v>2</v>
      </c>
      <c r="S493" s="145" t="str">
        <f t="shared" si="222"/>
        <v>piece</v>
      </c>
      <c r="T493" s="152">
        <f t="shared" si="223"/>
        <v>220</v>
      </c>
      <c r="U493" s="152">
        <f t="shared" si="224"/>
        <v>18</v>
      </c>
      <c r="V493" s="152">
        <f t="shared" si="225"/>
        <v>16</v>
      </c>
      <c r="W493" s="152">
        <f t="shared" si="226"/>
        <v>6</v>
      </c>
      <c r="X493" s="152">
        <f t="shared" si="227"/>
        <v>0</v>
      </c>
      <c r="Y493" s="145"/>
    </row>
    <row r="494" spans="14:25">
      <c r="N494" s="149">
        <v>46035</v>
      </c>
      <c r="O494" s="150">
        <v>0.33333333333333331</v>
      </c>
      <c r="P494" s="145" t="s">
        <v>178</v>
      </c>
      <c r="Q494" s="145" t="s">
        <v>273</v>
      </c>
      <c r="R494" s="151">
        <v>1</v>
      </c>
      <c r="S494" s="145" t="str">
        <f t="shared" si="222"/>
        <v>medium bag</v>
      </c>
      <c r="T494" s="152">
        <f t="shared" si="223"/>
        <v>210</v>
      </c>
      <c r="U494" s="152">
        <f t="shared" si="224"/>
        <v>5</v>
      </c>
      <c r="V494" s="152">
        <f t="shared" si="225"/>
        <v>1</v>
      </c>
      <c r="W494" s="152">
        <f t="shared" si="226"/>
        <v>45</v>
      </c>
      <c r="X494" s="152">
        <f t="shared" si="227"/>
        <v>2</v>
      </c>
      <c r="Y494" s="145"/>
    </row>
    <row r="495" spans="14:25">
      <c r="N495" s="149">
        <v>46035</v>
      </c>
      <c r="O495" s="150">
        <v>0.41666666666666669</v>
      </c>
      <c r="P495" s="145" t="s">
        <v>289</v>
      </c>
      <c r="Q495" s="145" t="s">
        <v>376</v>
      </c>
      <c r="R495" s="151">
        <v>1</v>
      </c>
      <c r="S495" s="145" t="str">
        <f t="shared" si="222"/>
        <v>cookie</v>
      </c>
      <c r="T495" s="152">
        <f t="shared" si="223"/>
        <v>40</v>
      </c>
      <c r="U495" s="152">
        <f t="shared" si="224"/>
        <v>0.66666666666666663</v>
      </c>
      <c r="V495" s="152">
        <f t="shared" si="225"/>
        <v>1.6666666666666665</v>
      </c>
      <c r="W495" s="152">
        <f t="shared" si="226"/>
        <v>5.6666666666666661</v>
      </c>
      <c r="X495" s="152">
        <f t="shared" si="227"/>
        <v>0</v>
      </c>
      <c r="Y495" s="145"/>
    </row>
    <row r="496" spans="14:25">
      <c r="N496" s="149">
        <v>46035</v>
      </c>
      <c r="O496" s="150">
        <v>0.5</v>
      </c>
      <c r="P496" s="145" t="s">
        <v>185</v>
      </c>
      <c r="Q496" s="145" t="s">
        <v>189</v>
      </c>
      <c r="R496" s="151">
        <v>150</v>
      </c>
      <c r="S496" s="145" t="str">
        <f t="shared" si="222"/>
        <v>g</v>
      </c>
      <c r="T496" s="152">
        <f t="shared" si="223"/>
        <v>52.5</v>
      </c>
      <c r="U496" s="152">
        <f t="shared" si="224"/>
        <v>3.75</v>
      </c>
      <c r="V496" s="152">
        <f t="shared" si="225"/>
        <v>0.60000000000000009</v>
      </c>
      <c r="W496" s="152">
        <f t="shared" si="226"/>
        <v>10.5</v>
      </c>
      <c r="X496" s="152">
        <f t="shared" si="227"/>
        <v>3.9000000000000004</v>
      </c>
      <c r="Y496" s="145"/>
    </row>
    <row r="497" spans="14:25">
      <c r="N497" s="149">
        <v>46035</v>
      </c>
      <c r="O497" s="150">
        <v>0.5</v>
      </c>
      <c r="P497" s="145" t="s">
        <v>185</v>
      </c>
      <c r="Q497" s="145" t="s">
        <v>351</v>
      </c>
      <c r="R497" s="151">
        <v>2</v>
      </c>
      <c r="S497" s="145" t="str">
        <f t="shared" si="222"/>
        <v>egg</v>
      </c>
      <c r="T497" s="152">
        <f t="shared" si="223"/>
        <v>140</v>
      </c>
      <c r="U497" s="152">
        <f t="shared" si="224"/>
        <v>12</v>
      </c>
      <c r="V497" s="152">
        <f t="shared" si="225"/>
        <v>10</v>
      </c>
      <c r="W497" s="152">
        <f t="shared" si="226"/>
        <v>0</v>
      </c>
      <c r="X497" s="152">
        <f t="shared" si="227"/>
        <v>0</v>
      </c>
      <c r="Y497" s="145"/>
    </row>
    <row r="498" spans="14:25">
      <c r="N498" s="149">
        <v>46035</v>
      </c>
      <c r="O498" s="150">
        <v>0.5</v>
      </c>
      <c r="P498" s="145" t="s">
        <v>185</v>
      </c>
      <c r="Q498" s="145" t="s">
        <v>176</v>
      </c>
      <c r="R498" s="151">
        <v>250</v>
      </c>
      <c r="S498" s="145" t="str">
        <f t="shared" si="222"/>
        <v>g</v>
      </c>
      <c r="T498" s="152">
        <f t="shared" si="223"/>
        <v>412.5</v>
      </c>
      <c r="U498" s="152">
        <f t="shared" si="224"/>
        <v>62.5</v>
      </c>
      <c r="V498" s="152">
        <f t="shared" si="225"/>
        <v>9</v>
      </c>
      <c r="W498" s="152">
        <f t="shared" si="226"/>
        <v>0</v>
      </c>
      <c r="X498" s="152">
        <f t="shared" si="227"/>
        <v>0</v>
      </c>
      <c r="Y498" s="145"/>
    </row>
    <row r="499" spans="14:25">
      <c r="N499" s="149">
        <v>46035</v>
      </c>
      <c r="O499" s="150">
        <v>0.5</v>
      </c>
      <c r="P499" s="145" t="s">
        <v>185</v>
      </c>
      <c r="Q499" s="145" t="s">
        <v>351</v>
      </c>
      <c r="R499" s="151">
        <v>2</v>
      </c>
      <c r="S499" s="145" t="str">
        <f t="shared" si="222"/>
        <v>egg</v>
      </c>
      <c r="T499" s="152">
        <f t="shared" si="223"/>
        <v>140</v>
      </c>
      <c r="U499" s="152">
        <f t="shared" si="224"/>
        <v>12</v>
      </c>
      <c r="V499" s="152">
        <f t="shared" si="225"/>
        <v>10</v>
      </c>
      <c r="W499" s="152">
        <f t="shared" si="226"/>
        <v>0</v>
      </c>
      <c r="X499" s="152">
        <f t="shared" si="227"/>
        <v>0</v>
      </c>
      <c r="Y499" s="145"/>
    </row>
    <row r="500" spans="14:25">
      <c r="N500" s="149">
        <v>46035</v>
      </c>
      <c r="O500" s="150">
        <v>0.54166666666666663</v>
      </c>
      <c r="P500" s="145" t="s">
        <v>289</v>
      </c>
      <c r="Q500" s="145" t="s">
        <v>354</v>
      </c>
      <c r="R500" s="151">
        <v>1</v>
      </c>
      <c r="S500" s="145" t="str">
        <f t="shared" si="222"/>
        <v>nugget</v>
      </c>
      <c r="T500" s="152">
        <f t="shared" si="223"/>
        <v>45</v>
      </c>
      <c r="U500" s="152">
        <f t="shared" si="224"/>
        <v>1</v>
      </c>
      <c r="V500" s="152">
        <f t="shared" si="225"/>
        <v>3</v>
      </c>
      <c r="W500" s="152">
        <f t="shared" si="226"/>
        <v>5</v>
      </c>
      <c r="X500" s="152">
        <f t="shared" si="227"/>
        <v>0.5</v>
      </c>
      <c r="Y500" s="145"/>
    </row>
    <row r="501" spans="14:25">
      <c r="N501" s="149">
        <v>46035</v>
      </c>
      <c r="O501" s="150">
        <v>0.79166666666666663</v>
      </c>
      <c r="P501" s="145" t="s">
        <v>199</v>
      </c>
      <c r="Q501" s="145" t="s">
        <v>181</v>
      </c>
      <c r="R501" s="151">
        <v>5</v>
      </c>
      <c r="S501" s="145" t="str">
        <f t="shared" si="222"/>
        <v>slice</v>
      </c>
      <c r="T501" s="152">
        <f t="shared" si="223"/>
        <v>350</v>
      </c>
      <c r="U501" s="152">
        <f t="shared" si="224"/>
        <v>12.5</v>
      </c>
      <c r="V501" s="152">
        <f t="shared" si="225"/>
        <v>6.25</v>
      </c>
      <c r="W501" s="152">
        <f t="shared" si="226"/>
        <v>60</v>
      </c>
      <c r="X501" s="152">
        <f t="shared" si="227"/>
        <v>5</v>
      </c>
      <c r="Y501" s="145"/>
    </row>
    <row r="502" spans="14:25">
      <c r="N502" s="149">
        <v>46035</v>
      </c>
      <c r="O502" s="150">
        <v>0.79166666666666663</v>
      </c>
      <c r="P502" s="145" t="s">
        <v>199</v>
      </c>
      <c r="Q502" s="145" t="s">
        <v>374</v>
      </c>
      <c r="R502" s="151">
        <v>2</v>
      </c>
      <c r="S502" s="145" t="str">
        <f t="shared" si="222"/>
        <v>egg</v>
      </c>
      <c r="T502" s="152">
        <f t="shared" si="223"/>
        <v>160</v>
      </c>
      <c r="U502" s="152">
        <f t="shared" si="224"/>
        <v>14</v>
      </c>
      <c r="V502" s="152">
        <f t="shared" si="225"/>
        <v>12</v>
      </c>
      <c r="W502" s="152">
        <f t="shared" si="226"/>
        <v>0</v>
      </c>
      <c r="X502" s="152">
        <f t="shared" si="227"/>
        <v>0</v>
      </c>
      <c r="Y502" s="145"/>
    </row>
    <row r="503" spans="14:25">
      <c r="N503" s="149">
        <v>46035</v>
      </c>
      <c r="O503" s="150">
        <v>0.79166666666666663</v>
      </c>
      <c r="P503" s="145" t="s">
        <v>289</v>
      </c>
      <c r="Q503" s="145" t="s">
        <v>214</v>
      </c>
      <c r="R503" s="151">
        <v>1</v>
      </c>
      <c r="S503" s="145" t="str">
        <f t="shared" si="222"/>
        <v>bar</v>
      </c>
      <c r="T503" s="152">
        <f t="shared" si="223"/>
        <v>67</v>
      </c>
      <c r="U503" s="152">
        <f t="shared" si="224"/>
        <v>1</v>
      </c>
      <c r="V503" s="152">
        <f t="shared" si="225"/>
        <v>3.5</v>
      </c>
      <c r="W503" s="152">
        <f t="shared" si="226"/>
        <v>22</v>
      </c>
      <c r="X503" s="152">
        <f t="shared" si="227"/>
        <v>0.3</v>
      </c>
      <c r="Y503" s="145"/>
    </row>
    <row r="504" spans="14:25">
      <c r="N504" s="149">
        <v>46035</v>
      </c>
      <c r="O504" s="150">
        <v>0.79166666666666663</v>
      </c>
      <c r="P504" s="145" t="s">
        <v>199</v>
      </c>
      <c r="Q504" s="145" t="s">
        <v>212</v>
      </c>
      <c r="R504" s="151">
        <v>1</v>
      </c>
      <c r="S504" s="145" t="str">
        <f t="shared" si="222"/>
        <v>bottle</v>
      </c>
      <c r="T504" s="152">
        <f t="shared" si="223"/>
        <v>70</v>
      </c>
      <c r="U504" s="152">
        <f t="shared" si="224"/>
        <v>0</v>
      </c>
      <c r="V504" s="152">
        <f t="shared" si="225"/>
        <v>0</v>
      </c>
      <c r="W504" s="152">
        <f t="shared" si="226"/>
        <v>17</v>
      </c>
      <c r="X504" s="152">
        <f t="shared" si="227"/>
        <v>1</v>
      </c>
      <c r="Y504" s="145"/>
    </row>
    <row r="505" spans="14:25">
      <c r="N505" s="149">
        <v>46035</v>
      </c>
      <c r="O505" s="150">
        <v>0.79166666666666663</v>
      </c>
      <c r="P505" s="145" t="s">
        <v>199</v>
      </c>
      <c r="Q505" s="145" t="s">
        <v>209</v>
      </c>
      <c r="R505" s="151">
        <v>3</v>
      </c>
      <c r="S505" s="145" t="str">
        <f t="shared" si="222"/>
        <v>tbsp</v>
      </c>
      <c r="T505" s="152">
        <f t="shared" si="223"/>
        <v>60</v>
      </c>
      <c r="U505" s="152">
        <f t="shared" si="224"/>
        <v>0</v>
      </c>
      <c r="V505" s="152">
        <f t="shared" si="225"/>
        <v>0</v>
      </c>
      <c r="W505" s="152">
        <f t="shared" si="226"/>
        <v>15</v>
      </c>
      <c r="X505" s="152">
        <f t="shared" si="227"/>
        <v>13.5</v>
      </c>
      <c r="Y505" s="145"/>
    </row>
    <row r="506" spans="14:25">
      <c r="N506" s="157"/>
      <c r="O506" s="158" t="s">
        <v>217</v>
      </c>
      <c r="P506" s="154"/>
      <c r="Q506" s="154"/>
      <c r="R506" s="154"/>
      <c r="S506" s="154"/>
      <c r="T506" s="159">
        <f>SUM(T492:T505)</f>
        <v>2167</v>
      </c>
      <c r="U506" s="159">
        <f>SUM(U492:U505)</f>
        <v>177.41666666666666</v>
      </c>
      <c r="V506" s="159">
        <f>SUM(V492:V505)</f>
        <v>75.516666666666666</v>
      </c>
      <c r="W506" s="159">
        <f>SUM(W492:W505)</f>
        <v>195.16666666666669</v>
      </c>
      <c r="X506" s="159">
        <f>SUM(X492:X505)</f>
        <v>26.200000000000003</v>
      </c>
      <c r="Y506" s="145"/>
    </row>
    <row r="507" spans="14:25">
      <c r="N507" s="157"/>
      <c r="O507" s="158" t="s">
        <v>220</v>
      </c>
      <c r="P507" s="154"/>
      <c r="Q507" s="154"/>
      <c r="R507" s="154"/>
      <c r="S507" s="154"/>
      <c r="T507" s="161">
        <f>$B$27</f>
        <v>2228.28125</v>
      </c>
      <c r="U507" s="161">
        <f>$B$29</f>
        <v>140.4</v>
      </c>
      <c r="V507" s="161">
        <f>$B$30</f>
        <v>64.739999999999995</v>
      </c>
      <c r="W507" s="161">
        <f>$B$31</f>
        <v>271.0053125</v>
      </c>
      <c r="X507" s="161">
        <f>$B$32</f>
        <v>31.195937500000003</v>
      </c>
      <c r="Y507" s="145"/>
    </row>
    <row r="508" spans="14:25">
      <c r="N508" s="157"/>
      <c r="O508" s="158" t="s">
        <v>222</v>
      </c>
      <c r="P508" s="154"/>
      <c r="Q508" s="154"/>
      <c r="R508" s="154"/>
      <c r="S508" s="154"/>
      <c r="T508" s="161">
        <f>T506-T507</f>
        <v>-61.28125</v>
      </c>
      <c r="U508" s="161">
        <f>U506-U507</f>
        <v>37.016666666666652</v>
      </c>
      <c r="V508" s="161">
        <f>V506-V507</f>
        <v>10.776666666666671</v>
      </c>
      <c r="W508" s="161">
        <f>W506-W507</f>
        <v>-75.838645833333317</v>
      </c>
      <c r="X508" s="161">
        <f>X506-X507</f>
        <v>-4.9959375000000001</v>
      </c>
      <c r="Y508" s="145"/>
    </row>
    <row r="509" spans="14:25">
      <c r="N509" s="275">
        <v>46036</v>
      </c>
      <c r="O509" s="276">
        <v>0.33333333333333331</v>
      </c>
      <c r="P509" s="277" t="s">
        <v>178</v>
      </c>
      <c r="Q509" s="277" t="s">
        <v>418</v>
      </c>
      <c r="R509" s="278">
        <v>1</v>
      </c>
      <c r="S509" s="277" t="str">
        <f t="shared" ref="S509:S525" si="228">IFERROR(VLOOKUP(Q509, $E$5:$L$997, 3, FALSE), "")</f>
        <v>potato</v>
      </c>
      <c r="T509" s="279">
        <f t="shared" ref="T509:T525" si="229">IFERROR(VLOOKUP(Q509, $E$5:$L$997, 4, FALSE) * (R509 / VLOOKUP(Q509, $E$5:$L$997, 2, FALSE)), "")</f>
        <v>150</v>
      </c>
      <c r="U509" s="279">
        <f t="shared" ref="U509:U525" si="230">IFERROR(VLOOKUP(Q509, $E$5:$L$997, 5, FALSE) * (R509 / VLOOKUP(Q509, $E$5:$L$997, 2, FALSE)), "")</f>
        <v>2</v>
      </c>
      <c r="V509" s="279">
        <f t="shared" ref="V509:V525" si="231">IFERROR(VLOOKUP(Q509, $E$5:$L$997, 6, FALSE) * (R509 / VLOOKUP(Q509, $E$5:$L$997, 2, FALSE)), "")</f>
        <v>0</v>
      </c>
      <c r="W509" s="279">
        <f t="shared" ref="W509:W525" si="232">IFERROR(VLOOKUP(Q509, $E$5:$L$997, 7, FALSE) * (R509 / VLOOKUP(Q509, $E$5:$L$997, 2, FALSE)), "")</f>
        <v>35</v>
      </c>
      <c r="X509" s="279">
        <f t="shared" ref="X509:X525" si="233">IFERROR(VLOOKUP(Q509, $E$5:$L$997, 8, FALSE) * (R509 / VLOOKUP(Q509, $E$5:$L$997, 2, FALSE)), "")</f>
        <v>5</v>
      </c>
      <c r="Y509" s="277"/>
    </row>
    <row r="510" spans="14:25">
      <c r="N510" s="275">
        <v>46036</v>
      </c>
      <c r="O510" s="276">
        <v>0.33333333333333331</v>
      </c>
      <c r="P510" s="277" t="s">
        <v>178</v>
      </c>
      <c r="Q510" s="277" t="s">
        <v>351</v>
      </c>
      <c r="R510" s="278">
        <v>2</v>
      </c>
      <c r="S510" s="277" t="str">
        <f t="shared" si="228"/>
        <v>egg</v>
      </c>
      <c r="T510" s="279">
        <f t="shared" si="229"/>
        <v>140</v>
      </c>
      <c r="U510" s="279">
        <f t="shared" si="230"/>
        <v>12</v>
      </c>
      <c r="V510" s="279">
        <f t="shared" si="231"/>
        <v>10</v>
      </c>
      <c r="W510" s="279">
        <f t="shared" si="232"/>
        <v>0</v>
      </c>
      <c r="X510" s="279">
        <f t="shared" si="233"/>
        <v>0</v>
      </c>
      <c r="Y510" s="277"/>
    </row>
    <row r="511" spans="14:25">
      <c r="N511" s="275">
        <v>46036</v>
      </c>
      <c r="O511" s="276">
        <v>0.41666666666666669</v>
      </c>
      <c r="P511" s="277" t="s">
        <v>289</v>
      </c>
      <c r="Q511" s="277" t="s">
        <v>190</v>
      </c>
      <c r="R511" s="278">
        <v>1.5</v>
      </c>
      <c r="S511" s="277" t="str">
        <f t="shared" si="228"/>
        <v>medium</v>
      </c>
      <c r="T511" s="279">
        <f t="shared" si="229"/>
        <v>93</v>
      </c>
      <c r="U511" s="279">
        <f t="shared" si="230"/>
        <v>1.7999999999999998</v>
      </c>
      <c r="V511" s="279">
        <f t="shared" si="231"/>
        <v>0.30000000000000004</v>
      </c>
      <c r="W511" s="279">
        <f t="shared" si="232"/>
        <v>23.1</v>
      </c>
      <c r="X511" s="279">
        <f t="shared" si="233"/>
        <v>4.6500000000000004</v>
      </c>
      <c r="Y511" s="277"/>
    </row>
    <row r="512" spans="14:25">
      <c r="N512" s="275">
        <v>46036</v>
      </c>
      <c r="O512" s="276">
        <v>0.45833333333333331</v>
      </c>
      <c r="P512" s="277" t="s">
        <v>289</v>
      </c>
      <c r="Q512" s="277" t="s">
        <v>421</v>
      </c>
      <c r="R512" s="278">
        <v>1</v>
      </c>
      <c r="S512" s="277" t="str">
        <f t="shared" si="228"/>
        <v>bag</v>
      </c>
      <c r="T512" s="279">
        <f t="shared" si="229"/>
        <v>340</v>
      </c>
      <c r="U512" s="279">
        <f t="shared" si="230"/>
        <v>4</v>
      </c>
      <c r="V512" s="279">
        <f t="shared" si="231"/>
        <v>22</v>
      </c>
      <c r="W512" s="279">
        <f t="shared" si="232"/>
        <v>32</v>
      </c>
      <c r="X512" s="279">
        <f t="shared" si="233"/>
        <v>2</v>
      </c>
      <c r="Y512" s="277"/>
    </row>
    <row r="513" spans="14:25">
      <c r="N513" s="275">
        <v>46036</v>
      </c>
      <c r="O513" s="276">
        <v>0.5</v>
      </c>
      <c r="P513" s="277" t="s">
        <v>185</v>
      </c>
      <c r="Q513" s="277" t="s">
        <v>180</v>
      </c>
      <c r="R513" s="278">
        <v>200</v>
      </c>
      <c r="S513" s="277" t="str">
        <f t="shared" si="228"/>
        <v>g</v>
      </c>
      <c r="T513" s="279">
        <f t="shared" si="229"/>
        <v>260</v>
      </c>
      <c r="U513" s="279">
        <f t="shared" si="230"/>
        <v>5.4</v>
      </c>
      <c r="V513" s="279">
        <f t="shared" si="231"/>
        <v>0.6</v>
      </c>
      <c r="W513" s="279">
        <f t="shared" si="232"/>
        <v>56</v>
      </c>
      <c r="X513" s="279">
        <f t="shared" si="233"/>
        <v>0.8</v>
      </c>
      <c r="Y513" s="277"/>
    </row>
    <row r="514" spans="14:25">
      <c r="N514" s="275">
        <v>46036</v>
      </c>
      <c r="O514" s="276">
        <v>0.5</v>
      </c>
      <c r="P514" s="277" t="s">
        <v>185</v>
      </c>
      <c r="Q514" s="277" t="s">
        <v>282</v>
      </c>
      <c r="R514" s="278">
        <v>0.5</v>
      </c>
      <c r="S514" s="277" t="str">
        <f t="shared" si="228"/>
        <v>bowl</v>
      </c>
      <c r="T514" s="279">
        <f t="shared" si="229"/>
        <v>160</v>
      </c>
      <c r="U514" s="279">
        <f t="shared" si="230"/>
        <v>7.5</v>
      </c>
      <c r="V514" s="279">
        <f t="shared" si="231"/>
        <v>9</v>
      </c>
      <c r="W514" s="279">
        <f t="shared" si="232"/>
        <v>10</v>
      </c>
      <c r="X514" s="279">
        <f t="shared" si="233"/>
        <v>1.5</v>
      </c>
      <c r="Y514" s="277"/>
    </row>
    <row r="515" spans="14:25">
      <c r="N515" s="275">
        <v>46036</v>
      </c>
      <c r="O515" s="276">
        <v>0.5</v>
      </c>
      <c r="P515" s="277" t="s">
        <v>185</v>
      </c>
      <c r="Q515" s="277" t="s">
        <v>229</v>
      </c>
      <c r="R515" s="278">
        <v>0.5</v>
      </c>
      <c r="S515" s="277" t="str">
        <f t="shared" si="228"/>
        <v>large plate</v>
      </c>
      <c r="T515" s="279">
        <f t="shared" si="229"/>
        <v>250</v>
      </c>
      <c r="U515" s="279">
        <f t="shared" si="230"/>
        <v>10</v>
      </c>
      <c r="V515" s="279">
        <f t="shared" si="231"/>
        <v>15</v>
      </c>
      <c r="W515" s="279">
        <f t="shared" si="232"/>
        <v>20</v>
      </c>
      <c r="X515" s="279">
        <f t="shared" si="233"/>
        <v>1.5</v>
      </c>
      <c r="Y515" s="277"/>
    </row>
    <row r="516" spans="14:25">
      <c r="N516" s="275">
        <v>46036</v>
      </c>
      <c r="O516" s="276">
        <v>0.5</v>
      </c>
      <c r="P516" s="277" t="s">
        <v>185</v>
      </c>
      <c r="Q516" s="277" t="s">
        <v>422</v>
      </c>
      <c r="R516" s="278">
        <v>0.5</v>
      </c>
      <c r="S516" s="277" t="str">
        <f t="shared" si="228"/>
        <v>bowl</v>
      </c>
      <c r="T516" s="279">
        <f t="shared" si="229"/>
        <v>140</v>
      </c>
      <c r="U516" s="279">
        <f t="shared" si="230"/>
        <v>10</v>
      </c>
      <c r="V516" s="279">
        <f t="shared" si="231"/>
        <v>9</v>
      </c>
      <c r="W516" s="279">
        <f t="shared" si="232"/>
        <v>4</v>
      </c>
      <c r="X516" s="279">
        <f t="shared" si="233"/>
        <v>1</v>
      </c>
      <c r="Y516" s="277"/>
    </row>
    <row r="517" spans="14:25">
      <c r="N517" s="275">
        <v>46036</v>
      </c>
      <c r="O517" s="276">
        <v>0.58333333333333337</v>
      </c>
      <c r="P517" s="277" t="s">
        <v>289</v>
      </c>
      <c r="Q517" s="277" t="s">
        <v>190</v>
      </c>
      <c r="R517" s="278">
        <v>2</v>
      </c>
      <c r="S517" s="277" t="str">
        <f t="shared" si="228"/>
        <v>medium</v>
      </c>
      <c r="T517" s="279">
        <f t="shared" si="229"/>
        <v>124</v>
      </c>
      <c r="U517" s="279">
        <f t="shared" si="230"/>
        <v>2.4</v>
      </c>
      <c r="V517" s="279">
        <f t="shared" si="231"/>
        <v>0.4</v>
      </c>
      <c r="W517" s="279">
        <f t="shared" si="232"/>
        <v>30.8</v>
      </c>
      <c r="X517" s="279">
        <f t="shared" si="233"/>
        <v>6.2</v>
      </c>
      <c r="Y517" s="277"/>
    </row>
    <row r="518" spans="14:25">
      <c r="N518" s="275">
        <v>46036</v>
      </c>
      <c r="O518" s="276">
        <v>0.58333333333333337</v>
      </c>
      <c r="P518" s="277" t="s">
        <v>289</v>
      </c>
      <c r="Q518" s="277" t="s">
        <v>369</v>
      </c>
      <c r="R518" s="278">
        <v>1</v>
      </c>
      <c r="S518" s="277" t="str">
        <f t="shared" si="228"/>
        <v>lonzenge</v>
      </c>
      <c r="T518" s="279">
        <f t="shared" si="229"/>
        <v>10</v>
      </c>
      <c r="U518" s="279">
        <f t="shared" si="230"/>
        <v>0</v>
      </c>
      <c r="V518" s="279">
        <f t="shared" si="231"/>
        <v>0</v>
      </c>
      <c r="W518" s="279">
        <f t="shared" si="232"/>
        <v>3</v>
      </c>
      <c r="X518" s="279">
        <f t="shared" si="233"/>
        <v>0</v>
      </c>
      <c r="Y518" s="277"/>
    </row>
    <row r="519" spans="14:25">
      <c r="N519" s="275">
        <v>46036</v>
      </c>
      <c r="O519" s="276">
        <v>0.66666666666666663</v>
      </c>
      <c r="P519" s="277" t="s">
        <v>289</v>
      </c>
      <c r="Q519" s="277" t="s">
        <v>423</v>
      </c>
      <c r="R519" s="278">
        <v>3</v>
      </c>
      <c r="S519" s="277" t="str">
        <f t="shared" si="228"/>
        <v>pieces</v>
      </c>
      <c r="T519" s="279">
        <f t="shared" si="229"/>
        <v>22.5</v>
      </c>
      <c r="U519" s="279">
        <f t="shared" si="230"/>
        <v>0</v>
      </c>
      <c r="V519" s="279">
        <f t="shared" si="231"/>
        <v>0</v>
      </c>
      <c r="W519" s="279">
        <f t="shared" si="232"/>
        <v>4.5</v>
      </c>
      <c r="X519" s="279">
        <f t="shared" si="233"/>
        <v>0</v>
      </c>
      <c r="Y519" s="277"/>
    </row>
    <row r="520" spans="14:25">
      <c r="N520" s="275">
        <v>46036</v>
      </c>
      <c r="O520" s="276">
        <v>0.875</v>
      </c>
      <c r="P520" s="277" t="s">
        <v>199</v>
      </c>
      <c r="Q520" s="277" t="s">
        <v>351</v>
      </c>
      <c r="R520" s="278">
        <v>1</v>
      </c>
      <c r="S520" s="277" t="str">
        <f t="shared" si="228"/>
        <v>egg</v>
      </c>
      <c r="T520" s="279">
        <f t="shared" si="229"/>
        <v>70</v>
      </c>
      <c r="U520" s="279">
        <f t="shared" si="230"/>
        <v>6</v>
      </c>
      <c r="V520" s="279">
        <f t="shared" si="231"/>
        <v>5</v>
      </c>
      <c r="W520" s="279">
        <f t="shared" si="232"/>
        <v>0</v>
      </c>
      <c r="X520" s="279">
        <f t="shared" si="233"/>
        <v>0</v>
      </c>
      <c r="Y520" s="277"/>
    </row>
    <row r="521" spans="14:25">
      <c r="N521" s="275">
        <v>46036</v>
      </c>
      <c r="O521" s="276">
        <v>0.875</v>
      </c>
      <c r="P521" s="277" t="s">
        <v>199</v>
      </c>
      <c r="Q521" s="277" t="s">
        <v>374</v>
      </c>
      <c r="R521" s="278">
        <v>1</v>
      </c>
      <c r="S521" s="277" t="str">
        <f t="shared" si="228"/>
        <v>egg</v>
      </c>
      <c r="T521" s="279">
        <f t="shared" si="229"/>
        <v>80</v>
      </c>
      <c r="U521" s="279">
        <f t="shared" si="230"/>
        <v>7</v>
      </c>
      <c r="V521" s="279">
        <f t="shared" si="231"/>
        <v>6</v>
      </c>
      <c r="W521" s="279">
        <f t="shared" si="232"/>
        <v>0</v>
      </c>
      <c r="X521" s="279">
        <f t="shared" si="233"/>
        <v>0</v>
      </c>
      <c r="Y521" s="277"/>
    </row>
    <row r="522" spans="14:25">
      <c r="N522" s="275">
        <v>46036</v>
      </c>
      <c r="O522" s="276">
        <v>0.875</v>
      </c>
      <c r="P522" s="277" t="s">
        <v>199</v>
      </c>
      <c r="Q522" s="277" t="s">
        <v>189</v>
      </c>
      <c r="R522" s="278">
        <v>192</v>
      </c>
      <c r="S522" s="277" t="str">
        <f t="shared" si="228"/>
        <v>g</v>
      </c>
      <c r="T522" s="279">
        <f t="shared" si="229"/>
        <v>67.2</v>
      </c>
      <c r="U522" s="279">
        <f t="shared" si="230"/>
        <v>4.8</v>
      </c>
      <c r="V522" s="279">
        <f t="shared" si="231"/>
        <v>0.76800000000000002</v>
      </c>
      <c r="W522" s="279">
        <f t="shared" si="232"/>
        <v>13.44</v>
      </c>
      <c r="X522" s="279">
        <f t="shared" si="233"/>
        <v>4.992</v>
      </c>
      <c r="Y522" s="277"/>
    </row>
    <row r="523" spans="14:25">
      <c r="N523" s="275">
        <v>46036</v>
      </c>
      <c r="O523" s="276">
        <v>0.875</v>
      </c>
      <c r="P523" s="277" t="s">
        <v>199</v>
      </c>
      <c r="Q523" s="277" t="s">
        <v>176</v>
      </c>
      <c r="R523" s="278">
        <v>213</v>
      </c>
      <c r="S523" s="277" t="str">
        <f t="shared" si="228"/>
        <v>g</v>
      </c>
      <c r="T523" s="279">
        <f t="shared" si="229"/>
        <v>351.45</v>
      </c>
      <c r="U523" s="279">
        <f t="shared" si="230"/>
        <v>53.25</v>
      </c>
      <c r="V523" s="279">
        <f t="shared" si="231"/>
        <v>7.6680000000000001</v>
      </c>
      <c r="W523" s="279">
        <f t="shared" si="232"/>
        <v>0</v>
      </c>
      <c r="X523" s="279">
        <f t="shared" si="233"/>
        <v>0</v>
      </c>
      <c r="Y523" s="277"/>
    </row>
    <row r="524" spans="14:25">
      <c r="N524" s="275">
        <v>46036</v>
      </c>
      <c r="O524" s="276">
        <v>0.875</v>
      </c>
      <c r="P524" s="277" t="s">
        <v>199</v>
      </c>
      <c r="Q524" s="277" t="s">
        <v>418</v>
      </c>
      <c r="R524" s="278">
        <v>1</v>
      </c>
      <c r="S524" s="277" t="str">
        <f t="shared" si="228"/>
        <v>potato</v>
      </c>
      <c r="T524" s="279">
        <f t="shared" si="229"/>
        <v>150</v>
      </c>
      <c r="U524" s="279">
        <f t="shared" si="230"/>
        <v>2</v>
      </c>
      <c r="V524" s="279">
        <f t="shared" si="231"/>
        <v>0</v>
      </c>
      <c r="W524" s="279">
        <f t="shared" si="232"/>
        <v>35</v>
      </c>
      <c r="X524" s="279">
        <f t="shared" si="233"/>
        <v>5</v>
      </c>
      <c r="Y524" s="277"/>
    </row>
    <row r="525" spans="14:25">
      <c r="N525" s="275">
        <v>46036</v>
      </c>
      <c r="O525" s="276">
        <v>0.875</v>
      </c>
      <c r="P525" s="277" t="s">
        <v>199</v>
      </c>
      <c r="Q525" s="277" t="s">
        <v>295</v>
      </c>
      <c r="R525" s="278">
        <v>1</v>
      </c>
      <c r="S525" s="277" t="str">
        <f t="shared" si="228"/>
        <v>bottle</v>
      </c>
      <c r="T525" s="279">
        <f t="shared" si="229"/>
        <v>200</v>
      </c>
      <c r="U525" s="279">
        <f t="shared" si="230"/>
        <v>35</v>
      </c>
      <c r="V525" s="279">
        <f t="shared" si="231"/>
        <v>2.5</v>
      </c>
      <c r="W525" s="279">
        <f t="shared" si="232"/>
        <v>9</v>
      </c>
      <c r="X525" s="279">
        <f t="shared" si="233"/>
        <v>0</v>
      </c>
      <c r="Y525" s="277"/>
    </row>
    <row r="526" spans="14:25">
      <c r="N526" s="280"/>
      <c r="O526" s="281" t="s">
        <v>217</v>
      </c>
      <c r="P526" s="282"/>
      <c r="Q526" s="282"/>
      <c r="R526" s="282"/>
      <c r="S526" s="282"/>
      <c r="T526" s="283">
        <f>SUM(T509:T525)</f>
        <v>2608.15</v>
      </c>
      <c r="U526" s="283">
        <f>SUM(U509:U525)</f>
        <v>163.14999999999998</v>
      </c>
      <c r="V526" s="283">
        <f>SUM(V509:V525)</f>
        <v>88.236000000000018</v>
      </c>
      <c r="W526" s="283">
        <f>SUM(W509:W525)</f>
        <v>275.84000000000003</v>
      </c>
      <c r="X526" s="283">
        <f>SUM(X509:X525)</f>
        <v>32.642000000000003</v>
      </c>
      <c r="Y526" s="277"/>
    </row>
    <row r="527" spans="14:25">
      <c r="N527" s="280"/>
      <c r="O527" s="281" t="s">
        <v>220</v>
      </c>
      <c r="P527" s="282"/>
      <c r="Q527" s="282"/>
      <c r="R527" s="282"/>
      <c r="S527" s="282"/>
      <c r="T527" s="284">
        <f>$B$27</f>
        <v>2228.28125</v>
      </c>
      <c r="U527" s="284">
        <f>$B$29</f>
        <v>140.4</v>
      </c>
      <c r="V527" s="284">
        <f>$B$30</f>
        <v>64.739999999999995</v>
      </c>
      <c r="W527" s="284">
        <f>$B$31</f>
        <v>271.0053125</v>
      </c>
      <c r="X527" s="284">
        <f>$B$32</f>
        <v>31.195937500000003</v>
      </c>
      <c r="Y527" s="277"/>
    </row>
    <row r="528" spans="14:25">
      <c r="N528" s="280"/>
      <c r="O528" s="281" t="s">
        <v>222</v>
      </c>
      <c r="P528" s="282"/>
      <c r="Q528" s="282"/>
      <c r="R528" s="282"/>
      <c r="S528" s="282"/>
      <c r="T528" s="284">
        <f>T526-T527</f>
        <v>379.86875000000009</v>
      </c>
      <c r="U528" s="284">
        <f>U526-U527</f>
        <v>22.749999999999972</v>
      </c>
      <c r="V528" s="284">
        <f>V526-V527</f>
        <v>23.496000000000024</v>
      </c>
      <c r="W528" s="284">
        <f>W526-W527</f>
        <v>4.8346875000000296</v>
      </c>
      <c r="X528" s="284">
        <f>X526-X527</f>
        <v>1.4460625</v>
      </c>
      <c r="Y528" s="277"/>
    </row>
    <row r="529" spans="14:25">
      <c r="N529" s="275">
        <v>46036</v>
      </c>
      <c r="O529" s="276">
        <v>0.33333333333333331</v>
      </c>
      <c r="P529" s="277" t="s">
        <v>178</v>
      </c>
      <c r="Q529" s="277" t="s">
        <v>418</v>
      </c>
      <c r="R529" s="278">
        <v>1</v>
      </c>
      <c r="S529" s="277" t="str">
        <f t="shared" ref="S529:S545" si="234">IFERROR(VLOOKUP(Q529, $E$5:$L$997, 3, FALSE), "")</f>
        <v>potato</v>
      </c>
      <c r="T529" s="279">
        <f t="shared" ref="T529:T545" si="235">IFERROR(VLOOKUP(Q529, $E$5:$L$997, 4, FALSE) * (R529 / VLOOKUP(Q529, $E$5:$L$997, 2, FALSE)), "")</f>
        <v>150</v>
      </c>
      <c r="U529" s="279">
        <f t="shared" ref="U529:U545" si="236">IFERROR(VLOOKUP(Q529, $E$5:$L$997, 5, FALSE) * (R529 / VLOOKUP(Q529, $E$5:$L$997, 2, FALSE)), "")</f>
        <v>2</v>
      </c>
      <c r="V529" s="279">
        <f t="shared" ref="V529:V545" si="237">IFERROR(VLOOKUP(Q529, $E$5:$L$997, 6, FALSE) * (R529 / VLOOKUP(Q529, $E$5:$L$997, 2, FALSE)), "")</f>
        <v>0</v>
      </c>
      <c r="W529" s="279">
        <f t="shared" ref="W529:W545" si="238">IFERROR(VLOOKUP(Q529, $E$5:$L$997, 7, FALSE) * (R529 / VLOOKUP(Q529, $E$5:$L$997, 2, FALSE)), "")</f>
        <v>35</v>
      </c>
      <c r="X529" s="279">
        <f t="shared" ref="X529:X545" si="239">IFERROR(VLOOKUP(Q529, $E$5:$L$997, 8, FALSE) * (R529 / VLOOKUP(Q529, $E$5:$L$997, 2, FALSE)), "")</f>
        <v>5</v>
      </c>
      <c r="Y529" s="277"/>
    </row>
    <row r="530" spans="14:25">
      <c r="N530" s="275">
        <v>46036</v>
      </c>
      <c r="O530" s="276">
        <v>0.33333333333333331</v>
      </c>
      <c r="P530" s="277" t="s">
        <v>178</v>
      </c>
      <c r="Q530" s="277" t="s">
        <v>295</v>
      </c>
      <c r="R530" s="278">
        <v>1</v>
      </c>
      <c r="S530" s="277" t="str">
        <f t="shared" si="234"/>
        <v>bottle</v>
      </c>
      <c r="T530" s="279">
        <f t="shared" si="235"/>
        <v>200</v>
      </c>
      <c r="U530" s="279">
        <f t="shared" si="236"/>
        <v>35</v>
      </c>
      <c r="V530" s="279">
        <f t="shared" si="237"/>
        <v>2.5</v>
      </c>
      <c r="W530" s="279">
        <f t="shared" si="238"/>
        <v>9</v>
      </c>
      <c r="X530" s="279">
        <f t="shared" si="239"/>
        <v>0</v>
      </c>
      <c r="Y530" s="277"/>
    </row>
    <row r="531" spans="14:25">
      <c r="N531" s="275">
        <v>46036</v>
      </c>
      <c r="O531" s="276">
        <v>0.375</v>
      </c>
      <c r="P531" s="277" t="s">
        <v>289</v>
      </c>
      <c r="Q531" s="277" t="s">
        <v>212</v>
      </c>
      <c r="R531" s="278">
        <v>1</v>
      </c>
      <c r="S531" s="277" t="str">
        <f t="shared" si="234"/>
        <v>bottle</v>
      </c>
      <c r="T531" s="279">
        <f t="shared" si="235"/>
        <v>70</v>
      </c>
      <c r="U531" s="279">
        <f t="shared" si="236"/>
        <v>0</v>
      </c>
      <c r="V531" s="279">
        <f t="shared" si="237"/>
        <v>0</v>
      </c>
      <c r="W531" s="279">
        <f t="shared" si="238"/>
        <v>17</v>
      </c>
      <c r="X531" s="279">
        <f t="shared" si="239"/>
        <v>1</v>
      </c>
      <c r="Y531" s="277"/>
    </row>
    <row r="532" spans="14:25">
      <c r="N532" s="275">
        <v>46036</v>
      </c>
      <c r="O532" s="276"/>
      <c r="P532" s="277"/>
      <c r="Q532" s="277"/>
      <c r="R532" s="278"/>
      <c r="S532" s="277" t="str">
        <f t="shared" si="234"/>
        <v/>
      </c>
      <c r="T532" s="279" t="str">
        <f t="shared" si="235"/>
        <v/>
      </c>
      <c r="U532" s="279" t="str">
        <f t="shared" si="236"/>
        <v/>
      </c>
      <c r="V532" s="279" t="str">
        <f t="shared" si="237"/>
        <v/>
      </c>
      <c r="W532" s="279" t="str">
        <f t="shared" si="238"/>
        <v/>
      </c>
      <c r="X532" s="279" t="str">
        <f t="shared" si="239"/>
        <v/>
      </c>
      <c r="Y532" s="277"/>
    </row>
    <row r="533" spans="14:25">
      <c r="N533" s="275">
        <v>46036</v>
      </c>
      <c r="O533" s="276"/>
      <c r="P533" s="277"/>
      <c r="Q533" s="277"/>
      <c r="R533" s="278"/>
      <c r="S533" s="277" t="str">
        <f t="shared" si="234"/>
        <v/>
      </c>
      <c r="T533" s="279" t="str">
        <f t="shared" si="235"/>
        <v/>
      </c>
      <c r="U533" s="279" t="str">
        <f t="shared" si="236"/>
        <v/>
      </c>
      <c r="V533" s="279" t="str">
        <f t="shared" si="237"/>
        <v/>
      </c>
      <c r="W533" s="279" t="str">
        <f t="shared" si="238"/>
        <v/>
      </c>
      <c r="X533" s="279" t="str">
        <f t="shared" si="239"/>
        <v/>
      </c>
      <c r="Y533" s="277"/>
    </row>
    <row r="534" spans="14:25">
      <c r="N534" s="275">
        <v>46036</v>
      </c>
      <c r="O534" s="276"/>
      <c r="P534" s="277"/>
      <c r="Q534" s="277" t="s">
        <v>418</v>
      </c>
      <c r="R534" s="278">
        <v>1</v>
      </c>
      <c r="S534" s="277" t="str">
        <f t="shared" si="234"/>
        <v>potato</v>
      </c>
      <c r="T534" s="279">
        <f t="shared" si="235"/>
        <v>150</v>
      </c>
      <c r="U534" s="279">
        <f t="shared" si="236"/>
        <v>2</v>
      </c>
      <c r="V534" s="279">
        <f t="shared" si="237"/>
        <v>0</v>
      </c>
      <c r="W534" s="279">
        <f t="shared" si="238"/>
        <v>35</v>
      </c>
      <c r="X534" s="279">
        <f t="shared" si="239"/>
        <v>5</v>
      </c>
      <c r="Y534" s="277"/>
    </row>
    <row r="535" spans="14:25">
      <c r="N535" s="275">
        <v>46036</v>
      </c>
      <c r="O535" s="276">
        <v>0.5</v>
      </c>
      <c r="P535" s="277" t="s">
        <v>185</v>
      </c>
      <c r="Q535" s="277" t="s">
        <v>189</v>
      </c>
      <c r="R535" s="278">
        <v>173</v>
      </c>
      <c r="S535" s="277" t="str">
        <f t="shared" si="234"/>
        <v>g</v>
      </c>
      <c r="T535" s="279">
        <f t="shared" si="235"/>
        <v>60.55</v>
      </c>
      <c r="U535" s="279">
        <f t="shared" si="236"/>
        <v>4.3250000000000002</v>
      </c>
      <c r="V535" s="279">
        <f t="shared" si="237"/>
        <v>0.69200000000000006</v>
      </c>
      <c r="W535" s="279">
        <f t="shared" si="238"/>
        <v>12.11</v>
      </c>
      <c r="X535" s="279">
        <f t="shared" si="239"/>
        <v>4.4980000000000002</v>
      </c>
      <c r="Y535" s="277"/>
    </row>
    <row r="536" spans="14:25">
      <c r="N536" s="275">
        <v>46036</v>
      </c>
      <c r="O536" s="276">
        <v>0.5</v>
      </c>
      <c r="P536" s="277" t="s">
        <v>185</v>
      </c>
      <c r="Q536" s="277" t="s">
        <v>176</v>
      </c>
      <c r="R536" s="278">
        <v>244</v>
      </c>
      <c r="S536" s="277" t="str">
        <f t="shared" si="234"/>
        <v>g</v>
      </c>
      <c r="T536" s="279">
        <f t="shared" si="235"/>
        <v>402.59999999999997</v>
      </c>
      <c r="U536" s="279">
        <f t="shared" si="236"/>
        <v>61</v>
      </c>
      <c r="V536" s="279">
        <f t="shared" si="237"/>
        <v>8.7840000000000007</v>
      </c>
      <c r="W536" s="279">
        <f t="shared" si="238"/>
        <v>0</v>
      </c>
      <c r="X536" s="279">
        <f t="shared" si="239"/>
        <v>0</v>
      </c>
      <c r="Y536" s="277"/>
    </row>
    <row r="537" spans="14:25">
      <c r="N537" s="275">
        <v>46036</v>
      </c>
      <c r="O537" s="276">
        <v>0.5</v>
      </c>
      <c r="P537" s="277" t="s">
        <v>185</v>
      </c>
      <c r="Q537" s="277" t="s">
        <v>418</v>
      </c>
      <c r="R537" s="278">
        <v>1</v>
      </c>
      <c r="S537" s="277" t="str">
        <f t="shared" si="234"/>
        <v>potato</v>
      </c>
      <c r="T537" s="279">
        <f t="shared" si="235"/>
        <v>150</v>
      </c>
      <c r="U537" s="279">
        <f t="shared" si="236"/>
        <v>2</v>
      </c>
      <c r="V537" s="279">
        <f t="shared" si="237"/>
        <v>0</v>
      </c>
      <c r="W537" s="279">
        <f t="shared" si="238"/>
        <v>35</v>
      </c>
      <c r="X537" s="279">
        <f t="shared" si="239"/>
        <v>5</v>
      </c>
      <c r="Y537" s="277"/>
    </row>
    <row r="538" spans="14:25">
      <c r="N538" s="275">
        <v>46036</v>
      </c>
      <c r="O538" s="276"/>
      <c r="P538" s="277"/>
      <c r="Q538" s="277"/>
      <c r="R538" s="278"/>
      <c r="S538" s="277" t="str">
        <f t="shared" si="234"/>
        <v/>
      </c>
      <c r="T538" s="279" t="str">
        <f t="shared" si="235"/>
        <v/>
      </c>
      <c r="U538" s="279" t="str">
        <f t="shared" si="236"/>
        <v/>
      </c>
      <c r="V538" s="279" t="str">
        <f t="shared" si="237"/>
        <v/>
      </c>
      <c r="W538" s="279" t="str">
        <f t="shared" si="238"/>
        <v/>
      </c>
      <c r="X538" s="279" t="str">
        <f t="shared" si="239"/>
        <v/>
      </c>
      <c r="Y538" s="277"/>
    </row>
    <row r="539" spans="14:25">
      <c r="N539" s="275">
        <v>46036</v>
      </c>
      <c r="O539" s="276"/>
      <c r="P539" s="277"/>
      <c r="Q539" s="277"/>
      <c r="R539" s="278"/>
      <c r="S539" s="277" t="str">
        <f t="shared" si="234"/>
        <v/>
      </c>
      <c r="T539" s="279" t="str">
        <f t="shared" si="235"/>
        <v/>
      </c>
      <c r="U539" s="279" t="str">
        <f t="shared" si="236"/>
        <v/>
      </c>
      <c r="V539" s="279" t="str">
        <f t="shared" si="237"/>
        <v/>
      </c>
      <c r="W539" s="279" t="str">
        <f t="shared" si="238"/>
        <v/>
      </c>
      <c r="X539" s="279" t="str">
        <f t="shared" si="239"/>
        <v/>
      </c>
      <c r="Y539" s="277"/>
    </row>
    <row r="540" spans="14:25">
      <c r="N540" s="275">
        <v>46036</v>
      </c>
      <c r="O540" s="276"/>
      <c r="P540" s="277"/>
      <c r="Q540" s="277"/>
      <c r="R540" s="278"/>
      <c r="S540" s="277" t="str">
        <f t="shared" si="234"/>
        <v/>
      </c>
      <c r="T540" s="279" t="str">
        <f t="shared" si="235"/>
        <v/>
      </c>
      <c r="U540" s="279" t="str">
        <f t="shared" si="236"/>
        <v/>
      </c>
      <c r="V540" s="279" t="str">
        <f t="shared" si="237"/>
        <v/>
      </c>
      <c r="W540" s="279" t="str">
        <f t="shared" si="238"/>
        <v/>
      </c>
      <c r="X540" s="279" t="str">
        <f t="shared" si="239"/>
        <v/>
      </c>
      <c r="Y540" s="277"/>
    </row>
    <row r="541" spans="14:25">
      <c r="N541" s="275">
        <v>46036</v>
      </c>
      <c r="O541" s="276"/>
      <c r="P541" s="277"/>
      <c r="Q541" s="277"/>
      <c r="R541" s="278"/>
      <c r="S541" s="277" t="str">
        <f t="shared" si="234"/>
        <v/>
      </c>
      <c r="T541" s="279" t="str">
        <f t="shared" si="235"/>
        <v/>
      </c>
      <c r="U541" s="279" t="str">
        <f t="shared" si="236"/>
        <v/>
      </c>
      <c r="V541" s="279" t="str">
        <f t="shared" si="237"/>
        <v/>
      </c>
      <c r="W541" s="279" t="str">
        <f t="shared" si="238"/>
        <v/>
      </c>
      <c r="X541" s="279" t="str">
        <f t="shared" si="239"/>
        <v/>
      </c>
      <c r="Y541" s="277"/>
    </row>
    <row r="542" spans="14:25">
      <c r="N542" s="275">
        <v>46036</v>
      </c>
      <c r="O542" s="276"/>
      <c r="P542" s="277"/>
      <c r="Q542" s="277"/>
      <c r="R542" s="278"/>
      <c r="S542" s="277" t="str">
        <f t="shared" si="234"/>
        <v/>
      </c>
      <c r="T542" s="279" t="str">
        <f t="shared" si="235"/>
        <v/>
      </c>
      <c r="U542" s="279" t="str">
        <f t="shared" si="236"/>
        <v/>
      </c>
      <c r="V542" s="279" t="str">
        <f t="shared" si="237"/>
        <v/>
      </c>
      <c r="W542" s="279" t="str">
        <f t="shared" si="238"/>
        <v/>
      </c>
      <c r="X542" s="279" t="str">
        <f t="shared" si="239"/>
        <v/>
      </c>
      <c r="Y542" s="277"/>
    </row>
    <row r="543" spans="14:25">
      <c r="N543" s="275">
        <v>46036</v>
      </c>
      <c r="O543" s="276"/>
      <c r="P543" s="277"/>
      <c r="Q543" s="277"/>
      <c r="R543" s="278"/>
      <c r="S543" s="277" t="str">
        <f t="shared" si="234"/>
        <v/>
      </c>
      <c r="T543" s="279" t="str">
        <f t="shared" si="235"/>
        <v/>
      </c>
      <c r="U543" s="279" t="str">
        <f t="shared" si="236"/>
        <v/>
      </c>
      <c r="V543" s="279" t="str">
        <f t="shared" si="237"/>
        <v/>
      </c>
      <c r="W543" s="279" t="str">
        <f t="shared" si="238"/>
        <v/>
      </c>
      <c r="X543" s="279" t="str">
        <f t="shared" si="239"/>
        <v/>
      </c>
      <c r="Y543" s="277"/>
    </row>
    <row r="544" spans="14:25">
      <c r="N544" s="275">
        <v>46036</v>
      </c>
      <c r="O544" s="276"/>
      <c r="P544" s="277"/>
      <c r="Q544" s="277"/>
      <c r="R544" s="278"/>
      <c r="S544" s="277" t="str">
        <f t="shared" si="234"/>
        <v/>
      </c>
      <c r="T544" s="279" t="str">
        <f t="shared" si="235"/>
        <v/>
      </c>
      <c r="U544" s="279" t="str">
        <f t="shared" si="236"/>
        <v/>
      </c>
      <c r="V544" s="279" t="str">
        <f t="shared" si="237"/>
        <v/>
      </c>
      <c r="W544" s="279" t="str">
        <f t="shared" si="238"/>
        <v/>
      </c>
      <c r="X544" s="279" t="str">
        <f t="shared" si="239"/>
        <v/>
      </c>
      <c r="Y544" s="277"/>
    </row>
    <row r="545" spans="14:25">
      <c r="N545" s="275">
        <v>46036</v>
      </c>
      <c r="O545" s="276"/>
      <c r="P545" s="277"/>
      <c r="Q545" s="277"/>
      <c r="R545" s="278"/>
      <c r="S545" s="277" t="str">
        <f t="shared" si="234"/>
        <v/>
      </c>
      <c r="T545" s="279" t="str">
        <f t="shared" si="235"/>
        <v/>
      </c>
      <c r="U545" s="279" t="str">
        <f t="shared" si="236"/>
        <v/>
      </c>
      <c r="V545" s="279" t="str">
        <f t="shared" si="237"/>
        <v/>
      </c>
      <c r="W545" s="279" t="str">
        <f t="shared" si="238"/>
        <v/>
      </c>
      <c r="X545" s="279" t="str">
        <f t="shared" si="239"/>
        <v/>
      </c>
      <c r="Y545" s="277"/>
    </row>
    <row r="546" spans="14:25">
      <c r="N546" s="280"/>
      <c r="O546" s="281" t="s">
        <v>217</v>
      </c>
      <c r="P546" s="282"/>
      <c r="Q546" s="282"/>
      <c r="R546" s="282"/>
      <c r="S546" s="282"/>
      <c r="T546" s="283">
        <f>SUM(T529:T545)</f>
        <v>1183.1499999999999</v>
      </c>
      <c r="U546" s="283">
        <f>SUM(U529:U545)</f>
        <v>106.325</v>
      </c>
      <c r="V546" s="283">
        <f>SUM(V529:V545)</f>
        <v>11.976000000000001</v>
      </c>
      <c r="W546" s="283">
        <f>SUM(W529:W545)</f>
        <v>143.11000000000001</v>
      </c>
      <c r="X546" s="283">
        <f>SUM(X529:X545)</f>
        <v>20.498000000000001</v>
      </c>
      <c r="Y546" s="277"/>
    </row>
    <row r="547" spans="14:25">
      <c r="N547" s="280"/>
      <c r="O547" s="281" t="s">
        <v>220</v>
      </c>
      <c r="P547" s="282"/>
      <c r="Q547" s="282"/>
      <c r="R547" s="282"/>
      <c r="S547" s="282"/>
      <c r="T547" s="284">
        <f>$B$27</f>
        <v>2228.28125</v>
      </c>
      <c r="U547" s="284">
        <f>$B$29</f>
        <v>140.4</v>
      </c>
      <c r="V547" s="284">
        <f>$B$30</f>
        <v>64.739999999999995</v>
      </c>
      <c r="W547" s="284">
        <f>$B$31</f>
        <v>271.0053125</v>
      </c>
      <c r="X547" s="284">
        <f>$B$32</f>
        <v>31.195937500000003</v>
      </c>
      <c r="Y547" s="277"/>
    </row>
    <row r="548" spans="14:25">
      <c r="N548" s="280"/>
      <c r="O548" s="281" t="s">
        <v>222</v>
      </c>
      <c r="P548" s="282"/>
      <c r="Q548" s="282"/>
      <c r="R548" s="282"/>
      <c r="S548" s="282"/>
      <c r="T548" s="284">
        <f>T546-T547</f>
        <v>-1045.1312500000001</v>
      </c>
      <c r="U548" s="284">
        <f>U546-U547</f>
        <v>-34.075000000000003</v>
      </c>
      <c r="V548" s="284">
        <f>V546-V547</f>
        <v>-52.763999999999996</v>
      </c>
      <c r="W548" s="284">
        <f>W546-W547</f>
        <v>-127.89531249999999</v>
      </c>
      <c r="X548" s="284">
        <f>X546-X547</f>
        <v>-10.697937500000002</v>
      </c>
      <c r="Y548" s="277"/>
    </row>
  </sheetData>
  <conditionalFormatting sqref="E5:L582">
    <cfRule type="notContainsBlanks" dxfId="770" priority="19">
      <formula>LEN(TRIM(E5))&gt;0</formula>
    </cfRule>
  </conditionalFormatting>
  <conditionalFormatting sqref="T18 V18:X18">
    <cfRule type="cellIs" dxfId="769" priority="76" operator="greaterThan">
      <formula>0</formula>
    </cfRule>
  </conditionalFormatting>
  <conditionalFormatting sqref="T31 V31:X31 T45 V45:X45 T61 V61:X61 T78 V78:X78 T94 V94:X94">
    <cfRule type="cellIs" dxfId="768" priority="75" operator="greaterThan">
      <formula>0</formula>
    </cfRule>
  </conditionalFormatting>
  <conditionalFormatting sqref="T108 V108:X108">
    <cfRule type="cellIs" dxfId="767" priority="71" operator="greaterThan">
      <formula>0</formula>
    </cfRule>
  </conditionalFormatting>
  <conditionalFormatting sqref="T125 V125:X125">
    <cfRule type="cellIs" dxfId="766" priority="61" operator="greaterThan">
      <formula>0</formula>
    </cfRule>
  </conditionalFormatting>
  <conditionalFormatting sqref="T136 V136:X136">
    <cfRule type="cellIs" dxfId="765" priority="59" operator="greaterThan">
      <formula>0</formula>
    </cfRule>
  </conditionalFormatting>
  <conditionalFormatting sqref="T148 V148:X148">
    <cfRule type="cellIs" dxfId="764" priority="57" operator="greaterThan">
      <formula>0</formula>
    </cfRule>
  </conditionalFormatting>
  <conditionalFormatting sqref="T161 V161:X161">
    <cfRule type="cellIs" dxfId="763" priority="55" operator="greaterThan">
      <formula>0</formula>
    </cfRule>
  </conditionalFormatting>
  <conditionalFormatting sqref="T178 V178:X178">
    <cfRule type="cellIs" dxfId="762" priority="53" operator="greaterThan">
      <formula>0</formula>
    </cfRule>
  </conditionalFormatting>
  <conditionalFormatting sqref="T193 V193:X193">
    <cfRule type="cellIs" dxfId="761" priority="51" operator="greaterThan">
      <formula>0</formula>
    </cfRule>
  </conditionalFormatting>
  <conditionalFormatting sqref="T209 V209:X209">
    <cfRule type="cellIs" dxfId="760" priority="49" operator="greaterThan">
      <formula>0</formula>
    </cfRule>
  </conditionalFormatting>
  <conditionalFormatting sqref="T225 V225:X225">
    <cfRule type="cellIs" dxfId="759" priority="47" operator="greaterThan">
      <formula>0</formula>
    </cfRule>
  </conditionalFormatting>
  <conditionalFormatting sqref="T240 V240:X240">
    <cfRule type="cellIs" dxfId="758" priority="45" operator="greaterThan">
      <formula>0</formula>
    </cfRule>
  </conditionalFormatting>
  <conditionalFormatting sqref="T256 V256:X256">
    <cfRule type="cellIs" dxfId="757" priority="43" operator="greaterThan">
      <formula>0</formula>
    </cfRule>
  </conditionalFormatting>
  <conditionalFormatting sqref="T265 V265:X265">
    <cfRule type="cellIs" dxfId="756" priority="41" operator="greaterThan">
      <formula>0</formula>
    </cfRule>
  </conditionalFormatting>
  <conditionalFormatting sqref="T273 V273:X273">
    <cfRule type="cellIs" dxfId="755" priority="39" operator="greaterThan">
      <formula>0</formula>
    </cfRule>
  </conditionalFormatting>
  <conditionalFormatting sqref="T290 V290:X290">
    <cfRule type="cellIs" dxfId="754" priority="37" operator="greaterThan">
      <formula>0</formula>
    </cfRule>
  </conditionalFormatting>
  <conditionalFormatting sqref="T307 V307:X307">
    <cfRule type="cellIs" dxfId="753" priority="35" operator="greaterThan">
      <formula>0</formula>
    </cfRule>
  </conditionalFormatting>
  <conditionalFormatting sqref="T323 V323:X323">
    <cfRule type="cellIs" dxfId="752" priority="33" operator="greaterThan">
      <formula>0</formula>
    </cfRule>
  </conditionalFormatting>
  <conditionalFormatting sqref="T340 V340:X340">
    <cfRule type="cellIs" dxfId="751" priority="31" operator="greaterThan">
      <formula>0</formula>
    </cfRule>
  </conditionalFormatting>
  <conditionalFormatting sqref="T357 V357:X357">
    <cfRule type="cellIs" dxfId="750" priority="29" operator="greaterThan">
      <formula>0</formula>
    </cfRule>
  </conditionalFormatting>
  <conditionalFormatting sqref="T374 V374:X374">
    <cfRule type="cellIs" dxfId="749" priority="27" operator="greaterThan">
      <formula>0</formula>
    </cfRule>
  </conditionalFormatting>
  <conditionalFormatting sqref="T383 V383:X383">
    <cfRule type="cellIs" dxfId="748" priority="25" operator="greaterThan">
      <formula>0</formula>
    </cfRule>
  </conditionalFormatting>
  <conditionalFormatting sqref="T400 V400:X400">
    <cfRule type="cellIs" dxfId="747" priority="23" operator="greaterThan">
      <formula>0</formula>
    </cfRule>
  </conditionalFormatting>
  <conditionalFormatting sqref="T413 V413:X413">
    <cfRule type="cellIs" dxfId="746" priority="21" operator="greaterThan">
      <formula>0</formula>
    </cfRule>
  </conditionalFormatting>
  <conditionalFormatting sqref="T426 V426:X426">
    <cfRule type="cellIs" dxfId="745" priority="18" operator="greaterThan">
      <formula>0</formula>
    </cfRule>
  </conditionalFormatting>
  <conditionalFormatting sqref="T440 V440:X440">
    <cfRule type="cellIs" dxfId="744" priority="16" operator="greaterThan">
      <formula>0</formula>
    </cfRule>
  </conditionalFormatting>
  <conditionalFormatting sqref="T453 V453:X453">
    <cfRule type="cellIs" dxfId="743" priority="14" operator="greaterThan">
      <formula>0</formula>
    </cfRule>
  </conditionalFormatting>
  <conditionalFormatting sqref="T463 V463:X463">
    <cfRule type="cellIs" dxfId="742" priority="12" operator="greaterThan">
      <formula>0</formula>
    </cfRule>
  </conditionalFormatting>
  <conditionalFormatting sqref="T478 V478:X478">
    <cfRule type="cellIs" dxfId="741" priority="10" operator="greaterThan">
      <formula>0</formula>
    </cfRule>
  </conditionalFormatting>
  <conditionalFormatting sqref="T491 V491:X491">
    <cfRule type="cellIs" dxfId="740" priority="8" operator="greaterThan">
      <formula>0</formula>
    </cfRule>
  </conditionalFormatting>
  <conditionalFormatting sqref="T508 V508:X508">
    <cfRule type="cellIs" dxfId="739" priority="6" operator="greaterThan">
      <formula>0</formula>
    </cfRule>
  </conditionalFormatting>
  <conditionalFormatting sqref="T528 V528:X528">
    <cfRule type="cellIs" dxfId="738" priority="4" operator="greaterThan">
      <formula>0</formula>
    </cfRule>
  </conditionalFormatting>
  <conditionalFormatting sqref="T548 V548:X548">
    <cfRule type="cellIs" dxfId="737" priority="2" operator="greaterThan">
      <formula>0</formula>
    </cfRule>
  </conditionalFormatting>
  <conditionalFormatting sqref="U18 U31 U45 U61 U78 U94">
    <cfRule type="cellIs" dxfId="736" priority="74" operator="greaterThan">
      <formula>0</formula>
    </cfRule>
  </conditionalFormatting>
  <conditionalFormatting sqref="U108">
    <cfRule type="cellIs" dxfId="735" priority="70" operator="greaterThan">
      <formula>0</formula>
    </cfRule>
  </conditionalFormatting>
  <conditionalFormatting sqref="U125">
    <cfRule type="cellIs" dxfId="734" priority="60" operator="greaterThan">
      <formula>0</formula>
    </cfRule>
  </conditionalFormatting>
  <conditionalFormatting sqref="U136">
    <cfRule type="cellIs" dxfId="733" priority="58" operator="greaterThan">
      <formula>0</formula>
    </cfRule>
  </conditionalFormatting>
  <conditionalFormatting sqref="U148">
    <cfRule type="cellIs" dxfId="732" priority="56" operator="greaterThan">
      <formula>0</formula>
    </cfRule>
  </conditionalFormatting>
  <conditionalFormatting sqref="U161">
    <cfRule type="cellIs" dxfId="731" priority="54" operator="greaterThan">
      <formula>0</formula>
    </cfRule>
  </conditionalFormatting>
  <conditionalFormatting sqref="U178">
    <cfRule type="cellIs" dxfId="730" priority="52" operator="greaterThan">
      <formula>0</formula>
    </cfRule>
  </conditionalFormatting>
  <conditionalFormatting sqref="U193">
    <cfRule type="cellIs" dxfId="729" priority="50" operator="greaterThan">
      <formula>0</formula>
    </cfRule>
  </conditionalFormatting>
  <conditionalFormatting sqref="U209">
    <cfRule type="cellIs" dxfId="728" priority="48" operator="greaterThan">
      <formula>0</formula>
    </cfRule>
  </conditionalFormatting>
  <conditionalFormatting sqref="U225">
    <cfRule type="cellIs" dxfId="727" priority="46" operator="greaterThan">
      <formula>0</formula>
    </cfRule>
  </conditionalFormatting>
  <conditionalFormatting sqref="U240">
    <cfRule type="cellIs" dxfId="726" priority="44" operator="greaterThan">
      <formula>0</formula>
    </cfRule>
  </conditionalFormatting>
  <conditionalFormatting sqref="U256">
    <cfRule type="cellIs" dxfId="725" priority="42" operator="greaterThan">
      <formula>0</formula>
    </cfRule>
  </conditionalFormatting>
  <conditionalFormatting sqref="U265">
    <cfRule type="cellIs" dxfId="724" priority="40" operator="greaterThan">
      <formula>0</formula>
    </cfRule>
  </conditionalFormatting>
  <conditionalFormatting sqref="U273">
    <cfRule type="cellIs" dxfId="723" priority="38" operator="greaterThan">
      <formula>0</formula>
    </cfRule>
  </conditionalFormatting>
  <conditionalFormatting sqref="U290">
    <cfRule type="cellIs" dxfId="722" priority="36" operator="greaterThan">
      <formula>0</formula>
    </cfRule>
  </conditionalFormatting>
  <conditionalFormatting sqref="U307">
    <cfRule type="cellIs" dxfId="721" priority="34" operator="greaterThan">
      <formula>0</formula>
    </cfRule>
  </conditionalFormatting>
  <conditionalFormatting sqref="U323">
    <cfRule type="cellIs" dxfId="720" priority="32" operator="greaterThan">
      <formula>0</formula>
    </cfRule>
  </conditionalFormatting>
  <conditionalFormatting sqref="U340">
    <cfRule type="cellIs" dxfId="719" priority="30" operator="greaterThan">
      <formula>0</formula>
    </cfRule>
  </conditionalFormatting>
  <conditionalFormatting sqref="U357">
    <cfRule type="cellIs" dxfId="718" priority="28" operator="greaterThan">
      <formula>0</formula>
    </cfRule>
  </conditionalFormatting>
  <conditionalFormatting sqref="U374">
    <cfRule type="cellIs" dxfId="717" priority="26" operator="greaterThan">
      <formula>0</formula>
    </cfRule>
  </conditionalFormatting>
  <conditionalFormatting sqref="U383">
    <cfRule type="cellIs" dxfId="716" priority="24" operator="greaterThan">
      <formula>0</formula>
    </cfRule>
  </conditionalFormatting>
  <conditionalFormatting sqref="U400">
    <cfRule type="cellIs" dxfId="715" priority="22" operator="greaterThan">
      <formula>0</formula>
    </cfRule>
  </conditionalFormatting>
  <conditionalFormatting sqref="U413">
    <cfRule type="cellIs" dxfId="714" priority="20" operator="greaterThan">
      <formula>0</formula>
    </cfRule>
  </conditionalFormatting>
  <conditionalFormatting sqref="U426">
    <cfRule type="cellIs" dxfId="713" priority="17" operator="greaterThan">
      <formula>0</formula>
    </cfRule>
  </conditionalFormatting>
  <conditionalFormatting sqref="U440">
    <cfRule type="cellIs" dxfId="712" priority="15" operator="greaterThan">
      <formula>0</formula>
    </cfRule>
  </conditionalFormatting>
  <conditionalFormatting sqref="U453">
    <cfRule type="cellIs" dxfId="711" priority="13" operator="greaterThan">
      <formula>0</formula>
    </cfRule>
  </conditionalFormatting>
  <conditionalFormatting sqref="U463">
    <cfRule type="cellIs" dxfId="710" priority="11" operator="greaterThan">
      <formula>0</formula>
    </cfRule>
  </conditionalFormatting>
  <conditionalFormatting sqref="U478">
    <cfRule type="cellIs" dxfId="709" priority="9" operator="greaterThan">
      <formula>0</formula>
    </cfRule>
  </conditionalFormatting>
  <conditionalFormatting sqref="U491">
    <cfRule type="cellIs" dxfId="708" priority="7" operator="greaterThan">
      <formula>0</formula>
    </cfRule>
  </conditionalFormatting>
  <conditionalFormatting sqref="U508">
    <cfRule type="cellIs" dxfId="707" priority="5" operator="greaterThan">
      <formula>0</formula>
    </cfRule>
  </conditionalFormatting>
  <conditionalFormatting sqref="U528">
    <cfRule type="cellIs" dxfId="706" priority="3" operator="greaterThan">
      <formula>0</formula>
    </cfRule>
  </conditionalFormatting>
  <conditionalFormatting sqref="U548">
    <cfRule type="cellIs" dxfId="705" priority="1" operator="greaterThan">
      <formula>0</formula>
    </cfRule>
  </conditionalFormatting>
  <dataValidations count="3">
    <dataValidation type="list" allowBlank="1" showInputMessage="1" showErrorMessage="1" sqref="P79:P91 P95:P105 P109:P122 P126:P133 P137:P145 P149:P158 P162:P175 P179:P190 P194:P206 P210:P222 P226:P237 P241:P253 P257:P262 P266:P270 P274:P287 P291:P304 P308:P320 P324:P337 P341:P354 P358:P371 P375:P380 P384:P397 P401:P410 P414:P423 P427:P437 P441:P450 P454:P460 P464:P475 P479:P488 P492:P505 P509:P525 P529:P545" xr:uid="{00000000-0002-0000-0300-000000000000}">
      <formula1>"Breakfast, Lunch, Dinner, Snack"</formula1>
    </dataValidation>
    <dataValidation type="list" allowBlank="1" showInputMessage="1" showErrorMessage="1" sqref="Q5:Q15 Q19:Q28 Q62:Q75 Q79:Q91 Q32:Q58 Q95:Q105 Q109:Q122 Q126:Q133 Q137:Q145 Q149:Q158 Q162:Q175 Q179:Q190 Q194:Q206" xr:uid="{00000000-0002-0000-0300-000001000000}">
      <formula1>$E$5:$E$57</formula1>
    </dataValidation>
    <dataValidation type="list" allowBlank="1" showInputMessage="1" showErrorMessage="1" sqref="Q479:Q488 Q509:Q525 Q414:Q423 Q427:Q437 Q401:Q410 Q384:Q397 Q257:Q262 Q358:Q371 Q341:Q354 Q308:Q320 Q291:Q304 Q274:Q287 Q266:Q270 Q226:Q237 Q210:Q222 Q241:Q253 Q375:Q380 Q324:Q337 Q441:Q450 Q454:Q460 Q464:Q475 Q492:Q505 Q529:Q545" xr:uid="{00000000-0002-0000-0300-000002000000}">
      <formula1>$E$5:$E$945</formula1>
    </dataValidation>
  </dataValidation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A3497-4EF2-4E54-8453-C9FA70B5D273}">
  <sheetPr>
    <tabColor rgb="FFFFFF00"/>
  </sheetPr>
  <dimension ref="A1:MQ231"/>
  <sheetViews>
    <sheetView tabSelected="1" topLeftCell="AL1" zoomScaleNormal="100" workbookViewId="0">
      <selection activeCell="BF12" sqref="BF12:BH12"/>
    </sheetView>
  </sheetViews>
  <sheetFormatPr defaultColWidth="9.140625" defaultRowHeight="18.75" customHeight="1"/>
  <cols>
    <col min="1" max="1" width="11.85546875" style="122" bestFit="1" customWidth="1"/>
    <col min="2" max="2" width="23.5703125" style="122" bestFit="1" customWidth="1"/>
    <col min="3" max="3" width="27.42578125" style="122" bestFit="1" customWidth="1"/>
    <col min="4" max="4" width="8.140625" style="122" bestFit="1" customWidth="1"/>
    <col min="5" max="5" width="10.140625" style="122" bestFit="1" customWidth="1"/>
    <col min="6" max="6" width="16.140625" style="122" bestFit="1" customWidth="1"/>
    <col min="7" max="7" width="26" style="122" bestFit="1" customWidth="1"/>
    <col min="8" max="8" width="6" style="122" bestFit="1" customWidth="1"/>
    <col min="9" max="9" width="8.5703125" style="122" bestFit="1" customWidth="1"/>
    <col min="10" max="10" width="20" style="122" bestFit="1" customWidth="1"/>
    <col min="11" max="12" width="11.85546875" style="122" bestFit="1" customWidth="1"/>
    <col min="13" max="13" width="6" style="122" bestFit="1" customWidth="1"/>
    <col min="14" max="14" width="5.140625" style="122" bestFit="1" customWidth="1"/>
    <col min="15" max="15" width="6.42578125" style="122" bestFit="1" customWidth="1"/>
    <col min="16" max="16" width="9" style="122" bestFit="1" customWidth="1"/>
    <col min="17" max="17" width="4.5703125" style="122" customWidth="1"/>
    <col min="18" max="18" width="9.140625" style="122"/>
    <col min="19" max="20" width="4.5703125" style="122" customWidth="1"/>
    <col min="21" max="21" width="9.140625" style="122"/>
    <col min="22" max="23" width="4.5703125" style="122" customWidth="1"/>
    <col min="24" max="24" width="9.140625" style="122"/>
    <col min="25" max="26" width="4.5703125" style="122" customWidth="1"/>
    <col min="27" max="27" width="9.140625" style="122"/>
    <col min="28" max="29" width="4.5703125" style="122" customWidth="1"/>
    <col min="30" max="30" width="9.140625" style="122"/>
    <col min="31" max="32" width="4.5703125" style="122" customWidth="1"/>
    <col min="33" max="33" width="9.140625" style="122"/>
    <col min="34" max="35" width="4.5703125" style="122" customWidth="1"/>
    <col min="36" max="36" width="9.140625" style="122"/>
    <col min="37" max="37" width="9.42578125" style="122" bestFit="1" customWidth="1"/>
    <col min="38" max="40" width="9.140625" style="122"/>
    <col min="41" max="41" width="4.5703125" style="122" customWidth="1"/>
    <col min="42" max="42" width="9.140625" style="122"/>
    <col min="43" max="44" width="4.5703125" style="122" customWidth="1"/>
    <col min="45" max="45" width="9.140625" style="122"/>
    <col min="46" max="47" width="4.5703125" style="122" customWidth="1"/>
    <col min="48" max="48" width="9.140625" style="122"/>
    <col min="49" max="50" width="4.5703125" style="122" customWidth="1"/>
    <col min="51" max="51" width="9.140625" style="122"/>
    <col min="52" max="53" width="4.5703125" style="122" customWidth="1"/>
    <col min="54" max="54" width="9.140625" style="122"/>
    <col min="55" max="56" width="4.5703125" style="122" customWidth="1"/>
    <col min="57" max="57" width="9.140625" style="122"/>
    <col min="58" max="59" width="4.5703125" style="122" customWidth="1"/>
    <col min="60" max="64" width="9.140625" style="122"/>
    <col min="65" max="65" width="4.5703125" style="122" customWidth="1"/>
    <col min="66" max="66" width="9.140625" style="122"/>
    <col min="67" max="68" width="4.5703125" style="122" customWidth="1"/>
    <col min="69" max="69" width="9.140625" style="122"/>
    <col min="70" max="71" width="4.5703125" style="122" customWidth="1"/>
    <col min="72" max="72" width="9.140625" style="122"/>
    <col min="73" max="74" width="4.5703125" style="122" customWidth="1"/>
    <col min="75" max="75" width="9.140625" style="122"/>
    <col min="76" max="77" width="4.5703125" style="122" customWidth="1"/>
    <col min="78" max="78" width="9.140625" style="122"/>
    <col min="79" max="80" width="4.5703125" style="122" customWidth="1"/>
    <col min="81" max="81" width="9.140625" style="122"/>
    <col min="82" max="83" width="4.5703125" style="122" customWidth="1"/>
    <col min="84" max="88" width="9.140625" style="122"/>
    <col min="89" max="89" width="4.5703125" style="122" customWidth="1"/>
    <col min="90" max="90" width="9.140625" style="122" bestFit="1" customWidth="1"/>
    <col min="91" max="92" width="4.5703125" style="122" customWidth="1"/>
    <col min="93" max="93" width="9.140625" style="122" bestFit="1" customWidth="1"/>
    <col min="94" max="95" width="4.5703125" style="122" customWidth="1"/>
    <col min="96" max="96" width="9.140625" style="122" bestFit="1" customWidth="1"/>
    <col min="97" max="98" width="4.5703125" style="122" customWidth="1"/>
    <col min="99" max="99" width="9.140625" style="122" bestFit="1" customWidth="1"/>
    <col min="100" max="101" width="4.5703125" style="122" customWidth="1"/>
    <col min="102" max="102" width="9.140625" style="122" bestFit="1" customWidth="1"/>
    <col min="103" max="104" width="4.5703125" style="122" customWidth="1"/>
    <col min="105" max="105" width="9.140625" style="122" bestFit="1" customWidth="1"/>
    <col min="106" max="107" width="4.5703125" style="122" customWidth="1"/>
    <col min="108" max="112" width="9.140625" style="122" bestFit="1" customWidth="1"/>
    <col min="113" max="113" width="4.5703125" style="486" customWidth="1"/>
    <col min="114" max="114" width="9.140625" style="122" bestFit="1" customWidth="1"/>
    <col min="115" max="116" width="4.5703125" style="122" customWidth="1"/>
    <col min="117" max="117" width="9.140625" style="122" bestFit="1" customWidth="1"/>
    <col min="118" max="119" width="4.5703125" style="122" customWidth="1"/>
    <col min="120" max="120" width="9.140625" style="122" bestFit="1" customWidth="1"/>
    <col min="121" max="122" width="4.5703125" style="122" customWidth="1"/>
    <col min="123" max="123" width="9.140625" style="122" bestFit="1" customWidth="1"/>
    <col min="124" max="125" width="4.5703125" style="122" customWidth="1"/>
    <col min="126" max="126" width="9.140625" style="122" bestFit="1" customWidth="1"/>
    <col min="127" max="128" width="4.5703125" style="122" customWidth="1"/>
    <col min="129" max="129" width="9.140625" style="122" bestFit="1" customWidth="1"/>
    <col min="130" max="131" width="4.5703125" style="122" customWidth="1"/>
    <col min="132" max="136" width="9.140625" style="122" bestFit="1" customWidth="1"/>
    <col min="137" max="137" width="4.5703125" style="486" customWidth="1"/>
    <col min="138" max="138" width="9.140625" style="122" bestFit="1" customWidth="1"/>
    <col min="139" max="140" width="4.5703125" style="122" customWidth="1"/>
    <col min="141" max="141" width="9.140625" style="122" bestFit="1" customWidth="1"/>
    <col min="142" max="143" width="4.5703125" style="122" customWidth="1"/>
    <col min="144" max="144" width="9.140625" style="122" bestFit="1" customWidth="1"/>
    <col min="145" max="146" width="4.5703125" style="122" customWidth="1"/>
    <col min="147" max="147" width="9.140625" style="122" bestFit="1" customWidth="1"/>
    <col min="148" max="149" width="4.5703125" style="122" customWidth="1"/>
    <col min="150" max="150" width="9.140625" style="122" bestFit="1" customWidth="1"/>
    <col min="151" max="152" width="4.5703125" style="122" customWidth="1"/>
    <col min="153" max="153" width="9.140625" style="122" bestFit="1" customWidth="1"/>
    <col min="154" max="155" width="4.5703125" style="122" customWidth="1"/>
    <col min="156" max="160" width="9.140625" style="122" bestFit="1" customWidth="1"/>
    <col min="161" max="161" width="4.5703125" style="486" customWidth="1"/>
    <col min="162" max="162" width="9.140625" style="122" bestFit="1" customWidth="1"/>
    <col min="163" max="164" width="4.5703125" style="122" customWidth="1"/>
    <col min="165" max="165" width="9.140625" style="122" bestFit="1" customWidth="1"/>
    <col min="166" max="167" width="4.5703125" style="122" customWidth="1"/>
    <col min="168" max="168" width="9.140625" style="122" bestFit="1" customWidth="1"/>
    <col min="169" max="170" width="4.5703125" style="122" customWidth="1"/>
    <col min="171" max="171" width="9.140625" style="122" bestFit="1" customWidth="1"/>
    <col min="172" max="173" width="4.5703125" style="122" customWidth="1"/>
    <col min="174" max="174" width="9.140625" style="122" bestFit="1" customWidth="1"/>
    <col min="175" max="176" width="4.5703125" style="122" customWidth="1"/>
    <col min="177" max="177" width="9.140625" style="122" bestFit="1" customWidth="1"/>
    <col min="178" max="179" width="4.5703125" style="122" customWidth="1"/>
    <col min="180" max="184" width="9.140625" style="122" bestFit="1" customWidth="1"/>
    <col min="185" max="185" width="4.5703125" style="486" customWidth="1"/>
    <col min="186" max="186" width="9.140625" style="122" bestFit="1" customWidth="1"/>
    <col min="187" max="188" width="4.5703125" style="122" customWidth="1"/>
    <col min="189" max="189" width="9.140625" style="122" bestFit="1" customWidth="1"/>
    <col min="190" max="191" width="4.5703125" style="122" customWidth="1"/>
    <col min="192" max="192" width="9.140625" style="122" bestFit="1" customWidth="1"/>
    <col min="193" max="194" width="4.5703125" style="122" customWidth="1"/>
    <col min="195" max="195" width="9.140625" style="122" bestFit="1" customWidth="1"/>
    <col min="196" max="197" width="4.5703125" style="122" customWidth="1"/>
    <col min="198" max="198" width="9.140625" style="122" bestFit="1" customWidth="1"/>
    <col min="199" max="200" width="4.5703125" style="122" customWidth="1"/>
    <col min="201" max="201" width="9.140625" style="122" bestFit="1" customWidth="1"/>
    <col min="202" max="203" width="4.5703125" style="122" customWidth="1"/>
    <col min="204" max="208" width="9.140625" style="122" bestFit="1" customWidth="1"/>
    <col min="209" max="209" width="4.5703125" style="486" customWidth="1"/>
    <col min="210" max="210" width="9.140625" style="122" bestFit="1" customWidth="1"/>
    <col min="211" max="212" width="4.5703125" style="122" customWidth="1"/>
    <col min="213" max="213" width="9.140625" style="122" bestFit="1" customWidth="1"/>
    <col min="214" max="215" width="4.5703125" style="122" customWidth="1"/>
    <col min="216" max="216" width="9.140625" style="122" bestFit="1" customWidth="1"/>
    <col min="217" max="218" width="4.5703125" style="122" customWidth="1"/>
    <col min="219" max="219" width="9.140625" style="122" bestFit="1" customWidth="1"/>
    <col min="220" max="221" width="4.5703125" style="122" customWidth="1"/>
    <col min="222" max="222" width="9.140625" style="122" bestFit="1" customWidth="1"/>
    <col min="223" max="224" width="4.5703125" style="122" customWidth="1"/>
    <col min="225" max="225" width="9.140625" style="122" bestFit="1" customWidth="1"/>
    <col min="226" max="227" width="4.5703125" style="122" customWidth="1"/>
    <col min="228" max="232" width="9.140625" style="122" bestFit="1" customWidth="1"/>
    <col min="233" max="233" width="4.5703125" style="486" customWidth="1"/>
    <col min="234" max="234" width="9.140625" style="122" bestFit="1" customWidth="1"/>
    <col min="235" max="236" width="4.5703125" style="122" customWidth="1"/>
    <col min="237" max="237" width="9.140625" style="122" bestFit="1" customWidth="1"/>
    <col min="238" max="239" width="4.5703125" style="122" customWidth="1"/>
    <col min="240" max="240" width="9.140625" style="122" bestFit="1" customWidth="1"/>
    <col min="241" max="242" width="4.5703125" style="122" customWidth="1"/>
    <col min="243" max="243" width="9.140625" style="122" bestFit="1" customWidth="1"/>
    <col min="244" max="245" width="4.5703125" style="122" customWidth="1"/>
    <col min="246" max="246" width="9.140625" style="122" bestFit="1" customWidth="1"/>
    <col min="247" max="248" width="4.5703125" style="122" customWidth="1"/>
    <col min="249" max="249" width="9.140625" style="122" bestFit="1" customWidth="1"/>
    <col min="250" max="251" width="4.5703125" style="122" customWidth="1"/>
    <col min="252" max="256" width="9.140625" style="122" bestFit="1" customWidth="1"/>
    <col min="257" max="257" width="4.5703125" style="486" customWidth="1"/>
    <col min="258" max="258" width="9.140625" style="122" bestFit="1" customWidth="1"/>
    <col min="259" max="260" width="4.5703125" style="122" customWidth="1"/>
    <col min="261" max="261" width="9.140625" style="122" bestFit="1" customWidth="1"/>
    <col min="262" max="263" width="4.5703125" style="122" customWidth="1"/>
    <col min="264" max="264" width="9.140625" style="122" bestFit="1" customWidth="1"/>
    <col min="265" max="266" width="4.5703125" style="122" customWidth="1"/>
    <col min="267" max="267" width="9.140625" style="122" bestFit="1" customWidth="1"/>
    <col min="268" max="269" width="4.5703125" style="122" customWidth="1"/>
    <col min="270" max="270" width="9.140625" style="122" bestFit="1" customWidth="1"/>
    <col min="271" max="272" width="4.5703125" style="122" customWidth="1"/>
    <col min="273" max="273" width="9.140625" style="122" bestFit="1" customWidth="1"/>
    <col min="274" max="275" width="4.5703125" style="122" customWidth="1"/>
    <col min="276" max="280" width="9.140625" style="122" bestFit="1" customWidth="1"/>
    <col min="281" max="281" width="4.5703125" style="486" customWidth="1"/>
    <col min="282" max="282" width="9.140625" style="122" bestFit="1" customWidth="1"/>
    <col min="283" max="284" width="4.5703125" style="122" customWidth="1"/>
    <col min="285" max="285" width="9.140625" style="122" bestFit="1" customWidth="1"/>
    <col min="286" max="287" width="4.5703125" style="122" customWidth="1"/>
    <col min="288" max="288" width="9.140625" style="122" bestFit="1" customWidth="1"/>
    <col min="289" max="290" width="4.5703125" style="122" customWidth="1"/>
    <col min="291" max="291" width="9.140625" style="122" bestFit="1" customWidth="1"/>
    <col min="292" max="293" width="4.5703125" style="122" customWidth="1"/>
    <col min="294" max="294" width="9.140625" style="122" bestFit="1" customWidth="1"/>
    <col min="295" max="296" width="4.5703125" style="122" customWidth="1"/>
    <col min="297" max="297" width="9.140625" style="122" bestFit="1" customWidth="1"/>
    <col min="298" max="299" width="4.5703125" style="122" customWidth="1"/>
    <col min="300" max="304" width="9.140625" style="122" bestFit="1" customWidth="1"/>
    <col min="305" max="305" width="4.5703125" style="122" customWidth="1"/>
    <col min="306" max="306" width="9.140625" style="122" bestFit="1" customWidth="1"/>
    <col min="307" max="308" width="4.5703125" style="122" customWidth="1"/>
    <col min="309" max="309" width="9.140625" style="122" bestFit="1" customWidth="1"/>
    <col min="310" max="311" width="4.5703125" style="122" customWidth="1"/>
    <col min="312" max="312" width="9.140625" style="122" bestFit="1" customWidth="1"/>
    <col min="313" max="314" width="4.5703125" style="122" customWidth="1"/>
    <col min="315" max="315" width="9.140625" style="122" bestFit="1" customWidth="1"/>
    <col min="316" max="317" width="4.5703125" style="122" customWidth="1"/>
    <col min="318" max="318" width="9.140625" style="122" bestFit="1" customWidth="1"/>
    <col min="319" max="320" width="4.5703125" style="122" customWidth="1"/>
    <col min="321" max="321" width="9.140625" style="122" bestFit="1" customWidth="1"/>
    <col min="322" max="323" width="4.5703125" style="122" customWidth="1"/>
    <col min="324" max="328" width="9.140625" style="122" bestFit="1" customWidth="1"/>
    <col min="329" max="329" width="4.5703125" style="122" customWidth="1"/>
    <col min="330" max="335" width="9.140625" style="122"/>
    <col min="336" max="355" width="9.140625" style="122" customWidth="1"/>
    <col min="356" max="16384" width="9.140625" style="122"/>
  </cols>
  <sheetData>
    <row r="1" spans="1:355" ht="19.5" customHeight="1" thickBot="1">
      <c r="A1" s="301"/>
      <c r="B1" s="301"/>
      <c r="C1" s="301"/>
      <c r="D1" s="301"/>
      <c r="E1" s="301"/>
      <c r="F1" s="301"/>
      <c r="G1" s="301"/>
      <c r="H1" s="301"/>
      <c r="I1" s="301"/>
      <c r="J1" s="301"/>
      <c r="K1" s="999" t="s">
        <v>416</v>
      </c>
      <c r="L1" s="1000"/>
      <c r="M1" s="1000"/>
      <c r="N1" s="1000"/>
      <c r="O1" s="1000"/>
      <c r="P1" s="1001"/>
      <c r="R1" s="833" t="s">
        <v>1</v>
      </c>
      <c r="S1" s="850" t="s">
        <v>61</v>
      </c>
      <c r="T1" s="851"/>
      <c r="U1" s="851"/>
      <c r="V1" s="851"/>
      <c r="W1" s="851"/>
      <c r="X1" s="851"/>
      <c r="Y1" s="851"/>
      <c r="Z1" s="851"/>
      <c r="AA1" s="851"/>
      <c r="AB1" s="851"/>
      <c r="AC1" s="851"/>
      <c r="AD1" s="851"/>
      <c r="AE1" s="851"/>
      <c r="AF1" s="851"/>
      <c r="AG1" s="851"/>
      <c r="AH1" s="851"/>
      <c r="AI1" s="851"/>
      <c r="AJ1" s="852"/>
      <c r="AK1" s="900" t="s">
        <v>171</v>
      </c>
      <c r="AL1" s="850" t="s">
        <v>55</v>
      </c>
      <c r="AM1" s="1010" t="s">
        <v>785</v>
      </c>
      <c r="AN1" s="853" t="s">
        <v>62</v>
      </c>
      <c r="AO1" s="116"/>
      <c r="AP1" s="833" t="s">
        <v>1</v>
      </c>
      <c r="AQ1" s="850" t="s">
        <v>61</v>
      </c>
      <c r="AR1" s="851"/>
      <c r="AS1" s="851"/>
      <c r="AT1" s="851"/>
      <c r="AU1" s="851"/>
      <c r="AV1" s="851"/>
      <c r="AW1" s="851"/>
      <c r="AX1" s="851"/>
      <c r="AY1" s="851"/>
      <c r="AZ1" s="851"/>
      <c r="BA1" s="851"/>
      <c r="BB1" s="851"/>
      <c r="BC1" s="851"/>
      <c r="BD1" s="851"/>
      <c r="BE1" s="851"/>
      <c r="BF1" s="851"/>
      <c r="BG1" s="851"/>
      <c r="BH1" s="852"/>
      <c r="BI1" s="900" t="s">
        <v>171</v>
      </c>
      <c r="BJ1" s="833" t="s">
        <v>55</v>
      </c>
      <c r="BK1" s="1010" t="s">
        <v>785</v>
      </c>
      <c r="BL1" s="853" t="s">
        <v>62</v>
      </c>
      <c r="BM1" s="116"/>
      <c r="BN1" s="833" t="s">
        <v>1</v>
      </c>
      <c r="BO1" s="850" t="s">
        <v>61</v>
      </c>
      <c r="BP1" s="851"/>
      <c r="BQ1" s="851"/>
      <c r="BR1" s="851"/>
      <c r="BS1" s="851"/>
      <c r="BT1" s="851"/>
      <c r="BU1" s="851"/>
      <c r="BV1" s="851"/>
      <c r="BW1" s="851"/>
      <c r="BX1" s="851"/>
      <c r="BY1" s="851"/>
      <c r="BZ1" s="851"/>
      <c r="CA1" s="851"/>
      <c r="CB1" s="851"/>
      <c r="CC1" s="851"/>
      <c r="CD1" s="851"/>
      <c r="CE1" s="851"/>
      <c r="CF1" s="852"/>
      <c r="CG1" s="900" t="s">
        <v>171</v>
      </c>
      <c r="CH1" s="900" t="s">
        <v>55</v>
      </c>
      <c r="CI1" s="1010" t="s">
        <v>785</v>
      </c>
      <c r="CJ1" s="853" t="s">
        <v>62</v>
      </c>
      <c r="CL1" s="833" t="s">
        <v>1</v>
      </c>
      <c r="CM1" s="850" t="s">
        <v>61</v>
      </c>
      <c r="CN1" s="851"/>
      <c r="CO1" s="851"/>
      <c r="CP1" s="851"/>
      <c r="CQ1" s="851"/>
      <c r="CR1" s="851"/>
      <c r="CS1" s="851"/>
      <c r="CT1" s="851"/>
      <c r="CU1" s="851"/>
      <c r="CV1" s="851"/>
      <c r="CW1" s="851"/>
      <c r="CX1" s="851"/>
      <c r="CY1" s="851"/>
      <c r="CZ1" s="851"/>
      <c r="DA1" s="851"/>
      <c r="DB1" s="851"/>
      <c r="DC1" s="851"/>
      <c r="DD1" s="852"/>
      <c r="DE1" s="900" t="s">
        <v>171</v>
      </c>
      <c r="DF1" s="900" t="s">
        <v>55</v>
      </c>
      <c r="DG1" s="1010" t="s">
        <v>785</v>
      </c>
      <c r="DH1" s="853" t="s">
        <v>62</v>
      </c>
      <c r="DJ1" s="833" t="s">
        <v>1</v>
      </c>
      <c r="DK1" s="850" t="s">
        <v>61</v>
      </c>
      <c r="DL1" s="851"/>
      <c r="DM1" s="851"/>
      <c r="DN1" s="851"/>
      <c r="DO1" s="851"/>
      <c r="DP1" s="851"/>
      <c r="DQ1" s="851"/>
      <c r="DR1" s="851"/>
      <c r="DS1" s="851"/>
      <c r="DT1" s="851"/>
      <c r="DU1" s="851"/>
      <c r="DV1" s="851"/>
      <c r="DW1" s="851"/>
      <c r="DX1" s="851"/>
      <c r="DY1" s="851"/>
      <c r="DZ1" s="851"/>
      <c r="EA1" s="851"/>
      <c r="EB1" s="852"/>
      <c r="EC1" s="900" t="s">
        <v>171</v>
      </c>
      <c r="ED1" s="900" t="s">
        <v>55</v>
      </c>
      <c r="EE1" s="1010" t="s">
        <v>785</v>
      </c>
      <c r="EF1" s="853" t="s">
        <v>62</v>
      </c>
      <c r="EH1" s="833" t="s">
        <v>1</v>
      </c>
      <c r="EI1" s="850" t="s">
        <v>61</v>
      </c>
      <c r="EJ1" s="851"/>
      <c r="EK1" s="851"/>
      <c r="EL1" s="851"/>
      <c r="EM1" s="851"/>
      <c r="EN1" s="851"/>
      <c r="EO1" s="851"/>
      <c r="EP1" s="851"/>
      <c r="EQ1" s="851"/>
      <c r="ER1" s="851"/>
      <c r="ES1" s="851"/>
      <c r="ET1" s="851"/>
      <c r="EU1" s="851"/>
      <c r="EV1" s="851"/>
      <c r="EW1" s="851"/>
      <c r="EX1" s="851"/>
      <c r="EY1" s="851"/>
      <c r="EZ1" s="852"/>
      <c r="FA1" s="900" t="s">
        <v>171</v>
      </c>
      <c r="FB1" s="900" t="s">
        <v>55</v>
      </c>
      <c r="FC1" s="1010" t="s">
        <v>785</v>
      </c>
      <c r="FD1" s="853" t="s">
        <v>62</v>
      </c>
      <c r="FF1" s="833" t="s">
        <v>1</v>
      </c>
      <c r="FG1" s="850" t="s">
        <v>61</v>
      </c>
      <c r="FH1" s="851"/>
      <c r="FI1" s="851"/>
      <c r="FJ1" s="851"/>
      <c r="FK1" s="851"/>
      <c r="FL1" s="851"/>
      <c r="FM1" s="851"/>
      <c r="FN1" s="851"/>
      <c r="FO1" s="851"/>
      <c r="FP1" s="851"/>
      <c r="FQ1" s="851"/>
      <c r="FR1" s="851"/>
      <c r="FS1" s="851"/>
      <c r="FT1" s="851"/>
      <c r="FU1" s="851"/>
      <c r="FV1" s="851"/>
      <c r="FW1" s="851"/>
      <c r="FX1" s="852"/>
      <c r="FY1" s="900" t="s">
        <v>171</v>
      </c>
      <c r="FZ1" s="900" t="s">
        <v>55</v>
      </c>
      <c r="GA1" s="1010" t="s">
        <v>785</v>
      </c>
      <c r="GB1" s="853" t="s">
        <v>62</v>
      </c>
      <c r="GD1" s="833" t="s">
        <v>1</v>
      </c>
      <c r="GE1" s="850" t="s">
        <v>61</v>
      </c>
      <c r="GF1" s="851"/>
      <c r="GG1" s="851"/>
      <c r="GH1" s="851"/>
      <c r="GI1" s="851"/>
      <c r="GJ1" s="851"/>
      <c r="GK1" s="851"/>
      <c r="GL1" s="851"/>
      <c r="GM1" s="851"/>
      <c r="GN1" s="851"/>
      <c r="GO1" s="851"/>
      <c r="GP1" s="851"/>
      <c r="GQ1" s="851"/>
      <c r="GR1" s="851"/>
      <c r="GS1" s="851"/>
      <c r="GT1" s="851"/>
      <c r="GU1" s="851"/>
      <c r="GV1" s="852"/>
      <c r="GW1" s="900" t="s">
        <v>171</v>
      </c>
      <c r="GX1" s="900" t="s">
        <v>55</v>
      </c>
      <c r="GY1" s="1010" t="s">
        <v>785</v>
      </c>
      <c r="GZ1" s="853" t="s">
        <v>62</v>
      </c>
      <c r="HB1" s="833" t="s">
        <v>1</v>
      </c>
      <c r="HC1" s="850" t="s">
        <v>61</v>
      </c>
      <c r="HD1" s="851"/>
      <c r="HE1" s="851"/>
      <c r="HF1" s="851"/>
      <c r="HG1" s="851"/>
      <c r="HH1" s="851"/>
      <c r="HI1" s="851"/>
      <c r="HJ1" s="851"/>
      <c r="HK1" s="851"/>
      <c r="HL1" s="851"/>
      <c r="HM1" s="851"/>
      <c r="HN1" s="851"/>
      <c r="HO1" s="851"/>
      <c r="HP1" s="851"/>
      <c r="HQ1" s="851"/>
      <c r="HR1" s="851"/>
      <c r="HS1" s="851"/>
      <c r="HT1" s="852"/>
      <c r="HU1" s="900" t="s">
        <v>171</v>
      </c>
      <c r="HV1" s="900" t="s">
        <v>55</v>
      </c>
      <c r="HW1" s="1010" t="s">
        <v>785</v>
      </c>
      <c r="HX1" s="853" t="s">
        <v>62</v>
      </c>
      <c r="HZ1" s="833" t="s">
        <v>1</v>
      </c>
      <c r="IA1" s="850" t="s">
        <v>61</v>
      </c>
      <c r="IB1" s="851"/>
      <c r="IC1" s="851"/>
      <c r="ID1" s="851"/>
      <c r="IE1" s="851"/>
      <c r="IF1" s="851"/>
      <c r="IG1" s="851"/>
      <c r="IH1" s="851"/>
      <c r="II1" s="851"/>
      <c r="IJ1" s="851"/>
      <c r="IK1" s="851"/>
      <c r="IL1" s="851"/>
      <c r="IM1" s="851"/>
      <c r="IN1" s="851"/>
      <c r="IO1" s="851"/>
      <c r="IP1" s="851"/>
      <c r="IQ1" s="851"/>
      <c r="IR1" s="852"/>
      <c r="IS1" s="900" t="s">
        <v>171</v>
      </c>
      <c r="IT1" s="900" t="s">
        <v>55</v>
      </c>
      <c r="IU1" s="1010" t="s">
        <v>785</v>
      </c>
      <c r="IV1" s="853" t="s">
        <v>62</v>
      </c>
      <c r="IX1" s="833" t="s">
        <v>1</v>
      </c>
      <c r="IY1" s="850" t="s">
        <v>61</v>
      </c>
      <c r="IZ1" s="851"/>
      <c r="JA1" s="851"/>
      <c r="JB1" s="851"/>
      <c r="JC1" s="851"/>
      <c r="JD1" s="851"/>
      <c r="JE1" s="851"/>
      <c r="JF1" s="851"/>
      <c r="JG1" s="851"/>
      <c r="JH1" s="851"/>
      <c r="JI1" s="851"/>
      <c r="JJ1" s="851"/>
      <c r="JK1" s="851"/>
      <c r="JL1" s="851"/>
      <c r="JM1" s="851"/>
      <c r="JN1" s="851"/>
      <c r="JO1" s="851"/>
      <c r="JP1" s="852"/>
      <c r="JQ1" s="900" t="s">
        <v>171</v>
      </c>
      <c r="JR1" s="900" t="s">
        <v>55</v>
      </c>
      <c r="JS1" s="1010" t="s">
        <v>785</v>
      </c>
      <c r="JT1" s="853" t="s">
        <v>62</v>
      </c>
      <c r="JV1" s="833" t="s">
        <v>1</v>
      </c>
      <c r="JW1" s="850" t="s">
        <v>61</v>
      </c>
      <c r="JX1" s="851"/>
      <c r="JY1" s="851"/>
      <c r="JZ1" s="851"/>
      <c r="KA1" s="851"/>
      <c r="KB1" s="851"/>
      <c r="KC1" s="851"/>
      <c r="KD1" s="851"/>
      <c r="KE1" s="851"/>
      <c r="KF1" s="851"/>
      <c r="KG1" s="851"/>
      <c r="KH1" s="851"/>
      <c r="KI1" s="851"/>
      <c r="KJ1" s="851"/>
      <c r="KK1" s="851"/>
      <c r="KL1" s="851"/>
      <c r="KM1" s="851"/>
      <c r="KN1" s="852"/>
      <c r="KO1" s="900" t="s">
        <v>171</v>
      </c>
      <c r="KP1" s="900" t="s">
        <v>55</v>
      </c>
      <c r="KQ1" s="1010" t="s">
        <v>785</v>
      </c>
      <c r="KR1" s="853" t="s">
        <v>62</v>
      </c>
      <c r="KT1" s="833" t="s">
        <v>1</v>
      </c>
      <c r="KU1" s="850" t="s">
        <v>61</v>
      </c>
      <c r="KV1" s="851"/>
      <c r="KW1" s="851"/>
      <c r="KX1" s="851"/>
      <c r="KY1" s="851"/>
      <c r="KZ1" s="851"/>
      <c r="LA1" s="851"/>
      <c r="LB1" s="851"/>
      <c r="LC1" s="851"/>
      <c r="LD1" s="851"/>
      <c r="LE1" s="851"/>
      <c r="LF1" s="851"/>
      <c r="LG1" s="851"/>
      <c r="LH1" s="851"/>
      <c r="LI1" s="851"/>
      <c r="LJ1" s="851"/>
      <c r="LK1" s="851"/>
      <c r="LL1" s="852"/>
      <c r="LM1" s="900" t="s">
        <v>171</v>
      </c>
      <c r="LN1" s="900" t="s">
        <v>55</v>
      </c>
      <c r="LO1" s="1010" t="s">
        <v>785</v>
      </c>
      <c r="LP1" s="853" t="s">
        <v>62</v>
      </c>
      <c r="LR1" s="958" t="s">
        <v>46</v>
      </c>
      <c r="LS1" s="959"/>
      <c r="LT1" s="958" t="s">
        <v>47</v>
      </c>
      <c r="LU1" s="959"/>
      <c r="LV1" s="958" t="s">
        <v>48</v>
      </c>
      <c r="LW1" s="1034"/>
      <c r="LX1" s="1087" t="s">
        <v>49</v>
      </c>
      <c r="LY1" s="1088"/>
      <c r="LZ1" s="1087" t="s">
        <v>50</v>
      </c>
      <c r="MA1" s="1088"/>
      <c r="MB1" s="1087" t="s">
        <v>51</v>
      </c>
      <c r="MC1" s="1088"/>
      <c r="MD1" s="1087" t="s">
        <v>7</v>
      </c>
      <c r="ME1" s="1088"/>
      <c r="MF1" s="1087" t="s">
        <v>18</v>
      </c>
      <c r="MG1" s="1088"/>
      <c r="MH1" s="1087" t="s">
        <v>19</v>
      </c>
      <c r="MI1" s="1088"/>
      <c r="MJ1" s="1087" t="s">
        <v>21</v>
      </c>
      <c r="MK1" s="1088"/>
      <c r="ML1" s="1087" t="s">
        <v>44</v>
      </c>
      <c r="MM1" s="1088"/>
      <c r="MN1" s="1087" t="s">
        <v>45</v>
      </c>
      <c r="MO1" s="1088"/>
      <c r="MP1" s="1087" t="s">
        <v>46</v>
      </c>
      <c r="MQ1" s="1088"/>
    </row>
    <row r="2" spans="1:355" ht="19.5" thickBot="1">
      <c r="A2" s="329" t="s">
        <v>56</v>
      </c>
      <c r="B2" s="330" t="s">
        <v>393</v>
      </c>
      <c r="C2" s="330" t="s">
        <v>381</v>
      </c>
      <c r="D2" s="330" t="s">
        <v>5</v>
      </c>
      <c r="E2" s="330" t="s">
        <v>6</v>
      </c>
      <c r="F2" s="330" t="s">
        <v>382</v>
      </c>
      <c r="G2" s="330" t="s">
        <v>383</v>
      </c>
      <c r="H2" s="330" t="s">
        <v>5</v>
      </c>
      <c r="I2" s="331" t="s">
        <v>6</v>
      </c>
      <c r="J2" s="332" t="s">
        <v>408</v>
      </c>
      <c r="K2" s="329" t="s">
        <v>381</v>
      </c>
      <c r="L2" s="330" t="s">
        <v>383</v>
      </c>
      <c r="M2" s="330" t="s">
        <v>406</v>
      </c>
      <c r="N2" s="330" t="s">
        <v>59</v>
      </c>
      <c r="O2" s="330" t="s">
        <v>414</v>
      </c>
      <c r="P2" s="333" t="s">
        <v>415</v>
      </c>
      <c r="R2" s="833"/>
      <c r="S2" s="833">
        <v>1</v>
      </c>
      <c r="T2" s="833"/>
      <c r="U2" s="833"/>
      <c r="V2" s="833">
        <v>2</v>
      </c>
      <c r="W2" s="833"/>
      <c r="X2" s="833"/>
      <c r="Y2" s="833">
        <v>3</v>
      </c>
      <c r="Z2" s="833"/>
      <c r="AA2" s="833"/>
      <c r="AB2" s="833">
        <v>4</v>
      </c>
      <c r="AC2" s="833"/>
      <c r="AD2" s="833"/>
      <c r="AE2" s="833">
        <v>5</v>
      </c>
      <c r="AF2" s="833"/>
      <c r="AG2" s="833"/>
      <c r="AH2" s="833">
        <v>6</v>
      </c>
      <c r="AI2" s="833"/>
      <c r="AJ2" s="833"/>
      <c r="AK2" s="1035"/>
      <c r="AL2" s="1036"/>
      <c r="AM2" s="901"/>
      <c r="AN2" s="854"/>
      <c r="AO2" s="117"/>
      <c r="AP2" s="833"/>
      <c r="AQ2" s="833">
        <v>1</v>
      </c>
      <c r="AR2" s="833"/>
      <c r="AS2" s="833"/>
      <c r="AT2" s="833">
        <v>2</v>
      </c>
      <c r="AU2" s="833"/>
      <c r="AV2" s="833"/>
      <c r="AW2" s="833">
        <v>3</v>
      </c>
      <c r="AX2" s="833"/>
      <c r="AY2" s="833"/>
      <c r="AZ2" s="833">
        <v>4</v>
      </c>
      <c r="BA2" s="833"/>
      <c r="BB2" s="833"/>
      <c r="BC2" s="833">
        <v>5</v>
      </c>
      <c r="BD2" s="833"/>
      <c r="BE2" s="833"/>
      <c r="BF2" s="833">
        <v>6</v>
      </c>
      <c r="BG2" s="833"/>
      <c r="BH2" s="833"/>
      <c r="BI2" s="1035"/>
      <c r="BJ2" s="900"/>
      <c r="BK2" s="901"/>
      <c r="BL2" s="854"/>
      <c r="BM2" s="117"/>
      <c r="BN2" s="833"/>
      <c r="BO2" s="833">
        <v>1</v>
      </c>
      <c r="BP2" s="833"/>
      <c r="BQ2" s="833"/>
      <c r="BR2" s="833">
        <v>2</v>
      </c>
      <c r="BS2" s="833"/>
      <c r="BT2" s="833"/>
      <c r="BU2" s="833">
        <v>3</v>
      </c>
      <c r="BV2" s="833"/>
      <c r="BW2" s="833"/>
      <c r="BX2" s="833">
        <v>4</v>
      </c>
      <c r="BY2" s="833"/>
      <c r="BZ2" s="833"/>
      <c r="CA2" s="833">
        <v>5</v>
      </c>
      <c r="CB2" s="833"/>
      <c r="CC2" s="833"/>
      <c r="CD2" s="833">
        <v>6</v>
      </c>
      <c r="CE2" s="833"/>
      <c r="CF2" s="833"/>
      <c r="CG2" s="1035"/>
      <c r="CH2" s="901"/>
      <c r="CI2" s="1037"/>
      <c r="CJ2" s="854"/>
      <c r="CL2" s="833"/>
      <c r="CM2" s="833">
        <v>1</v>
      </c>
      <c r="CN2" s="833"/>
      <c r="CO2" s="833"/>
      <c r="CP2" s="833">
        <v>2</v>
      </c>
      <c r="CQ2" s="833"/>
      <c r="CR2" s="833"/>
      <c r="CS2" s="833">
        <v>3</v>
      </c>
      <c r="CT2" s="833"/>
      <c r="CU2" s="833"/>
      <c r="CV2" s="833">
        <v>4</v>
      </c>
      <c r="CW2" s="833"/>
      <c r="CX2" s="833"/>
      <c r="CY2" s="833">
        <v>5</v>
      </c>
      <c r="CZ2" s="833"/>
      <c r="DA2" s="833"/>
      <c r="DB2" s="833">
        <v>6</v>
      </c>
      <c r="DC2" s="833"/>
      <c r="DD2" s="833"/>
      <c r="DE2" s="1035"/>
      <c r="DF2" s="901"/>
      <c r="DG2" s="1037"/>
      <c r="DH2" s="854"/>
      <c r="DJ2" s="833"/>
      <c r="DK2" s="833">
        <v>1</v>
      </c>
      <c r="DL2" s="833"/>
      <c r="DM2" s="833"/>
      <c r="DN2" s="833">
        <v>2</v>
      </c>
      <c r="DO2" s="833"/>
      <c r="DP2" s="833"/>
      <c r="DQ2" s="833">
        <v>3</v>
      </c>
      <c r="DR2" s="833"/>
      <c r="DS2" s="833"/>
      <c r="DT2" s="833">
        <v>4</v>
      </c>
      <c r="DU2" s="833"/>
      <c r="DV2" s="833"/>
      <c r="DW2" s="833">
        <v>5</v>
      </c>
      <c r="DX2" s="833"/>
      <c r="DY2" s="833"/>
      <c r="DZ2" s="833">
        <v>6</v>
      </c>
      <c r="EA2" s="833"/>
      <c r="EB2" s="833"/>
      <c r="EC2" s="1035"/>
      <c r="ED2" s="901"/>
      <c r="EE2" s="1037"/>
      <c r="EF2" s="854"/>
      <c r="EH2" s="833"/>
      <c r="EI2" s="833">
        <v>1</v>
      </c>
      <c r="EJ2" s="833"/>
      <c r="EK2" s="833"/>
      <c r="EL2" s="833">
        <v>2</v>
      </c>
      <c r="EM2" s="833"/>
      <c r="EN2" s="833"/>
      <c r="EO2" s="833">
        <v>3</v>
      </c>
      <c r="EP2" s="833"/>
      <c r="EQ2" s="833"/>
      <c r="ER2" s="833">
        <v>4</v>
      </c>
      <c r="ES2" s="833"/>
      <c r="ET2" s="833"/>
      <c r="EU2" s="833">
        <v>5</v>
      </c>
      <c r="EV2" s="833"/>
      <c r="EW2" s="833"/>
      <c r="EX2" s="833">
        <v>6</v>
      </c>
      <c r="EY2" s="833"/>
      <c r="EZ2" s="833"/>
      <c r="FA2" s="1035"/>
      <c r="FB2" s="901"/>
      <c r="FC2" s="1037"/>
      <c r="FD2" s="854"/>
      <c r="FF2" s="833"/>
      <c r="FG2" s="833">
        <v>1</v>
      </c>
      <c r="FH2" s="833"/>
      <c r="FI2" s="833"/>
      <c r="FJ2" s="833">
        <v>2</v>
      </c>
      <c r="FK2" s="833"/>
      <c r="FL2" s="833"/>
      <c r="FM2" s="833">
        <v>3</v>
      </c>
      <c r="FN2" s="833"/>
      <c r="FO2" s="833"/>
      <c r="FP2" s="833">
        <v>4</v>
      </c>
      <c r="FQ2" s="833"/>
      <c r="FR2" s="833"/>
      <c r="FS2" s="833">
        <v>5</v>
      </c>
      <c r="FT2" s="833"/>
      <c r="FU2" s="833"/>
      <c r="FV2" s="833">
        <v>6</v>
      </c>
      <c r="FW2" s="833"/>
      <c r="FX2" s="833"/>
      <c r="FY2" s="1035"/>
      <c r="FZ2" s="901"/>
      <c r="GA2" s="1037"/>
      <c r="GB2" s="854"/>
      <c r="GD2" s="833"/>
      <c r="GE2" s="833">
        <v>1</v>
      </c>
      <c r="GF2" s="833"/>
      <c r="GG2" s="833"/>
      <c r="GH2" s="833">
        <v>2</v>
      </c>
      <c r="GI2" s="833"/>
      <c r="GJ2" s="833"/>
      <c r="GK2" s="833">
        <v>3</v>
      </c>
      <c r="GL2" s="833"/>
      <c r="GM2" s="833"/>
      <c r="GN2" s="833">
        <v>4</v>
      </c>
      <c r="GO2" s="833"/>
      <c r="GP2" s="833"/>
      <c r="GQ2" s="833">
        <v>5</v>
      </c>
      <c r="GR2" s="833"/>
      <c r="GS2" s="833"/>
      <c r="GT2" s="833">
        <v>6</v>
      </c>
      <c r="GU2" s="833"/>
      <c r="GV2" s="833"/>
      <c r="GW2" s="1035"/>
      <c r="GX2" s="901"/>
      <c r="GY2" s="1037"/>
      <c r="GZ2" s="854"/>
      <c r="HB2" s="833"/>
      <c r="HC2" s="833">
        <v>1</v>
      </c>
      <c r="HD2" s="833"/>
      <c r="HE2" s="833"/>
      <c r="HF2" s="833">
        <v>2</v>
      </c>
      <c r="HG2" s="833"/>
      <c r="HH2" s="833"/>
      <c r="HI2" s="833">
        <v>3</v>
      </c>
      <c r="HJ2" s="833"/>
      <c r="HK2" s="833"/>
      <c r="HL2" s="833">
        <v>4</v>
      </c>
      <c r="HM2" s="833"/>
      <c r="HN2" s="833"/>
      <c r="HO2" s="833">
        <v>5</v>
      </c>
      <c r="HP2" s="833"/>
      <c r="HQ2" s="833"/>
      <c r="HR2" s="833">
        <v>6</v>
      </c>
      <c r="HS2" s="833"/>
      <c r="HT2" s="833"/>
      <c r="HU2" s="1035"/>
      <c r="HV2" s="901"/>
      <c r="HW2" s="1037"/>
      <c r="HX2" s="854"/>
      <c r="HZ2" s="833"/>
      <c r="IA2" s="833">
        <v>1</v>
      </c>
      <c r="IB2" s="833"/>
      <c r="IC2" s="833"/>
      <c r="ID2" s="833">
        <v>2</v>
      </c>
      <c r="IE2" s="833"/>
      <c r="IF2" s="833"/>
      <c r="IG2" s="833">
        <v>3</v>
      </c>
      <c r="IH2" s="833"/>
      <c r="II2" s="833"/>
      <c r="IJ2" s="833">
        <v>4</v>
      </c>
      <c r="IK2" s="833"/>
      <c r="IL2" s="833"/>
      <c r="IM2" s="833">
        <v>5</v>
      </c>
      <c r="IN2" s="833"/>
      <c r="IO2" s="833"/>
      <c r="IP2" s="833">
        <v>6</v>
      </c>
      <c r="IQ2" s="833"/>
      <c r="IR2" s="833"/>
      <c r="IS2" s="1035"/>
      <c r="IT2" s="901"/>
      <c r="IU2" s="1037"/>
      <c r="IV2" s="854"/>
      <c r="IX2" s="833"/>
      <c r="IY2" s="833">
        <v>1</v>
      </c>
      <c r="IZ2" s="833"/>
      <c r="JA2" s="833"/>
      <c r="JB2" s="833">
        <v>2</v>
      </c>
      <c r="JC2" s="833"/>
      <c r="JD2" s="833"/>
      <c r="JE2" s="833">
        <v>3</v>
      </c>
      <c r="JF2" s="833"/>
      <c r="JG2" s="833"/>
      <c r="JH2" s="833">
        <v>4</v>
      </c>
      <c r="JI2" s="833"/>
      <c r="JJ2" s="833"/>
      <c r="JK2" s="833">
        <v>5</v>
      </c>
      <c r="JL2" s="833"/>
      <c r="JM2" s="833"/>
      <c r="JN2" s="833">
        <v>6</v>
      </c>
      <c r="JO2" s="833"/>
      <c r="JP2" s="833"/>
      <c r="JQ2" s="1035"/>
      <c r="JR2" s="901"/>
      <c r="JS2" s="1037"/>
      <c r="JT2" s="854"/>
      <c r="JV2" s="833"/>
      <c r="JW2" s="833">
        <v>1</v>
      </c>
      <c r="JX2" s="833"/>
      <c r="JY2" s="833"/>
      <c r="JZ2" s="833">
        <v>2</v>
      </c>
      <c r="KA2" s="833"/>
      <c r="KB2" s="833"/>
      <c r="KC2" s="833">
        <v>3</v>
      </c>
      <c r="KD2" s="833"/>
      <c r="KE2" s="833"/>
      <c r="KF2" s="833">
        <v>4</v>
      </c>
      <c r="KG2" s="833"/>
      <c r="KH2" s="833"/>
      <c r="KI2" s="833">
        <v>5</v>
      </c>
      <c r="KJ2" s="833"/>
      <c r="KK2" s="833"/>
      <c r="KL2" s="833">
        <v>6</v>
      </c>
      <c r="KM2" s="833"/>
      <c r="KN2" s="833"/>
      <c r="KO2" s="1035"/>
      <c r="KP2" s="901"/>
      <c r="KQ2" s="1037"/>
      <c r="KR2" s="854"/>
      <c r="KT2" s="833"/>
      <c r="KU2" s="833">
        <v>1</v>
      </c>
      <c r="KV2" s="833"/>
      <c r="KW2" s="833"/>
      <c r="KX2" s="833">
        <v>2</v>
      </c>
      <c r="KY2" s="833"/>
      <c r="KZ2" s="833"/>
      <c r="LA2" s="833">
        <v>3</v>
      </c>
      <c r="LB2" s="833"/>
      <c r="LC2" s="833"/>
      <c r="LD2" s="833">
        <v>4</v>
      </c>
      <c r="LE2" s="833"/>
      <c r="LF2" s="833"/>
      <c r="LG2" s="833">
        <v>5</v>
      </c>
      <c r="LH2" s="833"/>
      <c r="LI2" s="833"/>
      <c r="LJ2" s="833">
        <v>6</v>
      </c>
      <c r="LK2" s="833"/>
      <c r="LL2" s="833"/>
      <c r="LM2" s="1035"/>
      <c r="LN2" s="901"/>
      <c r="LO2" s="1037"/>
      <c r="LP2" s="854"/>
      <c r="LR2" s="295" t="s">
        <v>1</v>
      </c>
      <c r="LS2" s="296" t="s">
        <v>52</v>
      </c>
      <c r="LT2" s="295" t="s">
        <v>1</v>
      </c>
      <c r="LU2" s="296" t="s">
        <v>52</v>
      </c>
      <c r="LV2" s="295" t="s">
        <v>1</v>
      </c>
      <c r="LW2" s="498" t="s">
        <v>52</v>
      </c>
      <c r="LX2" s="499" t="s">
        <v>1</v>
      </c>
      <c r="LY2" s="505" t="s">
        <v>52</v>
      </c>
      <c r="LZ2" s="499" t="s">
        <v>1</v>
      </c>
      <c r="MA2" s="505" t="s">
        <v>52</v>
      </c>
      <c r="MB2" s="499" t="s">
        <v>1</v>
      </c>
      <c r="MC2" s="505" t="s">
        <v>52</v>
      </c>
      <c r="MD2" s="499" t="s">
        <v>1</v>
      </c>
      <c r="ME2" s="505" t="s">
        <v>52</v>
      </c>
      <c r="MF2" s="499" t="s">
        <v>1</v>
      </c>
      <c r="MG2" s="505" t="s">
        <v>52</v>
      </c>
      <c r="MH2" s="499" t="s">
        <v>1</v>
      </c>
      <c r="MI2" s="505" t="s">
        <v>52</v>
      </c>
      <c r="MJ2" s="499" t="s">
        <v>1</v>
      </c>
      <c r="MK2" s="505" t="s">
        <v>52</v>
      </c>
      <c r="ML2" s="499" t="s">
        <v>1</v>
      </c>
      <c r="MM2" s="505" t="s">
        <v>52</v>
      </c>
      <c r="MN2" s="499" t="s">
        <v>1</v>
      </c>
      <c r="MO2" s="505" t="s">
        <v>52</v>
      </c>
      <c r="MP2" s="499" t="s">
        <v>1</v>
      </c>
      <c r="MQ2" s="500" t="s">
        <v>52</v>
      </c>
    </row>
    <row r="3" spans="1:355" ht="15.75">
      <c r="A3" s="987" t="s">
        <v>409</v>
      </c>
      <c r="B3" s="990" t="s">
        <v>394</v>
      </c>
      <c r="C3" s="334" t="s">
        <v>67</v>
      </c>
      <c r="D3" s="334">
        <v>3</v>
      </c>
      <c r="E3" s="334" t="s">
        <v>395</v>
      </c>
      <c r="F3" s="334" t="s">
        <v>385</v>
      </c>
      <c r="G3" s="334" t="s">
        <v>72</v>
      </c>
      <c r="H3" s="334">
        <v>3</v>
      </c>
      <c r="I3" s="335" t="s">
        <v>384</v>
      </c>
      <c r="J3" s="993">
        <v>6</v>
      </c>
      <c r="K3" s="336">
        <v>1</v>
      </c>
      <c r="L3" s="337">
        <v>1</v>
      </c>
      <c r="M3" s="337">
        <v>3</v>
      </c>
      <c r="N3" s="337">
        <v>3.5</v>
      </c>
      <c r="O3" s="337">
        <f t="shared" ref="O3:O17" si="0">(K3+L3+M3)*N3</f>
        <v>17.5</v>
      </c>
      <c r="P3" s="996">
        <f>SUM(O3:O5)</f>
        <v>49</v>
      </c>
      <c r="R3" s="873">
        <v>46023</v>
      </c>
      <c r="S3" s="834"/>
      <c r="T3" s="835"/>
      <c r="U3" s="836"/>
      <c r="V3" s="943"/>
      <c r="W3" s="944"/>
      <c r="X3" s="945"/>
      <c r="Y3" s="834"/>
      <c r="Z3" s="835"/>
      <c r="AA3" s="836"/>
      <c r="AB3" s="834"/>
      <c r="AC3" s="835"/>
      <c r="AD3" s="836"/>
      <c r="AE3" s="834"/>
      <c r="AF3" s="835"/>
      <c r="AG3" s="836"/>
      <c r="AH3" s="834"/>
      <c r="AI3" s="835"/>
      <c r="AJ3" s="835"/>
      <c r="AK3" s="459" t="s">
        <v>425</v>
      </c>
      <c r="AL3" s="1">
        <f>COUNTA(S3:AJ3)</f>
        <v>0</v>
      </c>
      <c r="AM3" s="939"/>
      <c r="AN3" s="855">
        <v>76.900000000000006</v>
      </c>
      <c r="AO3" s="118"/>
      <c r="AP3" s="864">
        <v>46054</v>
      </c>
      <c r="AQ3" s="849" t="s">
        <v>434</v>
      </c>
      <c r="AR3" s="849"/>
      <c r="AS3" s="849"/>
      <c r="AT3" s="849" t="s">
        <v>72</v>
      </c>
      <c r="AU3" s="849"/>
      <c r="AV3" s="849"/>
      <c r="AW3" s="890" t="s">
        <v>435</v>
      </c>
      <c r="AX3" s="890"/>
      <c r="AY3" s="890"/>
      <c r="AZ3" s="848" t="s">
        <v>68</v>
      </c>
      <c r="BA3" s="848"/>
      <c r="BB3" s="848"/>
      <c r="BC3" s="882" t="s">
        <v>123</v>
      </c>
      <c r="BD3" s="883"/>
      <c r="BE3" s="884"/>
      <c r="BF3" s="834"/>
      <c r="BG3" s="835"/>
      <c r="BH3" s="835"/>
      <c r="BI3" s="459" t="s">
        <v>425</v>
      </c>
      <c r="BJ3" s="482">
        <f>COUNTA(AQ3:BH3)</f>
        <v>5</v>
      </c>
      <c r="BK3" s="939"/>
      <c r="BL3" s="1016">
        <v>77.7</v>
      </c>
      <c r="BM3" s="118"/>
      <c r="BN3" s="864">
        <v>46082</v>
      </c>
      <c r="BO3" s="965" t="s">
        <v>131</v>
      </c>
      <c r="BP3" s="965"/>
      <c r="BQ3" s="965"/>
      <c r="BR3" s="849" t="s">
        <v>72</v>
      </c>
      <c r="BS3" s="849"/>
      <c r="BT3" s="849"/>
      <c r="BU3" s="965" t="s">
        <v>779</v>
      </c>
      <c r="BV3" s="965"/>
      <c r="BW3" s="965"/>
      <c r="BX3" s="848" t="s">
        <v>68</v>
      </c>
      <c r="BY3" s="848"/>
      <c r="BZ3" s="848"/>
      <c r="CA3" s="882" t="s">
        <v>123</v>
      </c>
      <c r="CB3" s="883"/>
      <c r="CC3" s="884"/>
      <c r="CD3" s="834"/>
      <c r="CE3" s="835"/>
      <c r="CF3" s="835"/>
      <c r="CG3" s="459" t="s">
        <v>425</v>
      </c>
      <c r="CH3" s="482">
        <f>COUNTA(BO3:CF3)</f>
        <v>5</v>
      </c>
      <c r="CI3" s="939">
        <v>8</v>
      </c>
      <c r="CJ3" s="1016">
        <v>77.8</v>
      </c>
      <c r="CL3" s="1038">
        <v>46113</v>
      </c>
      <c r="CM3" s="844"/>
      <c r="CN3" s="844"/>
      <c r="CO3" s="844"/>
      <c r="CP3" s="844"/>
      <c r="CQ3" s="844"/>
      <c r="CR3" s="844"/>
      <c r="CS3" s="844"/>
      <c r="CT3" s="844"/>
      <c r="CU3" s="844"/>
      <c r="CV3" s="844"/>
      <c r="CW3" s="844"/>
      <c r="CX3" s="844"/>
      <c r="CY3" s="834"/>
      <c r="CZ3" s="835"/>
      <c r="DA3" s="836"/>
      <c r="DB3" s="834"/>
      <c r="DC3" s="835"/>
      <c r="DD3" s="835"/>
      <c r="DE3" s="459" t="s">
        <v>425</v>
      </c>
      <c r="DF3" s="482">
        <f>COUNTA(CM3:DD3)</f>
        <v>0</v>
      </c>
      <c r="DG3" s="939">
        <v>0</v>
      </c>
      <c r="DH3" s="1016">
        <f>CJ93</f>
        <v>78.599999999999994</v>
      </c>
      <c r="DJ3" s="1048">
        <v>46143</v>
      </c>
      <c r="DK3" s="960"/>
      <c r="DL3" s="960"/>
      <c r="DM3" s="960"/>
      <c r="DN3" s="960"/>
      <c r="DO3" s="960"/>
      <c r="DP3" s="960"/>
      <c r="DQ3" s="960"/>
      <c r="DR3" s="960"/>
      <c r="DS3" s="960"/>
      <c r="DT3" s="960"/>
      <c r="DU3" s="960"/>
      <c r="DV3" s="960"/>
      <c r="DW3" s="961"/>
      <c r="DX3" s="962"/>
      <c r="DY3" s="963"/>
      <c r="DZ3" s="961"/>
      <c r="EA3" s="962"/>
      <c r="EB3" s="962"/>
      <c r="EC3" s="459" t="s">
        <v>425</v>
      </c>
      <c r="ED3" s="482">
        <f>COUNTA(DK3:EB3)</f>
        <v>0</v>
      </c>
      <c r="EE3" s="939"/>
      <c r="EF3" s="1016"/>
      <c r="EH3" s="1064">
        <v>46174</v>
      </c>
      <c r="EI3" s="960"/>
      <c r="EJ3" s="960"/>
      <c r="EK3" s="960"/>
      <c r="EL3" s="960"/>
      <c r="EM3" s="960"/>
      <c r="EN3" s="960"/>
      <c r="EO3" s="960"/>
      <c r="EP3" s="960"/>
      <c r="EQ3" s="960"/>
      <c r="ER3" s="960"/>
      <c r="ES3" s="960"/>
      <c r="ET3" s="960"/>
      <c r="EU3" s="961"/>
      <c r="EV3" s="962"/>
      <c r="EW3" s="963"/>
      <c r="EX3" s="961"/>
      <c r="EY3" s="962"/>
      <c r="EZ3" s="962"/>
      <c r="FA3" s="459" t="s">
        <v>425</v>
      </c>
      <c r="FB3" s="482">
        <f>COUNTA(EI3:EZ3)</f>
        <v>0</v>
      </c>
      <c r="FC3" s="939"/>
      <c r="FD3" s="1016"/>
      <c r="FF3" s="1038">
        <v>46204</v>
      </c>
      <c r="FG3" s="960"/>
      <c r="FH3" s="960"/>
      <c r="FI3" s="960"/>
      <c r="FJ3" s="960"/>
      <c r="FK3" s="960"/>
      <c r="FL3" s="960"/>
      <c r="FM3" s="960"/>
      <c r="FN3" s="960"/>
      <c r="FO3" s="960"/>
      <c r="FP3" s="960"/>
      <c r="FQ3" s="960"/>
      <c r="FR3" s="960"/>
      <c r="FS3" s="961"/>
      <c r="FT3" s="962"/>
      <c r="FU3" s="963"/>
      <c r="FV3" s="961"/>
      <c r="FW3" s="962"/>
      <c r="FX3" s="962"/>
      <c r="FY3" s="459" t="s">
        <v>425</v>
      </c>
      <c r="FZ3" s="482">
        <f>COUNTA(FG3:FX3)</f>
        <v>0</v>
      </c>
      <c r="GA3" s="939"/>
      <c r="GB3" s="1016"/>
      <c r="GD3" s="1051">
        <v>46235</v>
      </c>
      <c r="GE3" s="1023"/>
      <c r="GF3" s="1023"/>
      <c r="GG3" s="1023"/>
      <c r="GH3" s="1023"/>
      <c r="GI3" s="1023"/>
      <c r="GJ3" s="1023"/>
      <c r="GK3" s="1023"/>
      <c r="GL3" s="1023"/>
      <c r="GM3" s="1023"/>
      <c r="GN3" s="1023"/>
      <c r="GO3" s="1023"/>
      <c r="GP3" s="1023"/>
      <c r="GQ3" s="1021"/>
      <c r="GR3" s="1022"/>
      <c r="GS3" s="1024"/>
      <c r="GT3" s="1021"/>
      <c r="GU3" s="1022"/>
      <c r="GV3" s="1022"/>
      <c r="GW3" s="489" t="s">
        <v>425</v>
      </c>
      <c r="GX3" s="496">
        <f>COUNTA(GE3:GV3)</f>
        <v>0</v>
      </c>
      <c r="GY3" s="1067"/>
      <c r="GZ3" s="1070"/>
      <c r="HB3" s="1074">
        <v>46266</v>
      </c>
      <c r="HC3" s="960"/>
      <c r="HD3" s="960"/>
      <c r="HE3" s="960"/>
      <c r="HF3" s="960"/>
      <c r="HG3" s="960"/>
      <c r="HH3" s="960"/>
      <c r="HI3" s="960"/>
      <c r="HJ3" s="960"/>
      <c r="HK3" s="960"/>
      <c r="HL3" s="960"/>
      <c r="HM3" s="960"/>
      <c r="HN3" s="960"/>
      <c r="HO3" s="961"/>
      <c r="HP3" s="962"/>
      <c r="HQ3" s="963"/>
      <c r="HR3" s="961"/>
      <c r="HS3" s="962"/>
      <c r="HT3" s="962"/>
      <c r="HU3" s="459" t="s">
        <v>425</v>
      </c>
      <c r="HV3" s="482">
        <f>COUNTA(HC3:HT3)</f>
        <v>0</v>
      </c>
      <c r="HW3" s="939"/>
      <c r="HX3" s="1016"/>
      <c r="HZ3" s="1041">
        <v>46296</v>
      </c>
      <c r="IA3" s="960"/>
      <c r="IB3" s="960"/>
      <c r="IC3" s="960"/>
      <c r="ID3" s="960"/>
      <c r="IE3" s="960"/>
      <c r="IF3" s="960"/>
      <c r="IG3" s="960"/>
      <c r="IH3" s="960"/>
      <c r="II3" s="960"/>
      <c r="IJ3" s="960"/>
      <c r="IK3" s="960"/>
      <c r="IL3" s="960"/>
      <c r="IM3" s="961"/>
      <c r="IN3" s="962"/>
      <c r="IO3" s="963"/>
      <c r="IP3" s="961"/>
      <c r="IQ3" s="962"/>
      <c r="IR3" s="962"/>
      <c r="IS3" s="459" t="s">
        <v>425</v>
      </c>
      <c r="IT3" s="482">
        <f>COUNTA(IA3:IR3)</f>
        <v>0</v>
      </c>
      <c r="IU3" s="939"/>
      <c r="IV3" s="1016"/>
      <c r="IX3" s="1061">
        <v>46327</v>
      </c>
      <c r="IY3" s="960"/>
      <c r="IZ3" s="960"/>
      <c r="JA3" s="960"/>
      <c r="JB3" s="960"/>
      <c r="JC3" s="960"/>
      <c r="JD3" s="960"/>
      <c r="JE3" s="960"/>
      <c r="JF3" s="960"/>
      <c r="JG3" s="960"/>
      <c r="JH3" s="960"/>
      <c r="JI3" s="960"/>
      <c r="JJ3" s="960"/>
      <c r="JK3" s="961"/>
      <c r="JL3" s="962"/>
      <c r="JM3" s="963"/>
      <c r="JN3" s="961"/>
      <c r="JO3" s="962"/>
      <c r="JP3" s="962"/>
      <c r="JQ3" s="459" t="s">
        <v>425</v>
      </c>
      <c r="JR3" s="482">
        <f>COUNTA(IY3:JP3)</f>
        <v>0</v>
      </c>
      <c r="JS3" s="939"/>
      <c r="JT3" s="1016"/>
      <c r="JV3" s="1074">
        <v>46357</v>
      </c>
      <c r="JW3" s="960"/>
      <c r="JX3" s="960"/>
      <c r="JY3" s="960"/>
      <c r="JZ3" s="960"/>
      <c r="KA3" s="960"/>
      <c r="KB3" s="960"/>
      <c r="KC3" s="960"/>
      <c r="KD3" s="960"/>
      <c r="KE3" s="960"/>
      <c r="KF3" s="960"/>
      <c r="KG3" s="960"/>
      <c r="KH3" s="960"/>
      <c r="KI3" s="961"/>
      <c r="KJ3" s="962"/>
      <c r="KK3" s="963"/>
      <c r="KL3" s="961"/>
      <c r="KM3" s="962"/>
      <c r="KN3" s="962"/>
      <c r="KO3" s="459" t="s">
        <v>425</v>
      </c>
      <c r="KP3" s="482">
        <f>COUNTA(JW3:KN3)</f>
        <v>0</v>
      </c>
      <c r="KQ3" s="939"/>
      <c r="KR3" s="1016"/>
      <c r="KT3" s="1048">
        <v>46388</v>
      </c>
      <c r="KU3" s="960"/>
      <c r="KV3" s="960"/>
      <c r="KW3" s="960"/>
      <c r="KX3" s="960"/>
      <c r="KY3" s="960"/>
      <c r="KZ3" s="960"/>
      <c r="LA3" s="960"/>
      <c r="LB3" s="960"/>
      <c r="LC3" s="960"/>
      <c r="LD3" s="960"/>
      <c r="LE3" s="960"/>
      <c r="LF3" s="960"/>
      <c r="LG3" s="961"/>
      <c r="LH3" s="962"/>
      <c r="LI3" s="963"/>
      <c r="LJ3" s="961"/>
      <c r="LK3" s="962"/>
      <c r="LL3" s="962"/>
      <c r="LM3" s="459" t="s">
        <v>425</v>
      </c>
      <c r="LN3" s="482">
        <f>COUNTA(KU3:LL3)</f>
        <v>0</v>
      </c>
      <c r="LO3" s="939"/>
      <c r="LP3" s="1016"/>
      <c r="LR3" s="60">
        <v>1</v>
      </c>
      <c r="LS3" s="62" t="str" cm="1">
        <f t="array" ref="LS3">IF(INDEX(S:S, (ROW()-ROW($S$3))*3 + 3) &lt;&gt; "", "✔", "")</f>
        <v/>
      </c>
      <c r="LT3" s="60">
        <v>1</v>
      </c>
      <c r="LU3" s="62" t="str" cm="1">
        <f t="array" ref="LU3">IF(INDEX(AQ:AQ, (ROW()-ROW($AQ$3))*3 + 3) &lt;&gt; "", "✔", "")</f>
        <v>✔</v>
      </c>
      <c r="LV3" s="60">
        <v>1</v>
      </c>
      <c r="LW3" s="501" t="str" cm="1">
        <f t="array" ref="LW3">IF(INDEX(BO:BO, (ROW()-ROW($BO$3))*3 + 3) &lt;&gt; "", "✔", "")</f>
        <v>✔</v>
      </c>
      <c r="LX3" s="507">
        <v>1</v>
      </c>
      <c r="LY3" s="509" t="str" cm="1">
        <f t="array" ref="LY3">IF(INDEX(CM:CM, (ROW()-ROW($CM$3))*3 + 3) &lt;&gt; "", "✔", "")</f>
        <v/>
      </c>
      <c r="LZ3" s="507">
        <v>1</v>
      </c>
      <c r="MA3" s="509" t="str" cm="1">
        <f t="array" ref="MA3">IF(INDEX(DK:DK, (ROW()-ROW($DK$3))*3 + 3) &lt;&gt; "", "✔", "")</f>
        <v/>
      </c>
      <c r="MB3" s="507">
        <v>1</v>
      </c>
      <c r="MC3" s="509" t="str" cm="1">
        <f t="array" ref="MC3">IF(INDEX(EI:EI, (ROW()-ROW($EI$3))*3 + 3) &lt;&gt; "", "✔", "")</f>
        <v/>
      </c>
      <c r="MD3" s="507">
        <v>1</v>
      </c>
      <c r="ME3" s="509" t="str" cm="1">
        <f t="array" ref="ME3">IF(INDEX(FG:FG, (ROW()-ROW($FG$3))*3 + 3) &lt;&gt; "", "✔", "")</f>
        <v/>
      </c>
      <c r="MF3" s="507">
        <v>1</v>
      </c>
      <c r="MG3" s="509" t="str" cm="1">
        <f t="array" ref="MG3">IF(INDEX(GE:GE, (ROW()-ROW($GE$3))*3 + 3) &lt;&gt; "", "✔", "")</f>
        <v/>
      </c>
      <c r="MH3" s="507">
        <v>1</v>
      </c>
      <c r="MI3" s="509" t="str" cm="1">
        <f t="array" ref="MI3">IF(INDEX(HC:HC, (ROW()-ROW($HC$3))*3 + 3) &lt;&gt; "", "✔", "")</f>
        <v/>
      </c>
      <c r="MJ3" s="507">
        <v>1</v>
      </c>
      <c r="MK3" s="509" t="str" cm="1">
        <f t="array" ref="MK3">IF(INDEX(IA:IA, (ROW()-ROW($IA$3))*3 + 3) &lt;&gt; "", "✔", "")</f>
        <v/>
      </c>
      <c r="ML3" s="507">
        <v>1</v>
      </c>
      <c r="MM3" s="509" t="str" cm="1">
        <f t="array" ref="MM3">IF(INDEX(IY:IY, (ROW()-ROW($IY$3))*3 + 3) &lt;&gt; "", "✔", "")</f>
        <v/>
      </c>
      <c r="MN3" s="507">
        <v>1</v>
      </c>
      <c r="MO3" s="509" t="str" cm="1">
        <f t="array" ref="MO3">IF(INDEX(JW:JW, (ROW()-ROW($JW$3))*3 + 3) &lt;&gt; "", "✔", "")</f>
        <v/>
      </c>
      <c r="MP3" s="507">
        <v>1</v>
      </c>
      <c r="MQ3" s="508" t="str" cm="1">
        <f t="array" ref="MQ3">IF(INDEX(KU:KU, (ROW()-ROW($KU$3))*3 + 3) &lt;&gt; "", "✔", "")</f>
        <v/>
      </c>
    </row>
    <row r="4" spans="1:355" ht="15.75">
      <c r="A4" s="988"/>
      <c r="B4" s="991"/>
      <c r="C4" s="277" t="s">
        <v>13</v>
      </c>
      <c r="D4" s="277">
        <v>3</v>
      </c>
      <c r="E4" s="277" t="s">
        <v>384</v>
      </c>
      <c r="F4" s="277" t="s">
        <v>387</v>
      </c>
      <c r="G4" s="277" t="s">
        <v>99</v>
      </c>
      <c r="H4" s="277">
        <v>3</v>
      </c>
      <c r="I4" s="338" t="s">
        <v>386</v>
      </c>
      <c r="J4" s="994"/>
      <c r="K4" s="339">
        <v>1</v>
      </c>
      <c r="L4" s="340">
        <v>1</v>
      </c>
      <c r="M4" s="340">
        <v>3</v>
      </c>
      <c r="N4" s="340">
        <v>3.5</v>
      </c>
      <c r="O4" s="340">
        <f t="shared" si="0"/>
        <v>17.5</v>
      </c>
      <c r="P4" s="997"/>
      <c r="R4" s="874"/>
      <c r="S4" s="107"/>
      <c r="T4" s="107"/>
      <c r="U4" s="108"/>
      <c r="V4" s="107"/>
      <c r="W4" s="107"/>
      <c r="X4" s="108"/>
      <c r="Y4" s="107"/>
      <c r="Z4" s="107"/>
      <c r="AA4" s="108"/>
      <c r="AB4" s="107"/>
      <c r="AC4" s="107"/>
      <c r="AD4" s="108"/>
      <c r="AE4" s="107"/>
      <c r="AF4" s="107"/>
      <c r="AG4" s="108"/>
      <c r="AH4" s="107"/>
      <c r="AI4" s="107"/>
      <c r="AJ4" s="471"/>
      <c r="AK4" s="1004">
        <v>0</v>
      </c>
      <c r="AL4" s="1002">
        <f>(S5*T5*U5)+(V5*W5*X5)+(Y5*Z5*AA5)+(AB5*AC5*AD5)+(AE5*AF5*AG5)+(AH5*AI5*AJ5)</f>
        <v>0</v>
      </c>
      <c r="AM4" s="940"/>
      <c r="AN4" s="855"/>
      <c r="AO4" s="118"/>
      <c r="AP4" s="865"/>
      <c r="AQ4" s="231" t="s">
        <v>59</v>
      </c>
      <c r="AR4" s="231" t="s">
        <v>73</v>
      </c>
      <c r="AS4" s="102" t="s">
        <v>4</v>
      </c>
      <c r="AT4" s="231" t="s">
        <v>59</v>
      </c>
      <c r="AU4" s="231" t="s">
        <v>73</v>
      </c>
      <c r="AV4" s="102" t="s">
        <v>4</v>
      </c>
      <c r="AW4" s="231" t="s">
        <v>59</v>
      </c>
      <c r="AX4" s="231" t="s">
        <v>73</v>
      </c>
      <c r="AY4" s="102" t="s">
        <v>4</v>
      </c>
      <c r="AZ4" s="231" t="s">
        <v>59</v>
      </c>
      <c r="BA4" s="231" t="s">
        <v>73</v>
      </c>
      <c r="BB4" s="102" t="s">
        <v>4</v>
      </c>
      <c r="BC4" s="231" t="s">
        <v>59</v>
      </c>
      <c r="BD4" s="231" t="s">
        <v>73</v>
      </c>
      <c r="BE4" s="102" t="s">
        <v>4</v>
      </c>
      <c r="BF4" s="107" t="s">
        <v>59</v>
      </c>
      <c r="BG4" s="107" t="s">
        <v>73</v>
      </c>
      <c r="BH4" s="471" t="s">
        <v>4</v>
      </c>
      <c r="BI4" s="1004">
        <v>85</v>
      </c>
      <c r="BJ4" s="1003">
        <f>(AQ5*AR5*AS5)+(AT5*AU5*AV5)+(AW5*AX5*AY5)+(AZ5*BA5*BB5)+(BC5*BD5*BE5)+(BF5*BG5*BH5)</f>
        <v>6479.3499999999995</v>
      </c>
      <c r="BK4" s="940"/>
      <c r="BL4" s="1016"/>
      <c r="BM4" s="118"/>
      <c r="BN4" s="865"/>
      <c r="BO4" s="231" t="s">
        <v>59</v>
      </c>
      <c r="BP4" s="231" t="s">
        <v>73</v>
      </c>
      <c r="BQ4" s="102" t="s">
        <v>4</v>
      </c>
      <c r="BR4" s="231" t="s">
        <v>59</v>
      </c>
      <c r="BS4" s="231" t="s">
        <v>73</v>
      </c>
      <c r="BT4" s="102" t="s">
        <v>4</v>
      </c>
      <c r="BU4" s="231" t="s">
        <v>59</v>
      </c>
      <c r="BV4" s="231" t="s">
        <v>73</v>
      </c>
      <c r="BW4" s="102" t="s">
        <v>4</v>
      </c>
      <c r="BX4" s="231" t="s">
        <v>59</v>
      </c>
      <c r="BY4" s="231" t="s">
        <v>73</v>
      </c>
      <c r="BZ4" s="102" t="s">
        <v>4</v>
      </c>
      <c r="CA4" s="231" t="s">
        <v>59</v>
      </c>
      <c r="CB4" s="231" t="s">
        <v>73</v>
      </c>
      <c r="CC4" s="102" t="s">
        <v>4</v>
      </c>
      <c r="CD4" s="107" t="s">
        <v>59</v>
      </c>
      <c r="CE4" s="107" t="s">
        <v>73</v>
      </c>
      <c r="CF4" s="471" t="s">
        <v>4</v>
      </c>
      <c r="CG4" s="1004">
        <f>60+38</f>
        <v>98</v>
      </c>
      <c r="CH4" s="1005">
        <f>(BO5*BP5*BQ5)+(BR5*BS5*BT5)+(BU5*BV5*BW5)+(BX5*BY5*BZ5)+(CA5*CB5*CC5)+(CD5*CE5*CF5)</f>
        <v>8908.1</v>
      </c>
      <c r="CI4" s="940"/>
      <c r="CJ4" s="1016"/>
      <c r="CL4" s="1039"/>
      <c r="CM4" s="107" t="s">
        <v>59</v>
      </c>
      <c r="CN4" s="107" t="s">
        <v>73</v>
      </c>
      <c r="CO4" s="108" t="s">
        <v>4</v>
      </c>
      <c r="CP4" s="107" t="s">
        <v>59</v>
      </c>
      <c r="CQ4" s="107" t="s">
        <v>73</v>
      </c>
      <c r="CR4" s="108" t="s">
        <v>4</v>
      </c>
      <c r="CS4" s="107" t="s">
        <v>59</v>
      </c>
      <c r="CT4" s="107" t="s">
        <v>73</v>
      </c>
      <c r="CU4" s="108" t="s">
        <v>4</v>
      </c>
      <c r="CV4" s="107" t="s">
        <v>59</v>
      </c>
      <c r="CW4" s="107" t="s">
        <v>73</v>
      </c>
      <c r="CX4" s="108" t="s">
        <v>4</v>
      </c>
      <c r="CY4" s="107" t="s">
        <v>59</v>
      </c>
      <c r="CZ4" s="107" t="s">
        <v>73</v>
      </c>
      <c r="DA4" s="108" t="s">
        <v>4</v>
      </c>
      <c r="DB4" s="107" t="s">
        <v>59</v>
      </c>
      <c r="DC4" s="107" t="s">
        <v>73</v>
      </c>
      <c r="DD4" s="471" t="s">
        <v>4</v>
      </c>
      <c r="DE4" s="1004">
        <v>0</v>
      </c>
      <c r="DF4" s="1005">
        <f>(CM5*CN5*CO5)+(CP5*CQ5*CR5)+(CS5*CT5*CU5)+(CV5*CW5*CX5)+(CY5*CZ5*DA5)+(DB5*DC5*DD5)</f>
        <v>0</v>
      </c>
      <c r="DG4" s="940"/>
      <c r="DH4" s="1016"/>
      <c r="DJ4" s="1049"/>
      <c r="DK4" s="460" t="s">
        <v>59</v>
      </c>
      <c r="DL4" s="460" t="s">
        <v>73</v>
      </c>
      <c r="DM4" s="461" t="s">
        <v>4</v>
      </c>
      <c r="DN4" s="460" t="s">
        <v>59</v>
      </c>
      <c r="DO4" s="460" t="s">
        <v>73</v>
      </c>
      <c r="DP4" s="461" t="s">
        <v>4</v>
      </c>
      <c r="DQ4" s="460" t="s">
        <v>59</v>
      </c>
      <c r="DR4" s="460" t="s">
        <v>73</v>
      </c>
      <c r="DS4" s="461" t="s">
        <v>4</v>
      </c>
      <c r="DT4" s="460" t="s">
        <v>59</v>
      </c>
      <c r="DU4" s="460" t="s">
        <v>73</v>
      </c>
      <c r="DV4" s="461" t="s">
        <v>4</v>
      </c>
      <c r="DW4" s="460" t="s">
        <v>59</v>
      </c>
      <c r="DX4" s="460" t="s">
        <v>73</v>
      </c>
      <c r="DY4" s="461" t="s">
        <v>4</v>
      </c>
      <c r="DZ4" s="460" t="s">
        <v>59</v>
      </c>
      <c r="EA4" s="460" t="s">
        <v>73</v>
      </c>
      <c r="EB4" s="473" t="s">
        <v>4</v>
      </c>
      <c r="EC4" s="1004"/>
      <c r="ED4" s="1005">
        <f>(DK5*DL5*DM5)+(DN5*DO5*DP5)+(DQ5*DR5*DS5)+(DT5*DU5*DV5)+(DW5*DX5*DY5)+(DZ5*EA5*EB5)</f>
        <v>0</v>
      </c>
      <c r="EE4" s="940"/>
      <c r="EF4" s="1016"/>
      <c r="EH4" s="1065"/>
      <c r="EI4" s="460" t="s">
        <v>59</v>
      </c>
      <c r="EJ4" s="460" t="s">
        <v>73</v>
      </c>
      <c r="EK4" s="461" t="s">
        <v>4</v>
      </c>
      <c r="EL4" s="460" t="s">
        <v>59</v>
      </c>
      <c r="EM4" s="460" t="s">
        <v>73</v>
      </c>
      <c r="EN4" s="461" t="s">
        <v>4</v>
      </c>
      <c r="EO4" s="460" t="s">
        <v>59</v>
      </c>
      <c r="EP4" s="460" t="s">
        <v>73</v>
      </c>
      <c r="EQ4" s="461" t="s">
        <v>4</v>
      </c>
      <c r="ER4" s="460" t="s">
        <v>59</v>
      </c>
      <c r="ES4" s="460" t="s">
        <v>73</v>
      </c>
      <c r="ET4" s="461" t="s">
        <v>4</v>
      </c>
      <c r="EU4" s="460" t="s">
        <v>59</v>
      </c>
      <c r="EV4" s="460" t="s">
        <v>73</v>
      </c>
      <c r="EW4" s="461" t="s">
        <v>4</v>
      </c>
      <c r="EX4" s="460" t="s">
        <v>59</v>
      </c>
      <c r="EY4" s="460" t="s">
        <v>73</v>
      </c>
      <c r="EZ4" s="473" t="s">
        <v>4</v>
      </c>
      <c r="FA4" s="1004"/>
      <c r="FB4" s="1005">
        <f>(EI5*EJ5*EK5)+(EL5*EM5*EN5)+(EO5*EP5*EQ5)+(ER5*ES5*ET5)+(EU5*EV5*EW5)+(EX5*EY5*EZ5)</f>
        <v>0</v>
      </c>
      <c r="FC4" s="940"/>
      <c r="FD4" s="1016"/>
      <c r="FF4" s="1039"/>
      <c r="FG4" s="460" t="s">
        <v>59</v>
      </c>
      <c r="FH4" s="460" t="s">
        <v>73</v>
      </c>
      <c r="FI4" s="461" t="s">
        <v>4</v>
      </c>
      <c r="FJ4" s="460" t="s">
        <v>59</v>
      </c>
      <c r="FK4" s="460" t="s">
        <v>73</v>
      </c>
      <c r="FL4" s="461" t="s">
        <v>4</v>
      </c>
      <c r="FM4" s="460" t="s">
        <v>59</v>
      </c>
      <c r="FN4" s="460" t="s">
        <v>73</v>
      </c>
      <c r="FO4" s="461" t="s">
        <v>4</v>
      </c>
      <c r="FP4" s="460" t="s">
        <v>59</v>
      </c>
      <c r="FQ4" s="460" t="s">
        <v>73</v>
      </c>
      <c r="FR4" s="461" t="s">
        <v>4</v>
      </c>
      <c r="FS4" s="460" t="s">
        <v>59</v>
      </c>
      <c r="FT4" s="460" t="s">
        <v>73</v>
      </c>
      <c r="FU4" s="461" t="s">
        <v>4</v>
      </c>
      <c r="FV4" s="460" t="s">
        <v>59</v>
      </c>
      <c r="FW4" s="460" t="s">
        <v>73</v>
      </c>
      <c r="FX4" s="473" t="s">
        <v>4</v>
      </c>
      <c r="FY4" s="1004"/>
      <c r="FZ4" s="1005">
        <f>(FG5*FH5*FI5)+(FJ5*FK5*FL5)+(FM5*FN5*FO5)+(FP5*FQ5*FR5)+(FS5*FT5*FU5)+(FV5*FW5*FX5)</f>
        <v>0</v>
      </c>
      <c r="GA4" s="940"/>
      <c r="GB4" s="1016"/>
      <c r="GD4" s="1052"/>
      <c r="GE4" s="491" t="s">
        <v>59</v>
      </c>
      <c r="GF4" s="491" t="s">
        <v>73</v>
      </c>
      <c r="GG4" s="492" t="s">
        <v>4</v>
      </c>
      <c r="GH4" s="491" t="s">
        <v>59</v>
      </c>
      <c r="GI4" s="491" t="s">
        <v>73</v>
      </c>
      <c r="GJ4" s="492" t="s">
        <v>4</v>
      </c>
      <c r="GK4" s="491" t="s">
        <v>59</v>
      </c>
      <c r="GL4" s="491" t="s">
        <v>73</v>
      </c>
      <c r="GM4" s="492" t="s">
        <v>4</v>
      </c>
      <c r="GN4" s="491" t="s">
        <v>59</v>
      </c>
      <c r="GO4" s="491" t="s">
        <v>73</v>
      </c>
      <c r="GP4" s="492" t="s">
        <v>4</v>
      </c>
      <c r="GQ4" s="491" t="s">
        <v>59</v>
      </c>
      <c r="GR4" s="491" t="s">
        <v>73</v>
      </c>
      <c r="GS4" s="492" t="s">
        <v>4</v>
      </c>
      <c r="GT4" s="491" t="s">
        <v>59</v>
      </c>
      <c r="GU4" s="491" t="s">
        <v>73</v>
      </c>
      <c r="GV4" s="493" t="s">
        <v>4</v>
      </c>
      <c r="GW4" s="1071"/>
      <c r="GX4" s="1072">
        <f>(GE5*GF5*GG5)+(GH5*GI5*GJ5)+(GK5*GL5*GM5)+(GN5*GO5*GP5)+(GQ5*GR5*GS5)+(GT5*GU5*GV5)</f>
        <v>0</v>
      </c>
      <c r="GY4" s="1068"/>
      <c r="GZ4" s="1070"/>
      <c r="HB4" s="1075"/>
      <c r="HC4" s="460" t="s">
        <v>59</v>
      </c>
      <c r="HD4" s="460" t="s">
        <v>73</v>
      </c>
      <c r="HE4" s="461" t="s">
        <v>4</v>
      </c>
      <c r="HF4" s="460" t="s">
        <v>59</v>
      </c>
      <c r="HG4" s="460" t="s">
        <v>73</v>
      </c>
      <c r="HH4" s="461" t="s">
        <v>4</v>
      </c>
      <c r="HI4" s="460" t="s">
        <v>59</v>
      </c>
      <c r="HJ4" s="460" t="s">
        <v>73</v>
      </c>
      <c r="HK4" s="461" t="s">
        <v>4</v>
      </c>
      <c r="HL4" s="460" t="s">
        <v>59</v>
      </c>
      <c r="HM4" s="460" t="s">
        <v>73</v>
      </c>
      <c r="HN4" s="461" t="s">
        <v>4</v>
      </c>
      <c r="HO4" s="460" t="s">
        <v>59</v>
      </c>
      <c r="HP4" s="460" t="s">
        <v>73</v>
      </c>
      <c r="HQ4" s="461" t="s">
        <v>4</v>
      </c>
      <c r="HR4" s="460" t="s">
        <v>59</v>
      </c>
      <c r="HS4" s="460" t="s">
        <v>73</v>
      </c>
      <c r="HT4" s="473" t="s">
        <v>4</v>
      </c>
      <c r="HU4" s="1004"/>
      <c r="HV4" s="1005">
        <f>(HC5*HD5*HE5)+(HF5*HG5*HH5)+(HI5*HJ5*HK5)+(HL5*HM5*HN5)+(HO5*HP5*HQ5)+(HR5*HS5*HT5)</f>
        <v>0</v>
      </c>
      <c r="HW4" s="940"/>
      <c r="HX4" s="1016"/>
      <c r="HZ4" s="1042"/>
      <c r="IA4" s="460" t="s">
        <v>59</v>
      </c>
      <c r="IB4" s="460" t="s">
        <v>73</v>
      </c>
      <c r="IC4" s="461" t="s">
        <v>4</v>
      </c>
      <c r="ID4" s="460" t="s">
        <v>59</v>
      </c>
      <c r="IE4" s="460" t="s">
        <v>73</v>
      </c>
      <c r="IF4" s="461" t="s">
        <v>4</v>
      </c>
      <c r="IG4" s="460" t="s">
        <v>59</v>
      </c>
      <c r="IH4" s="460" t="s">
        <v>73</v>
      </c>
      <c r="II4" s="461" t="s">
        <v>4</v>
      </c>
      <c r="IJ4" s="460" t="s">
        <v>59</v>
      </c>
      <c r="IK4" s="460" t="s">
        <v>73</v>
      </c>
      <c r="IL4" s="461" t="s">
        <v>4</v>
      </c>
      <c r="IM4" s="460" t="s">
        <v>59</v>
      </c>
      <c r="IN4" s="460" t="s">
        <v>73</v>
      </c>
      <c r="IO4" s="461" t="s">
        <v>4</v>
      </c>
      <c r="IP4" s="460" t="s">
        <v>59</v>
      </c>
      <c r="IQ4" s="460" t="s">
        <v>73</v>
      </c>
      <c r="IR4" s="473" t="s">
        <v>4</v>
      </c>
      <c r="IS4" s="1004"/>
      <c r="IT4" s="1005">
        <f>(IA5*IB5*IC5)+(ID5*IE5*IF5)+(IG5*IH5*II5)+(IJ5*IK5*IL5)+(IM5*IN5*IO5)+(IP5*IQ5*IR5)</f>
        <v>0</v>
      </c>
      <c r="IU4" s="940"/>
      <c r="IV4" s="1016"/>
      <c r="IX4" s="1062"/>
      <c r="IY4" s="460" t="s">
        <v>59</v>
      </c>
      <c r="IZ4" s="460" t="s">
        <v>73</v>
      </c>
      <c r="JA4" s="461" t="s">
        <v>4</v>
      </c>
      <c r="JB4" s="460" t="s">
        <v>59</v>
      </c>
      <c r="JC4" s="460" t="s">
        <v>73</v>
      </c>
      <c r="JD4" s="461" t="s">
        <v>4</v>
      </c>
      <c r="JE4" s="460" t="s">
        <v>59</v>
      </c>
      <c r="JF4" s="460" t="s">
        <v>73</v>
      </c>
      <c r="JG4" s="461" t="s">
        <v>4</v>
      </c>
      <c r="JH4" s="460" t="s">
        <v>59</v>
      </c>
      <c r="JI4" s="460" t="s">
        <v>73</v>
      </c>
      <c r="JJ4" s="461" t="s">
        <v>4</v>
      </c>
      <c r="JK4" s="460" t="s">
        <v>59</v>
      </c>
      <c r="JL4" s="460" t="s">
        <v>73</v>
      </c>
      <c r="JM4" s="461" t="s">
        <v>4</v>
      </c>
      <c r="JN4" s="460" t="s">
        <v>59</v>
      </c>
      <c r="JO4" s="460" t="s">
        <v>73</v>
      </c>
      <c r="JP4" s="473" t="s">
        <v>4</v>
      </c>
      <c r="JQ4" s="1004"/>
      <c r="JR4" s="1005">
        <f>(IY5*IZ5*JA5)+(JB5*JC5*JD5)+(JE5*JF5*JG5)+(JH5*JI5*JJ5)+(JK5*JL5*JM5)+(JN5*JO5*JP5)</f>
        <v>0</v>
      </c>
      <c r="JS4" s="940"/>
      <c r="JT4" s="1016"/>
      <c r="JV4" s="1075"/>
      <c r="JW4" s="460" t="s">
        <v>59</v>
      </c>
      <c r="JX4" s="460" t="s">
        <v>73</v>
      </c>
      <c r="JY4" s="461" t="s">
        <v>4</v>
      </c>
      <c r="JZ4" s="460" t="s">
        <v>59</v>
      </c>
      <c r="KA4" s="460" t="s">
        <v>73</v>
      </c>
      <c r="KB4" s="461" t="s">
        <v>4</v>
      </c>
      <c r="KC4" s="460" t="s">
        <v>59</v>
      </c>
      <c r="KD4" s="460" t="s">
        <v>73</v>
      </c>
      <c r="KE4" s="461" t="s">
        <v>4</v>
      </c>
      <c r="KF4" s="460" t="s">
        <v>59</v>
      </c>
      <c r="KG4" s="460" t="s">
        <v>73</v>
      </c>
      <c r="KH4" s="461" t="s">
        <v>4</v>
      </c>
      <c r="KI4" s="460" t="s">
        <v>59</v>
      </c>
      <c r="KJ4" s="460" t="s">
        <v>73</v>
      </c>
      <c r="KK4" s="461" t="s">
        <v>4</v>
      </c>
      <c r="KL4" s="460" t="s">
        <v>59</v>
      </c>
      <c r="KM4" s="460" t="s">
        <v>73</v>
      </c>
      <c r="KN4" s="473" t="s">
        <v>4</v>
      </c>
      <c r="KO4" s="1004"/>
      <c r="KP4" s="1005">
        <f>(JW5*JX5*JY5)+(JZ5*KA5*KB5)+(KC5*KD5*KE5)+(KF5*KG5*KH5)+(KI5*KJ5*KK5)+(KL5*KM5*KN5)</f>
        <v>0</v>
      </c>
      <c r="KQ4" s="940"/>
      <c r="KR4" s="1016"/>
      <c r="KT4" s="1049"/>
      <c r="KU4" s="460" t="s">
        <v>59</v>
      </c>
      <c r="KV4" s="460" t="s">
        <v>73</v>
      </c>
      <c r="KW4" s="461" t="s">
        <v>4</v>
      </c>
      <c r="KX4" s="460" t="s">
        <v>59</v>
      </c>
      <c r="KY4" s="460" t="s">
        <v>73</v>
      </c>
      <c r="KZ4" s="461" t="s">
        <v>4</v>
      </c>
      <c r="LA4" s="460" t="s">
        <v>59</v>
      </c>
      <c r="LB4" s="460" t="s">
        <v>73</v>
      </c>
      <c r="LC4" s="461" t="s">
        <v>4</v>
      </c>
      <c r="LD4" s="460" t="s">
        <v>59</v>
      </c>
      <c r="LE4" s="460" t="s">
        <v>73</v>
      </c>
      <c r="LF4" s="461" t="s">
        <v>4</v>
      </c>
      <c r="LG4" s="460" t="s">
        <v>59</v>
      </c>
      <c r="LH4" s="460" t="s">
        <v>73</v>
      </c>
      <c r="LI4" s="461" t="s">
        <v>4</v>
      </c>
      <c r="LJ4" s="460" t="s">
        <v>59</v>
      </c>
      <c r="LK4" s="460" t="s">
        <v>73</v>
      </c>
      <c r="LL4" s="473" t="s">
        <v>4</v>
      </c>
      <c r="LM4" s="1004"/>
      <c r="LN4" s="1005">
        <f>(KU5*KV5*KW5)+(KX5*KY5*KZ5)+(LA5*LB5*LC5)+(LD5*LE5*LF5)+(LG5*LH5*LI5)+(LJ5*LK5*LL5)</f>
        <v>0</v>
      </c>
      <c r="LO4" s="940"/>
      <c r="LP4" s="1016"/>
      <c r="LR4" s="61">
        <v>2</v>
      </c>
      <c r="LS4" s="62" t="str" cm="1">
        <f t="array" ref="LS4">IF(INDEX(S:S, (ROW()-ROW($S$3))*3 + 3) &lt;&gt; "", "✔", "")</f>
        <v/>
      </c>
      <c r="LT4" s="61">
        <v>2</v>
      </c>
      <c r="LU4" s="62" t="str" cm="1">
        <f t="array" ref="LU4">IF(INDEX(AQ:AQ, (ROW()-ROW($AQ$3))*3 + 3) &lt;&gt; "", "✔", "")</f>
        <v>✔</v>
      </c>
      <c r="LV4" s="61">
        <v>2</v>
      </c>
      <c r="LW4" s="501" t="str" cm="1">
        <f t="array" ref="LW4">IF(INDEX(BO:BO, (ROW()-ROW($BO$3))*3 + 3) &lt;&gt; "", "✔", "")</f>
        <v>✔</v>
      </c>
      <c r="LX4" s="503">
        <v>2</v>
      </c>
      <c r="LY4" s="485" t="str" cm="1">
        <f t="array" ref="LY4">IF(INDEX(CM:CM, (ROW()-ROW($CM$3))*3 + 3) &lt;&gt; "", "✔", "")</f>
        <v>✔</v>
      </c>
      <c r="LZ4" s="507">
        <v>2</v>
      </c>
      <c r="MA4" s="485" t="str" cm="1">
        <f t="array" ref="MA4">IF(INDEX(DK:DK, (ROW()-ROW($DK$3))*3 + 3) &lt;&gt; "", "✔", "")</f>
        <v/>
      </c>
      <c r="MB4" s="503">
        <v>2</v>
      </c>
      <c r="MC4" s="485" t="str" cm="1">
        <f t="array" ref="MC4">IF(INDEX(EI:EI, (ROW()-ROW($EI$3))*3 + 3) &lt;&gt; "", "✔", "")</f>
        <v/>
      </c>
      <c r="MD4" s="503">
        <v>2</v>
      </c>
      <c r="ME4" s="485" t="str" cm="1">
        <f t="array" ref="ME4">IF(INDEX(FG:FG, (ROW()-ROW($FG$3))*3 + 3) &lt;&gt; "", "✔", "")</f>
        <v/>
      </c>
      <c r="MF4" s="503">
        <v>2</v>
      </c>
      <c r="MG4" s="485" t="str" cm="1">
        <f t="array" ref="MG4">IF(INDEX(GE:GE, (ROW()-ROW($GE$3))*3 + 3) &lt;&gt; "", "✔", "")</f>
        <v/>
      </c>
      <c r="MH4" s="503">
        <v>2</v>
      </c>
      <c r="MI4" s="485" t="str" cm="1">
        <f t="array" ref="MI4">IF(INDEX(HC:HC, (ROW()-ROW($HC$3))*3 + 3) &lt;&gt; "", "✔", "")</f>
        <v/>
      </c>
      <c r="MJ4" s="503">
        <v>2</v>
      </c>
      <c r="MK4" s="485" t="str" cm="1">
        <f t="array" ref="MK4">IF(INDEX(IA:IA, (ROW()-ROW($IA$3))*3 + 3) &lt;&gt; "", "✔", "")</f>
        <v/>
      </c>
      <c r="ML4" s="503">
        <v>2</v>
      </c>
      <c r="MM4" s="485" t="str" cm="1">
        <f t="array" ref="MM4">IF(INDEX(IY:IY, (ROW()-ROW($IY$3))*3 + 3) &lt;&gt; "", "✔", "")</f>
        <v/>
      </c>
      <c r="MN4" s="503">
        <v>2</v>
      </c>
      <c r="MO4" s="485" t="str" cm="1">
        <f t="array" ref="MO4">IF(INDEX(JW:JW, (ROW()-ROW($JW$3))*3 + 3) &lt;&gt; "", "✔", "")</f>
        <v/>
      </c>
      <c r="MP4" s="503">
        <v>2</v>
      </c>
      <c r="MQ4" s="13" t="str" cm="1">
        <f t="array" ref="MQ4">IF(INDEX(KU:KU, (ROW()-ROW($KU$3))*3 + 3) &lt;&gt; "", "✔", "")</f>
        <v/>
      </c>
    </row>
    <row r="5" spans="1:355" ht="16.5" thickBot="1">
      <c r="A5" s="989"/>
      <c r="B5" s="992"/>
      <c r="C5" s="341" t="s">
        <v>123</v>
      </c>
      <c r="D5" s="341">
        <v>3</v>
      </c>
      <c r="E5" s="341" t="s">
        <v>384</v>
      </c>
      <c r="F5" s="359"/>
      <c r="G5" s="359"/>
      <c r="H5" s="359"/>
      <c r="I5" s="360"/>
      <c r="J5" s="995"/>
      <c r="K5" s="343">
        <v>1</v>
      </c>
      <c r="L5" s="344">
        <v>0</v>
      </c>
      <c r="M5" s="344">
        <v>3</v>
      </c>
      <c r="N5" s="344">
        <v>3.5</v>
      </c>
      <c r="O5" s="344">
        <f t="shared" si="0"/>
        <v>14</v>
      </c>
      <c r="P5" s="998"/>
      <c r="R5" s="875"/>
      <c r="S5" s="233"/>
      <c r="T5" s="233"/>
      <c r="U5" s="233"/>
      <c r="V5" s="233"/>
      <c r="W5" s="233"/>
      <c r="X5" s="233"/>
      <c r="Y5" s="233"/>
      <c r="Z5" s="233"/>
      <c r="AA5" s="233"/>
      <c r="AB5" s="233"/>
      <c r="AC5" s="233"/>
      <c r="AD5" s="233"/>
      <c r="AE5" s="233"/>
      <c r="AF5" s="233"/>
      <c r="AG5" s="233"/>
      <c r="AH5" s="233"/>
      <c r="AI5" s="233"/>
      <c r="AJ5" s="472"/>
      <c r="AK5" s="1004"/>
      <c r="AL5" s="1002"/>
      <c r="AM5" s="941"/>
      <c r="AN5" s="855"/>
      <c r="AO5" s="118"/>
      <c r="AP5" s="866"/>
      <c r="AQ5" s="229">
        <v>4</v>
      </c>
      <c r="AR5" s="229">
        <f>((14*1)+(10*3))/4</f>
        <v>11</v>
      </c>
      <c r="AS5" s="229">
        <f>((12.5*1)+(25*3))/4</f>
        <v>21.875</v>
      </c>
      <c r="AT5" s="229">
        <v>4</v>
      </c>
      <c r="AU5" s="229">
        <f>((14*1)+(10*3))/4</f>
        <v>11</v>
      </c>
      <c r="AV5" s="229">
        <f>((23*1)+(54*3))/4</f>
        <v>46.25</v>
      </c>
      <c r="AW5" s="229">
        <v>4</v>
      </c>
      <c r="AX5" s="126">
        <f>((14*1)+(12*3))/4</f>
        <v>12.5</v>
      </c>
      <c r="AY5" s="229">
        <f>((10*1)+(20*3))/4</f>
        <v>17.5</v>
      </c>
      <c r="AZ5" s="229">
        <v>4</v>
      </c>
      <c r="BA5" s="229">
        <f>((14*1)+(12*1)+(8*1))/4</f>
        <v>8.5</v>
      </c>
      <c r="BB5" s="229">
        <f>((27*1)+(59*2)+(63*1))/4</f>
        <v>52</v>
      </c>
      <c r="BC5" s="229">
        <v>4</v>
      </c>
      <c r="BD5" s="229">
        <f>((14*1)+(8*3))/4</f>
        <v>9.5</v>
      </c>
      <c r="BE5" s="229">
        <f>((13.6*1)+(24.9*3))/4</f>
        <v>22.074999999999996</v>
      </c>
      <c r="BF5" s="233"/>
      <c r="BG5" s="233"/>
      <c r="BH5" s="472"/>
      <c r="BI5" s="1004"/>
      <c r="BJ5" s="1003"/>
      <c r="BK5" s="941"/>
      <c r="BL5" s="1016"/>
      <c r="BM5" s="118"/>
      <c r="BN5" s="866"/>
      <c r="BO5" s="229">
        <v>4</v>
      </c>
      <c r="BP5" s="126">
        <f>((12*3)+(8*1))/4</f>
        <v>11</v>
      </c>
      <c r="BQ5" s="126">
        <f>((30*1)+(35*1)+(37.5*1)+(40*1))/4</f>
        <v>35.625</v>
      </c>
      <c r="BR5" s="229">
        <v>4</v>
      </c>
      <c r="BS5" s="229">
        <f>((12*1)+(10*3))/4</f>
        <v>10.5</v>
      </c>
      <c r="BT5" s="229">
        <f>((27*1)+(59*3))/4</f>
        <v>51</v>
      </c>
      <c r="BU5" s="229">
        <v>4</v>
      </c>
      <c r="BV5" s="126">
        <f>((12*1)+(10*2)+(9*1))/4</f>
        <v>10.25</v>
      </c>
      <c r="BW5" s="126">
        <f>((30*1)+(35*3))/4</f>
        <v>33.75</v>
      </c>
      <c r="BX5" s="229">
        <v>4</v>
      </c>
      <c r="BY5" s="126">
        <v>12</v>
      </c>
      <c r="BZ5" s="229">
        <f>((32*1)+(72*3))/4</f>
        <v>62</v>
      </c>
      <c r="CA5" s="229">
        <v>4</v>
      </c>
      <c r="CB5" s="229">
        <f>((14*1)+(8*3))/4</f>
        <v>9.5</v>
      </c>
      <c r="CC5" s="229">
        <f>((13.6*1)+(24.9*3))/4</f>
        <v>22.074999999999996</v>
      </c>
      <c r="CD5" s="233"/>
      <c r="CE5" s="233"/>
      <c r="CF5" s="472"/>
      <c r="CG5" s="1004"/>
      <c r="CH5" s="1006"/>
      <c r="CI5" s="941"/>
      <c r="CJ5" s="1016"/>
      <c r="CL5" s="1040"/>
      <c r="CM5" s="233"/>
      <c r="CN5" s="233"/>
      <c r="CO5" s="233"/>
      <c r="CP5" s="233"/>
      <c r="CQ5" s="233"/>
      <c r="CR5" s="233"/>
      <c r="CS5" s="233"/>
      <c r="CT5" s="233"/>
      <c r="CU5" s="233"/>
      <c r="CV5" s="233"/>
      <c r="CW5" s="233"/>
      <c r="CX5" s="233"/>
      <c r="CY5" s="233"/>
      <c r="CZ5" s="233"/>
      <c r="DA5" s="233"/>
      <c r="DB5" s="233"/>
      <c r="DC5" s="233"/>
      <c r="DD5" s="472"/>
      <c r="DE5" s="1004"/>
      <c r="DF5" s="1006"/>
      <c r="DG5" s="941"/>
      <c r="DH5" s="1016"/>
      <c r="DJ5" s="1050"/>
      <c r="DK5" s="462"/>
      <c r="DL5" s="462"/>
      <c r="DM5" s="462"/>
      <c r="DN5" s="462"/>
      <c r="DO5" s="462"/>
      <c r="DP5" s="462"/>
      <c r="DQ5" s="462"/>
      <c r="DR5" s="462"/>
      <c r="DS5" s="462"/>
      <c r="DT5" s="462"/>
      <c r="DU5" s="462"/>
      <c r="DV5" s="462"/>
      <c r="DW5" s="462"/>
      <c r="DX5" s="462"/>
      <c r="DY5" s="462"/>
      <c r="DZ5" s="462"/>
      <c r="EA5" s="462"/>
      <c r="EB5" s="475"/>
      <c r="EC5" s="1004"/>
      <c r="ED5" s="1006"/>
      <c r="EE5" s="941"/>
      <c r="EF5" s="1016"/>
      <c r="EH5" s="1066"/>
      <c r="EI5" s="462"/>
      <c r="EJ5" s="462"/>
      <c r="EK5" s="462"/>
      <c r="EL5" s="462"/>
      <c r="EM5" s="462"/>
      <c r="EN5" s="462"/>
      <c r="EO5" s="462"/>
      <c r="EP5" s="462"/>
      <c r="EQ5" s="462"/>
      <c r="ER5" s="462"/>
      <c r="ES5" s="462"/>
      <c r="ET5" s="462"/>
      <c r="EU5" s="462"/>
      <c r="EV5" s="462"/>
      <c r="EW5" s="462"/>
      <c r="EX5" s="462"/>
      <c r="EY5" s="462"/>
      <c r="EZ5" s="475"/>
      <c r="FA5" s="1004"/>
      <c r="FB5" s="1006"/>
      <c r="FC5" s="941"/>
      <c r="FD5" s="1016"/>
      <c r="FF5" s="1040"/>
      <c r="FG5" s="462"/>
      <c r="FH5" s="462"/>
      <c r="FI5" s="462"/>
      <c r="FJ5" s="462"/>
      <c r="FK5" s="462"/>
      <c r="FL5" s="462"/>
      <c r="FM5" s="462"/>
      <c r="FN5" s="462"/>
      <c r="FO5" s="462"/>
      <c r="FP5" s="462"/>
      <c r="FQ5" s="462"/>
      <c r="FR5" s="462"/>
      <c r="FS5" s="462"/>
      <c r="FT5" s="462"/>
      <c r="FU5" s="462"/>
      <c r="FV5" s="462"/>
      <c r="FW5" s="462"/>
      <c r="FX5" s="475"/>
      <c r="FY5" s="1004"/>
      <c r="FZ5" s="1006"/>
      <c r="GA5" s="941"/>
      <c r="GB5" s="1016"/>
      <c r="GD5" s="1053"/>
      <c r="GE5" s="494"/>
      <c r="GF5" s="494"/>
      <c r="GG5" s="494"/>
      <c r="GH5" s="494"/>
      <c r="GI5" s="494"/>
      <c r="GJ5" s="494"/>
      <c r="GK5" s="494"/>
      <c r="GL5" s="494"/>
      <c r="GM5" s="494"/>
      <c r="GN5" s="494"/>
      <c r="GO5" s="494"/>
      <c r="GP5" s="494"/>
      <c r="GQ5" s="494"/>
      <c r="GR5" s="494"/>
      <c r="GS5" s="494"/>
      <c r="GT5" s="494"/>
      <c r="GU5" s="494"/>
      <c r="GV5" s="497"/>
      <c r="GW5" s="1071"/>
      <c r="GX5" s="1073"/>
      <c r="GY5" s="1069"/>
      <c r="GZ5" s="1070"/>
      <c r="HB5" s="1076"/>
      <c r="HC5" s="462"/>
      <c r="HD5" s="462"/>
      <c r="HE5" s="462"/>
      <c r="HF5" s="462"/>
      <c r="HG5" s="462"/>
      <c r="HH5" s="462"/>
      <c r="HI5" s="462"/>
      <c r="HJ5" s="462"/>
      <c r="HK5" s="462"/>
      <c r="HL5" s="462"/>
      <c r="HM5" s="462"/>
      <c r="HN5" s="462"/>
      <c r="HO5" s="462"/>
      <c r="HP5" s="462"/>
      <c r="HQ5" s="462"/>
      <c r="HR5" s="462"/>
      <c r="HS5" s="462"/>
      <c r="HT5" s="475"/>
      <c r="HU5" s="1004"/>
      <c r="HV5" s="1006"/>
      <c r="HW5" s="941"/>
      <c r="HX5" s="1016"/>
      <c r="HZ5" s="1043"/>
      <c r="IA5" s="462"/>
      <c r="IB5" s="462"/>
      <c r="IC5" s="462"/>
      <c r="ID5" s="462"/>
      <c r="IE5" s="462"/>
      <c r="IF5" s="462"/>
      <c r="IG5" s="462"/>
      <c r="IH5" s="462"/>
      <c r="II5" s="462"/>
      <c r="IJ5" s="462"/>
      <c r="IK5" s="462"/>
      <c r="IL5" s="462"/>
      <c r="IM5" s="462"/>
      <c r="IN5" s="462"/>
      <c r="IO5" s="462"/>
      <c r="IP5" s="462"/>
      <c r="IQ5" s="462"/>
      <c r="IR5" s="475"/>
      <c r="IS5" s="1004"/>
      <c r="IT5" s="1006"/>
      <c r="IU5" s="941"/>
      <c r="IV5" s="1016"/>
      <c r="IX5" s="1063"/>
      <c r="IY5" s="462"/>
      <c r="IZ5" s="462"/>
      <c r="JA5" s="462"/>
      <c r="JB5" s="462"/>
      <c r="JC5" s="462"/>
      <c r="JD5" s="462"/>
      <c r="JE5" s="462"/>
      <c r="JF5" s="462"/>
      <c r="JG5" s="462"/>
      <c r="JH5" s="462"/>
      <c r="JI5" s="462"/>
      <c r="JJ5" s="462"/>
      <c r="JK5" s="462"/>
      <c r="JL5" s="462"/>
      <c r="JM5" s="462"/>
      <c r="JN5" s="462"/>
      <c r="JO5" s="462"/>
      <c r="JP5" s="475"/>
      <c r="JQ5" s="1004"/>
      <c r="JR5" s="1006"/>
      <c r="JS5" s="941"/>
      <c r="JT5" s="1016"/>
      <c r="JV5" s="1076"/>
      <c r="JW5" s="462"/>
      <c r="JX5" s="462"/>
      <c r="JY5" s="462"/>
      <c r="JZ5" s="462"/>
      <c r="KA5" s="462"/>
      <c r="KB5" s="462"/>
      <c r="KC5" s="462"/>
      <c r="KD5" s="462"/>
      <c r="KE5" s="462"/>
      <c r="KF5" s="462"/>
      <c r="KG5" s="462"/>
      <c r="KH5" s="462"/>
      <c r="KI5" s="462"/>
      <c r="KJ5" s="462"/>
      <c r="KK5" s="462"/>
      <c r="KL5" s="462"/>
      <c r="KM5" s="462"/>
      <c r="KN5" s="475"/>
      <c r="KO5" s="1004"/>
      <c r="KP5" s="1006"/>
      <c r="KQ5" s="941"/>
      <c r="KR5" s="1016"/>
      <c r="KT5" s="1050"/>
      <c r="KU5" s="462"/>
      <c r="KV5" s="462"/>
      <c r="KW5" s="462"/>
      <c r="KX5" s="462"/>
      <c r="KY5" s="462"/>
      <c r="KZ5" s="462"/>
      <c r="LA5" s="462"/>
      <c r="LB5" s="462"/>
      <c r="LC5" s="462"/>
      <c r="LD5" s="462"/>
      <c r="LE5" s="462"/>
      <c r="LF5" s="462"/>
      <c r="LG5" s="462"/>
      <c r="LH5" s="462"/>
      <c r="LI5" s="462"/>
      <c r="LJ5" s="462"/>
      <c r="LK5" s="462"/>
      <c r="LL5" s="475"/>
      <c r="LM5" s="1004"/>
      <c r="LN5" s="1006"/>
      <c r="LO5" s="941"/>
      <c r="LP5" s="1016"/>
      <c r="LR5" s="61">
        <v>3</v>
      </c>
      <c r="LS5" s="62" t="str" cm="1">
        <f t="array" ref="LS5">IF(INDEX(S:S, (ROW()-ROW($S$3))*3 + 3) &lt;&gt; "", "✔", "")</f>
        <v/>
      </c>
      <c r="LT5" s="61">
        <v>3</v>
      </c>
      <c r="LU5" s="62" t="str" cm="1">
        <f t="array" ref="LU5">IF(INDEX(AQ:AQ, (ROW()-ROW($AQ$3))*3 + 3) &lt;&gt; "", "✔", "")</f>
        <v>✔</v>
      </c>
      <c r="LV5" s="61">
        <v>3</v>
      </c>
      <c r="LW5" s="501" t="str" cm="1">
        <f t="array" ref="LW5">IF(INDEX(BO:BO, (ROW()-ROW($BO$3))*3 + 3) &lt;&gt; "", "✔", "")</f>
        <v>✔</v>
      </c>
      <c r="LX5" s="503">
        <v>3</v>
      </c>
      <c r="LY5" s="485" t="str" cm="1">
        <f t="array" ref="LY5">IF(INDEX(CM:CM, (ROW()-ROW($CM$3))*3 + 3) &lt;&gt; "", "✔", "")</f>
        <v>✔</v>
      </c>
      <c r="LZ5" s="507">
        <v>3</v>
      </c>
      <c r="MA5" s="485" t="str" cm="1">
        <f t="array" ref="MA5">IF(INDEX(DK:DK, (ROW()-ROW($DK$3))*3 + 3) &lt;&gt; "", "✔", "")</f>
        <v/>
      </c>
      <c r="MB5" s="503">
        <v>3</v>
      </c>
      <c r="MC5" s="485" t="str" cm="1">
        <f t="array" ref="MC5">IF(INDEX(EI:EI, (ROW()-ROW($EI$3))*3 + 3) &lt;&gt; "", "✔", "")</f>
        <v/>
      </c>
      <c r="MD5" s="503">
        <v>3</v>
      </c>
      <c r="ME5" s="485" t="str" cm="1">
        <f t="array" ref="ME5">IF(INDEX(FG:FG, (ROW()-ROW($FG$3))*3 + 3) &lt;&gt; "", "✔", "")</f>
        <v/>
      </c>
      <c r="MF5" s="503">
        <v>3</v>
      </c>
      <c r="MG5" s="485" t="str" cm="1">
        <f t="array" ref="MG5">IF(INDEX(GE:GE, (ROW()-ROW($GE$3))*3 + 3) &lt;&gt; "", "✔", "")</f>
        <v/>
      </c>
      <c r="MH5" s="503">
        <v>3</v>
      </c>
      <c r="MI5" s="485" t="str" cm="1">
        <f t="array" ref="MI5">IF(INDEX(HC:HC, (ROW()-ROW($HC$3))*3 + 3) &lt;&gt; "", "✔", "")</f>
        <v/>
      </c>
      <c r="MJ5" s="503">
        <v>3</v>
      </c>
      <c r="MK5" s="485" t="str" cm="1">
        <f t="array" ref="MK5">IF(INDEX(IA:IA, (ROW()-ROW($IA$3))*3 + 3) &lt;&gt; "", "✔", "")</f>
        <v/>
      </c>
      <c r="ML5" s="503">
        <v>3</v>
      </c>
      <c r="MM5" s="485" t="str" cm="1">
        <f t="array" ref="MM5">IF(INDEX(IY:IY, (ROW()-ROW($IY$3))*3 + 3) &lt;&gt; "", "✔", "")</f>
        <v/>
      </c>
      <c r="MN5" s="503">
        <v>3</v>
      </c>
      <c r="MO5" s="485" t="str" cm="1">
        <f t="array" ref="MO5">IF(INDEX(JW:JW, (ROW()-ROW($JW$3))*3 + 3) &lt;&gt; "", "✔", "")</f>
        <v/>
      </c>
      <c r="MP5" s="503">
        <v>3</v>
      </c>
      <c r="MQ5" s="13" t="str" cm="1">
        <f t="array" ref="MQ5">IF(INDEX(KU:KU, (ROW()-ROW($KU$3))*3 + 3) &lt;&gt; "", "✔", "")</f>
        <v/>
      </c>
    </row>
    <row r="6" spans="1:355" ht="15.75">
      <c r="A6" s="987" t="s">
        <v>399</v>
      </c>
      <c r="B6" s="990" t="s">
        <v>400</v>
      </c>
      <c r="C6" s="334" t="s">
        <v>89</v>
      </c>
      <c r="D6" s="334">
        <v>3</v>
      </c>
      <c r="E6" s="334" t="s">
        <v>384</v>
      </c>
      <c r="F6" s="334" t="s">
        <v>385</v>
      </c>
      <c r="G6" s="334" t="s">
        <v>380</v>
      </c>
      <c r="H6" s="334">
        <v>3</v>
      </c>
      <c r="I6" s="335" t="s">
        <v>386</v>
      </c>
      <c r="J6" s="993">
        <v>5</v>
      </c>
      <c r="K6" s="336">
        <v>1</v>
      </c>
      <c r="L6" s="337">
        <v>1</v>
      </c>
      <c r="M6" s="337">
        <v>3</v>
      </c>
      <c r="N6" s="337">
        <v>3.5</v>
      </c>
      <c r="O6" s="337">
        <f t="shared" si="0"/>
        <v>17.5</v>
      </c>
      <c r="P6" s="996">
        <f>SUM(O6:O8)</f>
        <v>43.75</v>
      </c>
      <c r="R6" s="876">
        <v>46024</v>
      </c>
      <c r="S6" s="859"/>
      <c r="T6" s="859"/>
      <c r="U6" s="859"/>
      <c r="V6" s="950"/>
      <c r="W6" s="951"/>
      <c r="X6" s="952"/>
      <c r="Y6" s="834"/>
      <c r="Z6" s="835"/>
      <c r="AA6" s="836"/>
      <c r="AB6" s="844"/>
      <c r="AC6" s="844"/>
      <c r="AD6" s="844"/>
      <c r="AE6" s="844"/>
      <c r="AF6" s="844"/>
      <c r="AG6" s="844"/>
      <c r="AH6" s="834"/>
      <c r="AI6" s="835"/>
      <c r="AJ6" s="835"/>
      <c r="AK6" s="459" t="s">
        <v>425</v>
      </c>
      <c r="AL6" s="1">
        <f>COUNTA(S6:AJ6)</f>
        <v>0</v>
      </c>
      <c r="AM6" s="939"/>
      <c r="AN6" s="855">
        <f>AN3</f>
        <v>76.900000000000006</v>
      </c>
      <c r="AO6" s="118"/>
      <c r="AP6" s="870">
        <v>46055</v>
      </c>
      <c r="AQ6" s="848" t="s">
        <v>89</v>
      </c>
      <c r="AR6" s="848"/>
      <c r="AS6" s="848"/>
      <c r="AT6" s="848" t="s">
        <v>380</v>
      </c>
      <c r="AU6" s="848"/>
      <c r="AV6" s="848"/>
      <c r="AW6" s="848" t="s">
        <v>115</v>
      </c>
      <c r="AX6" s="848"/>
      <c r="AY6" s="848"/>
      <c r="AZ6" s="849" t="s">
        <v>114</v>
      </c>
      <c r="BA6" s="849"/>
      <c r="BB6" s="849"/>
      <c r="BC6" s="848" t="s">
        <v>129</v>
      </c>
      <c r="BD6" s="848"/>
      <c r="BE6" s="848"/>
      <c r="BF6" s="834"/>
      <c r="BG6" s="835"/>
      <c r="BH6" s="835"/>
      <c r="BI6" s="459" t="s">
        <v>425</v>
      </c>
      <c r="BJ6" s="482">
        <f>COUNTA(AQ6:BH6)</f>
        <v>5</v>
      </c>
      <c r="BK6" s="939"/>
      <c r="BL6" s="1016">
        <v>77.7</v>
      </c>
      <c r="BM6" s="118"/>
      <c r="BN6" s="870">
        <v>46083</v>
      </c>
      <c r="BO6" s="848" t="s">
        <v>70</v>
      </c>
      <c r="BP6" s="848"/>
      <c r="BQ6" s="848"/>
      <c r="BR6" s="859"/>
      <c r="BS6" s="859"/>
      <c r="BT6" s="859"/>
      <c r="BU6" s="834"/>
      <c r="BV6" s="835"/>
      <c r="BW6" s="836"/>
      <c r="BX6" s="867"/>
      <c r="BY6" s="868"/>
      <c r="BZ6" s="869"/>
      <c r="CA6" s="834"/>
      <c r="CB6" s="835"/>
      <c r="CC6" s="836"/>
      <c r="CD6" s="834"/>
      <c r="CE6" s="835"/>
      <c r="CF6" s="835"/>
      <c r="CG6" s="459" t="s">
        <v>425</v>
      </c>
      <c r="CH6" s="482">
        <f>COUNTA(BO6:CF6)</f>
        <v>1</v>
      </c>
      <c r="CI6" s="939">
        <v>5</v>
      </c>
      <c r="CJ6" s="1016">
        <v>77.900000000000006</v>
      </c>
      <c r="CL6" s="1041">
        <v>46114</v>
      </c>
      <c r="CM6" s="1044" t="s">
        <v>903</v>
      </c>
      <c r="CN6" s="1044"/>
      <c r="CO6" s="1044"/>
      <c r="CP6" s="978" t="s">
        <v>904</v>
      </c>
      <c r="CQ6" s="979"/>
      <c r="CR6" s="980"/>
      <c r="CS6" s="848" t="s">
        <v>380</v>
      </c>
      <c r="CT6" s="848"/>
      <c r="CU6" s="848"/>
      <c r="CV6" s="977" t="s">
        <v>905</v>
      </c>
      <c r="CW6" s="977"/>
      <c r="CX6" s="977"/>
      <c r="CY6" s="973" t="s">
        <v>906</v>
      </c>
      <c r="CZ6" s="973"/>
      <c r="DA6" s="973"/>
      <c r="DB6" s="1045"/>
      <c r="DC6" s="1046"/>
      <c r="DD6" s="1047"/>
      <c r="DE6" s="459" t="s">
        <v>425</v>
      </c>
      <c r="DF6" s="482">
        <f>COUNTA(CM6:DD6)</f>
        <v>5</v>
      </c>
      <c r="DG6" s="939">
        <v>7</v>
      </c>
      <c r="DH6" s="1016">
        <v>77.7</v>
      </c>
      <c r="DJ6" s="1051">
        <v>46144</v>
      </c>
      <c r="DK6" s="1023"/>
      <c r="DL6" s="1023"/>
      <c r="DM6" s="1023"/>
      <c r="DN6" s="1023"/>
      <c r="DO6" s="1023"/>
      <c r="DP6" s="1023"/>
      <c r="DQ6" s="1023"/>
      <c r="DR6" s="1023"/>
      <c r="DS6" s="1023"/>
      <c r="DT6" s="1023"/>
      <c r="DU6" s="1023"/>
      <c r="DV6" s="1023"/>
      <c r="DW6" s="1021"/>
      <c r="DX6" s="1022"/>
      <c r="DY6" s="1024"/>
      <c r="DZ6" s="1021"/>
      <c r="EA6" s="1022"/>
      <c r="EB6" s="1022"/>
      <c r="EC6" s="489" t="s">
        <v>425</v>
      </c>
      <c r="ED6" s="496">
        <f>COUNTA(DK6:EB6)</f>
        <v>0</v>
      </c>
      <c r="EE6" s="1067"/>
      <c r="EF6" s="1070"/>
      <c r="EH6" s="1074">
        <v>46175</v>
      </c>
      <c r="EI6" s="960"/>
      <c r="EJ6" s="960"/>
      <c r="EK6" s="960"/>
      <c r="EL6" s="960"/>
      <c r="EM6" s="960"/>
      <c r="EN6" s="960"/>
      <c r="EO6" s="960"/>
      <c r="EP6" s="960"/>
      <c r="EQ6" s="960"/>
      <c r="ER6" s="960"/>
      <c r="ES6" s="960"/>
      <c r="ET6" s="960"/>
      <c r="EU6" s="961"/>
      <c r="EV6" s="962"/>
      <c r="EW6" s="963"/>
      <c r="EX6" s="961"/>
      <c r="EY6" s="962"/>
      <c r="EZ6" s="962"/>
      <c r="FA6" s="459" t="s">
        <v>425</v>
      </c>
      <c r="FB6" s="482">
        <f>COUNTA(EI6:EZ6)</f>
        <v>0</v>
      </c>
      <c r="FC6" s="939"/>
      <c r="FD6" s="1016"/>
      <c r="FF6" s="1041">
        <v>46205</v>
      </c>
      <c r="FG6" s="960"/>
      <c r="FH6" s="960"/>
      <c r="FI6" s="960"/>
      <c r="FJ6" s="960"/>
      <c r="FK6" s="960"/>
      <c r="FL6" s="960"/>
      <c r="FM6" s="960"/>
      <c r="FN6" s="960"/>
      <c r="FO6" s="960"/>
      <c r="FP6" s="960"/>
      <c r="FQ6" s="960"/>
      <c r="FR6" s="960"/>
      <c r="FS6" s="961"/>
      <c r="FT6" s="962"/>
      <c r="FU6" s="963"/>
      <c r="FV6" s="961"/>
      <c r="FW6" s="962"/>
      <c r="FX6" s="962"/>
      <c r="FY6" s="459" t="s">
        <v>425</v>
      </c>
      <c r="FZ6" s="482">
        <f>COUNTA(FG6:FX6)</f>
        <v>0</v>
      </c>
      <c r="GA6" s="939"/>
      <c r="GB6" s="1016"/>
      <c r="GD6" s="1061">
        <v>46236</v>
      </c>
      <c r="GE6" s="960"/>
      <c r="GF6" s="960"/>
      <c r="GG6" s="960"/>
      <c r="GH6" s="960"/>
      <c r="GI6" s="960"/>
      <c r="GJ6" s="960"/>
      <c r="GK6" s="960"/>
      <c r="GL6" s="960"/>
      <c r="GM6" s="960"/>
      <c r="GN6" s="960"/>
      <c r="GO6" s="960"/>
      <c r="GP6" s="960"/>
      <c r="GQ6" s="961"/>
      <c r="GR6" s="962"/>
      <c r="GS6" s="963"/>
      <c r="GT6" s="961"/>
      <c r="GU6" s="962"/>
      <c r="GV6" s="962"/>
      <c r="GW6" s="459" t="s">
        <v>425</v>
      </c>
      <c r="GX6" s="482">
        <f>COUNTA(GE6:GV6)</f>
        <v>0</v>
      </c>
      <c r="GY6" s="939"/>
      <c r="GZ6" s="1016"/>
      <c r="HB6" s="1038">
        <v>46267</v>
      </c>
      <c r="HC6" s="960"/>
      <c r="HD6" s="960"/>
      <c r="HE6" s="960"/>
      <c r="HF6" s="960"/>
      <c r="HG6" s="960"/>
      <c r="HH6" s="960"/>
      <c r="HI6" s="960"/>
      <c r="HJ6" s="960"/>
      <c r="HK6" s="960"/>
      <c r="HL6" s="960"/>
      <c r="HM6" s="960"/>
      <c r="HN6" s="960"/>
      <c r="HO6" s="961"/>
      <c r="HP6" s="962"/>
      <c r="HQ6" s="963"/>
      <c r="HR6" s="961"/>
      <c r="HS6" s="962"/>
      <c r="HT6" s="962"/>
      <c r="HU6" s="459" t="s">
        <v>425</v>
      </c>
      <c r="HV6" s="482">
        <f>COUNTA(HC6:HT6)</f>
        <v>0</v>
      </c>
      <c r="HW6" s="939"/>
      <c r="HX6" s="1016"/>
      <c r="HZ6" s="1048">
        <v>46297</v>
      </c>
      <c r="IA6" s="960"/>
      <c r="IB6" s="960"/>
      <c r="IC6" s="960"/>
      <c r="ID6" s="960"/>
      <c r="IE6" s="960"/>
      <c r="IF6" s="960"/>
      <c r="IG6" s="960"/>
      <c r="IH6" s="960"/>
      <c r="II6" s="960"/>
      <c r="IJ6" s="960"/>
      <c r="IK6" s="960"/>
      <c r="IL6" s="960"/>
      <c r="IM6" s="961"/>
      <c r="IN6" s="962"/>
      <c r="IO6" s="963"/>
      <c r="IP6" s="961"/>
      <c r="IQ6" s="962"/>
      <c r="IR6" s="962"/>
      <c r="IS6" s="459" t="s">
        <v>425</v>
      </c>
      <c r="IT6" s="482">
        <f>COUNTA(IA6:IR6)</f>
        <v>0</v>
      </c>
      <c r="IU6" s="939"/>
      <c r="IV6" s="1016"/>
      <c r="IX6" s="1064">
        <v>46328</v>
      </c>
      <c r="IY6" s="960"/>
      <c r="IZ6" s="960"/>
      <c r="JA6" s="960"/>
      <c r="JB6" s="960"/>
      <c r="JC6" s="960"/>
      <c r="JD6" s="960"/>
      <c r="JE6" s="960"/>
      <c r="JF6" s="960"/>
      <c r="JG6" s="960"/>
      <c r="JH6" s="960"/>
      <c r="JI6" s="960"/>
      <c r="JJ6" s="960"/>
      <c r="JK6" s="961"/>
      <c r="JL6" s="962"/>
      <c r="JM6" s="963"/>
      <c r="JN6" s="961"/>
      <c r="JO6" s="962"/>
      <c r="JP6" s="962"/>
      <c r="JQ6" s="459" t="s">
        <v>425</v>
      </c>
      <c r="JR6" s="482">
        <f>COUNTA(IY6:JP6)</f>
        <v>0</v>
      </c>
      <c r="JS6" s="939"/>
      <c r="JT6" s="1016"/>
      <c r="JV6" s="1038">
        <v>46358</v>
      </c>
      <c r="JW6" s="960"/>
      <c r="JX6" s="960"/>
      <c r="JY6" s="960"/>
      <c r="JZ6" s="960"/>
      <c r="KA6" s="960"/>
      <c r="KB6" s="960"/>
      <c r="KC6" s="960"/>
      <c r="KD6" s="960"/>
      <c r="KE6" s="960"/>
      <c r="KF6" s="960"/>
      <c r="KG6" s="960"/>
      <c r="KH6" s="960"/>
      <c r="KI6" s="961"/>
      <c r="KJ6" s="962"/>
      <c r="KK6" s="963"/>
      <c r="KL6" s="961"/>
      <c r="KM6" s="962"/>
      <c r="KN6" s="962"/>
      <c r="KO6" s="459" t="s">
        <v>425</v>
      </c>
      <c r="KP6" s="482">
        <f>COUNTA(JW6:KN6)</f>
        <v>0</v>
      </c>
      <c r="KQ6" s="939"/>
      <c r="KR6" s="1016"/>
      <c r="KT6" s="1051">
        <v>46389</v>
      </c>
      <c r="KU6" s="1023"/>
      <c r="KV6" s="1023"/>
      <c r="KW6" s="1023"/>
      <c r="KX6" s="1023"/>
      <c r="KY6" s="1023"/>
      <c r="KZ6" s="1023"/>
      <c r="LA6" s="1023"/>
      <c r="LB6" s="1023"/>
      <c r="LC6" s="1023"/>
      <c r="LD6" s="1023"/>
      <c r="LE6" s="1023"/>
      <c r="LF6" s="1023"/>
      <c r="LG6" s="1021"/>
      <c r="LH6" s="1022"/>
      <c r="LI6" s="1024"/>
      <c r="LJ6" s="1021"/>
      <c r="LK6" s="1022"/>
      <c r="LL6" s="1022"/>
      <c r="LM6" s="489" t="s">
        <v>425</v>
      </c>
      <c r="LN6" s="496">
        <f>COUNTA(KU6:LL6)</f>
        <v>0</v>
      </c>
      <c r="LO6" s="1067"/>
      <c r="LP6" s="1070"/>
      <c r="LR6" s="61">
        <v>4</v>
      </c>
      <c r="LS6" s="62" t="str" cm="1">
        <f t="array" ref="LS6">IF(INDEX(S:S, (ROW()-ROW($S$3))*3 + 3) &lt;&gt; "", "✔", "")</f>
        <v/>
      </c>
      <c r="LT6" s="61">
        <v>4</v>
      </c>
      <c r="LU6" s="62" t="str" cm="1">
        <f t="array" ref="LU6">IF(INDEX(AQ:AQ, (ROW()-ROW($AQ$3))*3 + 3) &lt;&gt; "", "✔", "")</f>
        <v>✔</v>
      </c>
      <c r="LV6" s="61">
        <v>4</v>
      </c>
      <c r="LW6" s="501" t="str" cm="1">
        <f t="array" ref="LW6">IF(INDEX(BO:BO, (ROW()-ROW($BO$3))*3 + 3) &lt;&gt; "", "✔", "")</f>
        <v>✔</v>
      </c>
      <c r="LX6" s="503">
        <v>4</v>
      </c>
      <c r="LY6" s="485" t="str" cm="1">
        <f t="array" ref="LY6">IF(INDEX(CM:CM, (ROW()-ROW($CM$3))*3 + 3) &lt;&gt; "", "✔", "")</f>
        <v/>
      </c>
      <c r="LZ6" s="507">
        <v>4</v>
      </c>
      <c r="MA6" s="485" t="str" cm="1">
        <f t="array" ref="MA6">IF(INDEX(DK:DK, (ROW()-ROW($DK$3))*3 + 3) &lt;&gt; "", "✔", "")</f>
        <v/>
      </c>
      <c r="MB6" s="503">
        <v>4</v>
      </c>
      <c r="MC6" s="485" t="str" cm="1">
        <f t="array" ref="MC6">IF(INDEX(EI:EI, (ROW()-ROW($EI$3))*3 + 3) &lt;&gt; "", "✔", "")</f>
        <v/>
      </c>
      <c r="MD6" s="503">
        <v>4</v>
      </c>
      <c r="ME6" s="485" t="str" cm="1">
        <f t="array" ref="ME6">IF(INDEX(FG:FG, (ROW()-ROW($FG$3))*3 + 3) &lt;&gt; "", "✔", "")</f>
        <v/>
      </c>
      <c r="MF6" s="503">
        <v>4</v>
      </c>
      <c r="MG6" s="485" t="str" cm="1">
        <f t="array" ref="MG6">IF(INDEX(GE:GE, (ROW()-ROW($GE$3))*3 + 3) &lt;&gt; "", "✔", "")</f>
        <v/>
      </c>
      <c r="MH6" s="503">
        <v>4</v>
      </c>
      <c r="MI6" s="485" t="str" cm="1">
        <f t="array" ref="MI6">IF(INDEX(HC:HC, (ROW()-ROW($HC$3))*3 + 3) &lt;&gt; "", "✔", "")</f>
        <v/>
      </c>
      <c r="MJ6" s="503">
        <v>4</v>
      </c>
      <c r="MK6" s="485" t="str" cm="1">
        <f t="array" ref="MK6">IF(INDEX(IA:IA, (ROW()-ROW($IA$3))*3 + 3) &lt;&gt; "", "✔", "")</f>
        <v/>
      </c>
      <c r="ML6" s="503">
        <v>4</v>
      </c>
      <c r="MM6" s="485" t="str" cm="1">
        <f t="array" ref="MM6">IF(INDEX(IY:IY, (ROW()-ROW($IY$3))*3 + 3) &lt;&gt; "", "✔", "")</f>
        <v/>
      </c>
      <c r="MN6" s="503">
        <v>4</v>
      </c>
      <c r="MO6" s="485" t="str" cm="1">
        <f t="array" ref="MO6">IF(INDEX(JW:JW, (ROW()-ROW($JW$3))*3 + 3) &lt;&gt; "", "✔", "")</f>
        <v/>
      </c>
      <c r="MP6" s="503">
        <v>4</v>
      </c>
      <c r="MQ6" s="13" t="str" cm="1">
        <f t="array" ref="MQ6">IF(INDEX(KU:KU, (ROW()-ROW($KU$3))*3 + 3) &lt;&gt; "", "✔", "")</f>
        <v/>
      </c>
    </row>
    <row r="7" spans="1:355" ht="15.75">
      <c r="A7" s="988"/>
      <c r="B7" s="991"/>
      <c r="C7" s="277" t="s">
        <v>388</v>
      </c>
      <c r="D7" s="277">
        <v>3</v>
      </c>
      <c r="E7" s="277" t="s">
        <v>384</v>
      </c>
      <c r="F7" s="277" t="s">
        <v>387</v>
      </c>
      <c r="G7" s="277" t="s">
        <v>126</v>
      </c>
      <c r="H7" s="277">
        <v>3</v>
      </c>
      <c r="I7" s="338" t="s">
        <v>389</v>
      </c>
      <c r="J7" s="994"/>
      <c r="K7" s="339">
        <v>1</v>
      </c>
      <c r="L7" s="340">
        <v>1</v>
      </c>
      <c r="M7" s="340">
        <v>3</v>
      </c>
      <c r="N7" s="340">
        <v>3.5</v>
      </c>
      <c r="O7" s="340">
        <f t="shared" si="0"/>
        <v>17.5</v>
      </c>
      <c r="P7" s="997"/>
      <c r="R7" s="877"/>
      <c r="S7" s="107"/>
      <c r="T7" s="107"/>
      <c r="U7" s="108"/>
      <c r="V7" s="107"/>
      <c r="W7" s="107"/>
      <c r="X7" s="108"/>
      <c r="Y7" s="107"/>
      <c r="Z7" s="107"/>
      <c r="AA7" s="108"/>
      <c r="AB7" s="107"/>
      <c r="AC7" s="107"/>
      <c r="AD7" s="108"/>
      <c r="AE7" s="107"/>
      <c r="AF7" s="107"/>
      <c r="AG7" s="108"/>
      <c r="AH7" s="107"/>
      <c r="AI7" s="107"/>
      <c r="AJ7" s="471"/>
      <c r="AK7" s="1004">
        <v>0</v>
      </c>
      <c r="AL7" s="1002">
        <f>(S8*T8*U8)+(V8*W8*X8)+(Y8*Z8*AA8)+(AB8*AC8*AD8)+(AE8*AF8*AG8)+(AH8*AI8*AJ8)</f>
        <v>0</v>
      </c>
      <c r="AM7" s="940"/>
      <c r="AN7" s="855"/>
      <c r="AO7" s="118"/>
      <c r="AP7" s="871"/>
      <c r="AQ7" s="231" t="s">
        <v>59</v>
      </c>
      <c r="AR7" s="231" t="s">
        <v>73</v>
      </c>
      <c r="AS7" s="102" t="s">
        <v>4</v>
      </c>
      <c r="AT7" s="231" t="s">
        <v>59</v>
      </c>
      <c r="AU7" s="231" t="s">
        <v>73</v>
      </c>
      <c r="AV7" s="102" t="s">
        <v>4</v>
      </c>
      <c r="AW7" s="231" t="s">
        <v>59</v>
      </c>
      <c r="AX7" s="231" t="s">
        <v>73</v>
      </c>
      <c r="AY7" s="102" t="s">
        <v>4</v>
      </c>
      <c r="AZ7" s="231" t="s">
        <v>59</v>
      </c>
      <c r="BA7" s="231" t="s">
        <v>73</v>
      </c>
      <c r="BB7" s="102" t="s">
        <v>4</v>
      </c>
      <c r="BC7" s="231" t="s">
        <v>59</v>
      </c>
      <c r="BD7" s="231" t="s">
        <v>73</v>
      </c>
      <c r="BE7" s="102" t="s">
        <v>4</v>
      </c>
      <c r="BF7" s="107" t="s">
        <v>59</v>
      </c>
      <c r="BG7" s="107" t="s">
        <v>73</v>
      </c>
      <c r="BH7" s="471" t="s">
        <v>4</v>
      </c>
      <c r="BI7" s="1004">
        <v>60</v>
      </c>
      <c r="BJ7" s="1003">
        <f>(AQ8*AR8*AS8)+(AT8*AU8*AV8)+(AW8*AX8*AY8)+(AZ8*BA8*BB8)+(BC8*BD8*BE8)+(BF8*BG8*BH8)</f>
        <v>5622.95</v>
      </c>
      <c r="BK7" s="940"/>
      <c r="BL7" s="1016"/>
      <c r="BM7" s="118"/>
      <c r="BN7" s="871"/>
      <c r="BO7" s="231" t="s">
        <v>59</v>
      </c>
      <c r="BP7" s="231" t="s">
        <v>73</v>
      </c>
      <c r="BQ7" s="102" t="s">
        <v>4</v>
      </c>
      <c r="BR7" s="107" t="s">
        <v>59</v>
      </c>
      <c r="BS7" s="107" t="s">
        <v>73</v>
      </c>
      <c r="BT7" s="108" t="s">
        <v>4</v>
      </c>
      <c r="BU7" s="107" t="s">
        <v>59</v>
      </c>
      <c r="BV7" s="107" t="s">
        <v>73</v>
      </c>
      <c r="BW7" s="108" t="s">
        <v>4</v>
      </c>
      <c r="BX7" s="107" t="s">
        <v>59</v>
      </c>
      <c r="BY7" s="107" t="s">
        <v>73</v>
      </c>
      <c r="BZ7" s="108" t="s">
        <v>4</v>
      </c>
      <c r="CA7" s="107" t="s">
        <v>59</v>
      </c>
      <c r="CB7" s="107" t="s">
        <v>73</v>
      </c>
      <c r="CC7" s="108" t="s">
        <v>4</v>
      </c>
      <c r="CD7" s="107" t="s">
        <v>59</v>
      </c>
      <c r="CE7" s="107" t="s">
        <v>73</v>
      </c>
      <c r="CF7" s="471" t="s">
        <v>4</v>
      </c>
      <c r="CG7" s="1004">
        <v>47</v>
      </c>
      <c r="CH7" s="1005">
        <f>(BO8*BP8*BQ8)+(BR8*BS8*BT8)+(BU8*BV8*BW8)+(BX8*BY8*BZ8)+(CA8*CB8*CC8)+(CD8*CE8*CF8)</f>
        <v>3505.5000000000005</v>
      </c>
      <c r="CI7" s="940"/>
      <c r="CJ7" s="1016"/>
      <c r="CL7" s="1042"/>
      <c r="CM7" s="460" t="s">
        <v>59</v>
      </c>
      <c r="CN7" s="460" t="s">
        <v>73</v>
      </c>
      <c r="CO7" s="461" t="s">
        <v>4</v>
      </c>
      <c r="CP7" s="303" t="s">
        <v>59</v>
      </c>
      <c r="CQ7" s="303" t="s">
        <v>73</v>
      </c>
      <c r="CR7" s="304" t="s">
        <v>4</v>
      </c>
      <c r="CS7" s="231" t="s">
        <v>59</v>
      </c>
      <c r="CT7" s="231" t="s">
        <v>73</v>
      </c>
      <c r="CU7" s="102" t="s">
        <v>4</v>
      </c>
      <c r="CV7" s="303" t="s">
        <v>59</v>
      </c>
      <c r="CW7" s="303" t="s">
        <v>73</v>
      </c>
      <c r="CX7" s="304" t="s">
        <v>4</v>
      </c>
      <c r="CY7" s="303" t="s">
        <v>59</v>
      </c>
      <c r="CZ7" s="303" t="s">
        <v>73</v>
      </c>
      <c r="DA7" s="304" t="s">
        <v>4</v>
      </c>
      <c r="DB7" s="271" t="s">
        <v>59</v>
      </c>
      <c r="DC7" s="271" t="s">
        <v>73</v>
      </c>
      <c r="DD7" s="272" t="s">
        <v>4</v>
      </c>
      <c r="DE7" s="1004">
        <f>60+16</f>
        <v>76</v>
      </c>
      <c r="DF7" s="1005">
        <f>(CM8*CN8*CO8)+(CP8*CQ8*CR8)+(CS8*CT8*CU8)+(CV8*CW8*CX8)+(CY8*CZ8*DA8)+(DB8*DC8*DD8)</f>
        <v>4586.6000000000004</v>
      </c>
      <c r="DG7" s="940"/>
      <c r="DH7" s="1016"/>
      <c r="DJ7" s="1052"/>
      <c r="DK7" s="491" t="s">
        <v>59</v>
      </c>
      <c r="DL7" s="491" t="s">
        <v>73</v>
      </c>
      <c r="DM7" s="492" t="s">
        <v>4</v>
      </c>
      <c r="DN7" s="491" t="s">
        <v>59</v>
      </c>
      <c r="DO7" s="491" t="s">
        <v>73</v>
      </c>
      <c r="DP7" s="492" t="s">
        <v>4</v>
      </c>
      <c r="DQ7" s="491" t="s">
        <v>59</v>
      </c>
      <c r="DR7" s="491" t="s">
        <v>73</v>
      </c>
      <c r="DS7" s="492" t="s">
        <v>4</v>
      </c>
      <c r="DT7" s="491" t="s">
        <v>59</v>
      </c>
      <c r="DU7" s="491" t="s">
        <v>73</v>
      </c>
      <c r="DV7" s="492" t="s">
        <v>4</v>
      </c>
      <c r="DW7" s="491" t="s">
        <v>59</v>
      </c>
      <c r="DX7" s="491" t="s">
        <v>73</v>
      </c>
      <c r="DY7" s="492" t="s">
        <v>4</v>
      </c>
      <c r="DZ7" s="491" t="s">
        <v>59</v>
      </c>
      <c r="EA7" s="491" t="s">
        <v>73</v>
      </c>
      <c r="EB7" s="493" t="s">
        <v>4</v>
      </c>
      <c r="EC7" s="1071"/>
      <c r="ED7" s="1072">
        <f>(DK8*DL8*DM8)+(DN8*DO8*DP8)+(DQ8*DR8*DS8)+(DT8*DU8*DV8)+(DW8*DX8*DY8)+(DZ8*EA8*EB8)</f>
        <v>0</v>
      </c>
      <c r="EE7" s="1068"/>
      <c r="EF7" s="1070"/>
      <c r="EH7" s="1075"/>
      <c r="EI7" s="460" t="s">
        <v>59</v>
      </c>
      <c r="EJ7" s="460" t="s">
        <v>73</v>
      </c>
      <c r="EK7" s="461" t="s">
        <v>4</v>
      </c>
      <c r="EL7" s="460" t="s">
        <v>59</v>
      </c>
      <c r="EM7" s="460" t="s">
        <v>73</v>
      </c>
      <c r="EN7" s="461" t="s">
        <v>4</v>
      </c>
      <c r="EO7" s="460" t="s">
        <v>59</v>
      </c>
      <c r="EP7" s="460" t="s">
        <v>73</v>
      </c>
      <c r="EQ7" s="461" t="s">
        <v>4</v>
      </c>
      <c r="ER7" s="460" t="s">
        <v>59</v>
      </c>
      <c r="ES7" s="460" t="s">
        <v>73</v>
      </c>
      <c r="ET7" s="461" t="s">
        <v>4</v>
      </c>
      <c r="EU7" s="460" t="s">
        <v>59</v>
      </c>
      <c r="EV7" s="460" t="s">
        <v>73</v>
      </c>
      <c r="EW7" s="461" t="s">
        <v>4</v>
      </c>
      <c r="EX7" s="460" t="s">
        <v>59</v>
      </c>
      <c r="EY7" s="460" t="s">
        <v>73</v>
      </c>
      <c r="EZ7" s="473" t="s">
        <v>4</v>
      </c>
      <c r="FA7" s="1004"/>
      <c r="FB7" s="1005">
        <f>(EI8*EJ8*EK8)+(EL8*EM8*EN8)+(EO8*EP8*EQ8)+(ER8*ES8*ET8)+(EU8*EV8*EW8)+(EX8*EY8*EZ8)</f>
        <v>0</v>
      </c>
      <c r="FC7" s="940"/>
      <c r="FD7" s="1016"/>
      <c r="FF7" s="1042"/>
      <c r="FG7" s="460" t="s">
        <v>59</v>
      </c>
      <c r="FH7" s="460" t="s">
        <v>73</v>
      </c>
      <c r="FI7" s="461" t="s">
        <v>4</v>
      </c>
      <c r="FJ7" s="460" t="s">
        <v>59</v>
      </c>
      <c r="FK7" s="460" t="s">
        <v>73</v>
      </c>
      <c r="FL7" s="461" t="s">
        <v>4</v>
      </c>
      <c r="FM7" s="460" t="s">
        <v>59</v>
      </c>
      <c r="FN7" s="460" t="s">
        <v>73</v>
      </c>
      <c r="FO7" s="461" t="s">
        <v>4</v>
      </c>
      <c r="FP7" s="460" t="s">
        <v>59</v>
      </c>
      <c r="FQ7" s="460" t="s">
        <v>73</v>
      </c>
      <c r="FR7" s="461" t="s">
        <v>4</v>
      </c>
      <c r="FS7" s="460" t="s">
        <v>59</v>
      </c>
      <c r="FT7" s="460" t="s">
        <v>73</v>
      </c>
      <c r="FU7" s="461" t="s">
        <v>4</v>
      </c>
      <c r="FV7" s="460" t="s">
        <v>59</v>
      </c>
      <c r="FW7" s="460" t="s">
        <v>73</v>
      </c>
      <c r="FX7" s="473" t="s">
        <v>4</v>
      </c>
      <c r="FY7" s="1004"/>
      <c r="FZ7" s="1005">
        <f>(FG8*FH8*FI8)+(FJ8*FK8*FL8)+(FM8*FN8*FO8)+(FP8*FQ8*FR8)+(FS8*FT8*FU8)+(FV8*FW8*FX8)</f>
        <v>0</v>
      </c>
      <c r="GA7" s="940"/>
      <c r="GB7" s="1016"/>
      <c r="GD7" s="1062"/>
      <c r="GE7" s="460" t="s">
        <v>59</v>
      </c>
      <c r="GF7" s="460" t="s">
        <v>73</v>
      </c>
      <c r="GG7" s="461" t="s">
        <v>4</v>
      </c>
      <c r="GH7" s="460" t="s">
        <v>59</v>
      </c>
      <c r="GI7" s="460" t="s">
        <v>73</v>
      </c>
      <c r="GJ7" s="461" t="s">
        <v>4</v>
      </c>
      <c r="GK7" s="460" t="s">
        <v>59</v>
      </c>
      <c r="GL7" s="460" t="s">
        <v>73</v>
      </c>
      <c r="GM7" s="461" t="s">
        <v>4</v>
      </c>
      <c r="GN7" s="460" t="s">
        <v>59</v>
      </c>
      <c r="GO7" s="460" t="s">
        <v>73</v>
      </c>
      <c r="GP7" s="461" t="s">
        <v>4</v>
      </c>
      <c r="GQ7" s="460" t="s">
        <v>59</v>
      </c>
      <c r="GR7" s="460" t="s">
        <v>73</v>
      </c>
      <c r="GS7" s="461" t="s">
        <v>4</v>
      </c>
      <c r="GT7" s="460" t="s">
        <v>59</v>
      </c>
      <c r="GU7" s="460" t="s">
        <v>73</v>
      </c>
      <c r="GV7" s="473" t="s">
        <v>4</v>
      </c>
      <c r="GW7" s="1004"/>
      <c r="GX7" s="1005">
        <f>(GE8*GF8*GG8)+(GH8*GI8*GJ8)+(GK8*GL8*GM8)+(GN8*GO8*GP8)+(GQ8*GR8*GS8)+(GT8*GU8*GV8)</f>
        <v>0</v>
      </c>
      <c r="GY7" s="940"/>
      <c r="GZ7" s="1016"/>
      <c r="HB7" s="1039"/>
      <c r="HC7" s="460" t="s">
        <v>59</v>
      </c>
      <c r="HD7" s="460" t="s">
        <v>73</v>
      </c>
      <c r="HE7" s="461" t="s">
        <v>4</v>
      </c>
      <c r="HF7" s="460" t="s">
        <v>59</v>
      </c>
      <c r="HG7" s="460" t="s">
        <v>73</v>
      </c>
      <c r="HH7" s="461" t="s">
        <v>4</v>
      </c>
      <c r="HI7" s="460" t="s">
        <v>59</v>
      </c>
      <c r="HJ7" s="460" t="s">
        <v>73</v>
      </c>
      <c r="HK7" s="461" t="s">
        <v>4</v>
      </c>
      <c r="HL7" s="460" t="s">
        <v>59</v>
      </c>
      <c r="HM7" s="460" t="s">
        <v>73</v>
      </c>
      <c r="HN7" s="461" t="s">
        <v>4</v>
      </c>
      <c r="HO7" s="460" t="s">
        <v>59</v>
      </c>
      <c r="HP7" s="460" t="s">
        <v>73</v>
      </c>
      <c r="HQ7" s="461" t="s">
        <v>4</v>
      </c>
      <c r="HR7" s="460" t="s">
        <v>59</v>
      </c>
      <c r="HS7" s="460" t="s">
        <v>73</v>
      </c>
      <c r="HT7" s="473" t="s">
        <v>4</v>
      </c>
      <c r="HU7" s="1004"/>
      <c r="HV7" s="1005">
        <f>(HC8*HD8*HE8)+(HF8*HG8*HH8)+(HI8*HJ8*HK8)+(HL8*HM8*HN8)+(HO8*HP8*HQ8)+(HR8*HS8*HT8)</f>
        <v>0</v>
      </c>
      <c r="HW7" s="940"/>
      <c r="HX7" s="1016"/>
      <c r="HZ7" s="1049"/>
      <c r="IA7" s="460" t="s">
        <v>59</v>
      </c>
      <c r="IB7" s="460" t="s">
        <v>73</v>
      </c>
      <c r="IC7" s="461" t="s">
        <v>4</v>
      </c>
      <c r="ID7" s="460" t="s">
        <v>59</v>
      </c>
      <c r="IE7" s="460" t="s">
        <v>73</v>
      </c>
      <c r="IF7" s="461" t="s">
        <v>4</v>
      </c>
      <c r="IG7" s="460" t="s">
        <v>59</v>
      </c>
      <c r="IH7" s="460" t="s">
        <v>73</v>
      </c>
      <c r="II7" s="461" t="s">
        <v>4</v>
      </c>
      <c r="IJ7" s="460" t="s">
        <v>59</v>
      </c>
      <c r="IK7" s="460" t="s">
        <v>73</v>
      </c>
      <c r="IL7" s="461" t="s">
        <v>4</v>
      </c>
      <c r="IM7" s="460" t="s">
        <v>59</v>
      </c>
      <c r="IN7" s="460" t="s">
        <v>73</v>
      </c>
      <c r="IO7" s="461" t="s">
        <v>4</v>
      </c>
      <c r="IP7" s="460" t="s">
        <v>59</v>
      </c>
      <c r="IQ7" s="460" t="s">
        <v>73</v>
      </c>
      <c r="IR7" s="473" t="s">
        <v>4</v>
      </c>
      <c r="IS7" s="1004"/>
      <c r="IT7" s="1005">
        <f>(IA8*IB8*IC8)+(ID8*IE8*IF8)+(IG8*IH8*II8)+(IJ8*IK8*IL8)+(IM8*IN8*IO8)+(IP8*IQ8*IR8)</f>
        <v>0</v>
      </c>
      <c r="IU7" s="940"/>
      <c r="IV7" s="1016"/>
      <c r="IX7" s="1065"/>
      <c r="IY7" s="460" t="s">
        <v>59</v>
      </c>
      <c r="IZ7" s="460" t="s">
        <v>73</v>
      </c>
      <c r="JA7" s="461" t="s">
        <v>4</v>
      </c>
      <c r="JB7" s="460" t="s">
        <v>59</v>
      </c>
      <c r="JC7" s="460" t="s">
        <v>73</v>
      </c>
      <c r="JD7" s="461" t="s">
        <v>4</v>
      </c>
      <c r="JE7" s="460" t="s">
        <v>59</v>
      </c>
      <c r="JF7" s="460" t="s">
        <v>73</v>
      </c>
      <c r="JG7" s="461" t="s">
        <v>4</v>
      </c>
      <c r="JH7" s="460" t="s">
        <v>59</v>
      </c>
      <c r="JI7" s="460" t="s">
        <v>73</v>
      </c>
      <c r="JJ7" s="461" t="s">
        <v>4</v>
      </c>
      <c r="JK7" s="460" t="s">
        <v>59</v>
      </c>
      <c r="JL7" s="460" t="s">
        <v>73</v>
      </c>
      <c r="JM7" s="461" t="s">
        <v>4</v>
      </c>
      <c r="JN7" s="460" t="s">
        <v>59</v>
      </c>
      <c r="JO7" s="460" t="s">
        <v>73</v>
      </c>
      <c r="JP7" s="473" t="s">
        <v>4</v>
      </c>
      <c r="JQ7" s="1004"/>
      <c r="JR7" s="1005">
        <f>(IY8*IZ8*JA8)+(JB8*JC8*JD8)+(JE8*JF8*JG8)+(JH8*JI8*JJ8)+(JK8*JL8*JM8)+(JN8*JO8*JP8)</f>
        <v>0</v>
      </c>
      <c r="JS7" s="940"/>
      <c r="JT7" s="1016"/>
      <c r="JV7" s="1039"/>
      <c r="JW7" s="460" t="s">
        <v>59</v>
      </c>
      <c r="JX7" s="460" t="s">
        <v>73</v>
      </c>
      <c r="JY7" s="461" t="s">
        <v>4</v>
      </c>
      <c r="JZ7" s="460" t="s">
        <v>59</v>
      </c>
      <c r="KA7" s="460" t="s">
        <v>73</v>
      </c>
      <c r="KB7" s="461" t="s">
        <v>4</v>
      </c>
      <c r="KC7" s="460" t="s">
        <v>59</v>
      </c>
      <c r="KD7" s="460" t="s">
        <v>73</v>
      </c>
      <c r="KE7" s="461" t="s">
        <v>4</v>
      </c>
      <c r="KF7" s="460" t="s">
        <v>59</v>
      </c>
      <c r="KG7" s="460" t="s">
        <v>73</v>
      </c>
      <c r="KH7" s="461" t="s">
        <v>4</v>
      </c>
      <c r="KI7" s="460" t="s">
        <v>59</v>
      </c>
      <c r="KJ7" s="460" t="s">
        <v>73</v>
      </c>
      <c r="KK7" s="461" t="s">
        <v>4</v>
      </c>
      <c r="KL7" s="460" t="s">
        <v>59</v>
      </c>
      <c r="KM7" s="460" t="s">
        <v>73</v>
      </c>
      <c r="KN7" s="473" t="s">
        <v>4</v>
      </c>
      <c r="KO7" s="1004"/>
      <c r="KP7" s="1005">
        <f>(JW8*JX8*JY8)+(JZ8*KA8*KB8)+(KC8*KD8*KE8)+(KF8*KG8*KH8)+(KI8*KJ8*KK8)+(KL8*KM8*KN8)</f>
        <v>0</v>
      </c>
      <c r="KQ7" s="940"/>
      <c r="KR7" s="1016"/>
      <c r="KT7" s="1052"/>
      <c r="KU7" s="491" t="s">
        <v>59</v>
      </c>
      <c r="KV7" s="491" t="s">
        <v>73</v>
      </c>
      <c r="KW7" s="492" t="s">
        <v>4</v>
      </c>
      <c r="KX7" s="491" t="s">
        <v>59</v>
      </c>
      <c r="KY7" s="491" t="s">
        <v>73</v>
      </c>
      <c r="KZ7" s="492" t="s">
        <v>4</v>
      </c>
      <c r="LA7" s="491" t="s">
        <v>59</v>
      </c>
      <c r="LB7" s="491" t="s">
        <v>73</v>
      </c>
      <c r="LC7" s="492" t="s">
        <v>4</v>
      </c>
      <c r="LD7" s="491" t="s">
        <v>59</v>
      </c>
      <c r="LE7" s="491" t="s">
        <v>73</v>
      </c>
      <c r="LF7" s="492" t="s">
        <v>4</v>
      </c>
      <c r="LG7" s="491" t="s">
        <v>59</v>
      </c>
      <c r="LH7" s="491" t="s">
        <v>73</v>
      </c>
      <c r="LI7" s="492" t="s">
        <v>4</v>
      </c>
      <c r="LJ7" s="491" t="s">
        <v>59</v>
      </c>
      <c r="LK7" s="491" t="s">
        <v>73</v>
      </c>
      <c r="LL7" s="493" t="s">
        <v>4</v>
      </c>
      <c r="LM7" s="1071"/>
      <c r="LN7" s="1072">
        <f>(KU8*KV8*KW8)+(KX8*KY8*KZ8)+(LA8*LB8*LC8)+(LD8*LE8*LF8)+(LG8*LH8*LI8)+(LJ8*LK8*LL8)</f>
        <v>0</v>
      </c>
      <c r="LO7" s="1068"/>
      <c r="LP7" s="1070"/>
      <c r="LR7" s="61">
        <v>5</v>
      </c>
      <c r="LS7" s="62" t="str" cm="1">
        <f t="array" ref="LS7">IF(INDEX(S:S, (ROW()-ROW($S$3))*3 + 3) &lt;&gt; "", "✔", "")</f>
        <v>✔</v>
      </c>
      <c r="LT7" s="61">
        <v>5</v>
      </c>
      <c r="LU7" s="62" t="str" cm="1">
        <f t="array" ref="LU7">IF(INDEX(AQ:AQ, (ROW()-ROW($AQ$3))*3 + 3) &lt;&gt; "", "✔", "")</f>
        <v>✔</v>
      </c>
      <c r="LV7" s="61">
        <v>5</v>
      </c>
      <c r="LW7" s="501" t="str" cm="1">
        <f t="array" ref="LW7">IF(INDEX(BO:BO, (ROW()-ROW($BO$3))*3 + 3) &lt;&gt; "", "✔", "")</f>
        <v>✔</v>
      </c>
      <c r="LX7" s="503">
        <v>5</v>
      </c>
      <c r="LY7" s="485" t="str" cm="1">
        <f t="array" ref="LY7">IF(INDEX(CM:CM, (ROW()-ROW($CM$3))*3 + 3) &lt;&gt; "", "✔", "")</f>
        <v>✔</v>
      </c>
      <c r="LZ7" s="507">
        <v>5</v>
      </c>
      <c r="MA7" s="485" t="str" cm="1">
        <f t="array" ref="MA7">IF(INDEX(DK:DK, (ROW()-ROW($DK$3))*3 + 3) &lt;&gt; "", "✔", "")</f>
        <v/>
      </c>
      <c r="MB7" s="503">
        <v>5</v>
      </c>
      <c r="MC7" s="485" t="str" cm="1">
        <f t="array" ref="MC7">IF(INDEX(EI:EI, (ROW()-ROW($EI$3))*3 + 3) &lt;&gt; "", "✔", "")</f>
        <v/>
      </c>
      <c r="MD7" s="503">
        <v>5</v>
      </c>
      <c r="ME7" s="485" t="str" cm="1">
        <f t="array" ref="ME7">IF(INDEX(FG:FG, (ROW()-ROW($FG$3))*3 + 3) &lt;&gt; "", "✔", "")</f>
        <v/>
      </c>
      <c r="MF7" s="503">
        <v>5</v>
      </c>
      <c r="MG7" s="485" t="str" cm="1">
        <f t="array" ref="MG7">IF(INDEX(GE:GE, (ROW()-ROW($GE$3))*3 + 3) &lt;&gt; "", "✔", "")</f>
        <v/>
      </c>
      <c r="MH7" s="503">
        <v>5</v>
      </c>
      <c r="MI7" s="485" t="str" cm="1">
        <f t="array" ref="MI7">IF(INDEX(HC:HC, (ROW()-ROW($HC$3))*3 + 3) &lt;&gt; "", "✔", "")</f>
        <v/>
      </c>
      <c r="MJ7" s="503">
        <v>5</v>
      </c>
      <c r="MK7" s="485" t="str" cm="1">
        <f t="array" ref="MK7">IF(INDEX(IA:IA, (ROW()-ROW($IA$3))*3 + 3) &lt;&gt; "", "✔", "")</f>
        <v/>
      </c>
      <c r="ML7" s="503">
        <v>5</v>
      </c>
      <c r="MM7" s="485" t="str" cm="1">
        <f t="array" ref="MM7">IF(INDEX(IY:IY, (ROW()-ROW($IY$3))*3 + 3) &lt;&gt; "", "✔", "")</f>
        <v/>
      </c>
      <c r="MN7" s="503">
        <v>5</v>
      </c>
      <c r="MO7" s="485" t="str" cm="1">
        <f t="array" ref="MO7">IF(INDEX(JW:JW, (ROW()-ROW($JW$3))*3 + 3) &lt;&gt; "", "✔", "")</f>
        <v/>
      </c>
      <c r="MP7" s="503">
        <v>5</v>
      </c>
      <c r="MQ7" s="13" t="str" cm="1">
        <f t="array" ref="MQ7">IF(INDEX(KU:KU, (ROW()-ROW($KU$3))*3 + 3) &lt;&gt; "", "✔", "")</f>
        <v/>
      </c>
    </row>
    <row r="8" spans="1:355" ht="16.5" thickBot="1">
      <c r="A8" s="989"/>
      <c r="B8" s="992"/>
      <c r="C8" s="341" t="s">
        <v>129</v>
      </c>
      <c r="D8" s="341">
        <v>3</v>
      </c>
      <c r="E8" s="341" t="s">
        <v>389</v>
      </c>
      <c r="F8" s="359"/>
      <c r="G8" s="359"/>
      <c r="H8" s="359"/>
      <c r="I8" s="360"/>
      <c r="J8" s="995"/>
      <c r="K8" s="343">
        <v>1</v>
      </c>
      <c r="L8" s="344">
        <v>0</v>
      </c>
      <c r="M8" s="344">
        <v>1.5</v>
      </c>
      <c r="N8" s="344">
        <v>3.5</v>
      </c>
      <c r="O8" s="344">
        <f t="shared" si="0"/>
        <v>8.75</v>
      </c>
      <c r="P8" s="998"/>
      <c r="R8" s="878"/>
      <c r="S8" s="233"/>
      <c r="T8" s="233"/>
      <c r="U8" s="233"/>
      <c r="V8" s="233"/>
      <c r="W8" s="233"/>
      <c r="X8" s="233"/>
      <c r="Y8" s="233"/>
      <c r="Z8" s="233"/>
      <c r="AA8" s="233"/>
      <c r="AB8" s="233"/>
      <c r="AC8" s="233"/>
      <c r="AD8" s="233"/>
      <c r="AE8" s="233"/>
      <c r="AF8" s="233"/>
      <c r="AG8" s="233"/>
      <c r="AH8" s="233"/>
      <c r="AI8" s="233"/>
      <c r="AJ8" s="472"/>
      <c r="AK8" s="1004"/>
      <c r="AL8" s="1002"/>
      <c r="AM8" s="941"/>
      <c r="AN8" s="855"/>
      <c r="AO8" s="118"/>
      <c r="AP8" s="872"/>
      <c r="AQ8" s="229">
        <v>4</v>
      </c>
      <c r="AR8" s="229">
        <f>((12*1)+(8*3))/4</f>
        <v>9</v>
      </c>
      <c r="AS8" s="229">
        <f>((36*1)+(68*3))/4</f>
        <v>60</v>
      </c>
      <c r="AT8" s="229">
        <v>4</v>
      </c>
      <c r="AU8" s="229">
        <f>((14*1)+(12*3))/4</f>
        <v>12.5</v>
      </c>
      <c r="AV8" s="229">
        <f>((18.1*1)+(34*3))/4</f>
        <v>30.024999999999999</v>
      </c>
      <c r="AW8" s="229">
        <v>4</v>
      </c>
      <c r="AX8" s="229">
        <f>((12*1)+(10*3))/4</f>
        <v>10.5</v>
      </c>
      <c r="AY8" s="229">
        <f>((11.3*1)+(24.9*3))/4</f>
        <v>21.499999999999996</v>
      </c>
      <c r="AZ8" s="229">
        <v>4</v>
      </c>
      <c r="BA8" s="229">
        <f>((12*1)+(8*3))/4</f>
        <v>9</v>
      </c>
      <c r="BB8" s="229">
        <f>((2.5*1)+(7.5*3))/4</f>
        <v>6.25</v>
      </c>
      <c r="BC8" s="229">
        <v>4</v>
      </c>
      <c r="BD8" s="126">
        <f>((12*1)+(10*3))/4</f>
        <v>10.5</v>
      </c>
      <c r="BE8" s="229">
        <f>((11.3*1)+(22.7*3))/4</f>
        <v>19.849999999999998</v>
      </c>
      <c r="BF8" s="233"/>
      <c r="BG8" s="233"/>
      <c r="BH8" s="472"/>
      <c r="BI8" s="1004"/>
      <c r="BJ8" s="1003"/>
      <c r="BK8" s="941"/>
      <c r="BL8" s="1016"/>
      <c r="BM8" s="118"/>
      <c r="BN8" s="872"/>
      <c r="BO8" s="229">
        <v>1</v>
      </c>
      <c r="BP8" s="229">
        <v>45</v>
      </c>
      <c r="BQ8" s="229">
        <f>CJ6</f>
        <v>77.900000000000006</v>
      </c>
      <c r="BR8" s="233"/>
      <c r="BS8" s="233"/>
      <c r="BT8" s="233"/>
      <c r="BU8" s="233"/>
      <c r="BV8" s="233"/>
      <c r="BW8" s="233"/>
      <c r="BX8" s="233"/>
      <c r="BY8" s="233"/>
      <c r="BZ8" s="233"/>
      <c r="CA8" s="233"/>
      <c r="CB8" s="233"/>
      <c r="CC8" s="233"/>
      <c r="CD8" s="233"/>
      <c r="CE8" s="233"/>
      <c r="CF8" s="472"/>
      <c r="CG8" s="1004"/>
      <c r="CH8" s="1006"/>
      <c r="CI8" s="941"/>
      <c r="CJ8" s="1016"/>
      <c r="CL8" s="1043"/>
      <c r="CM8" s="462">
        <v>4</v>
      </c>
      <c r="CN8" s="305">
        <f>((12*3)+(8*1))/4</f>
        <v>11</v>
      </c>
      <c r="CO8" s="305">
        <f>((9.1*1)+(18.1*3))/4</f>
        <v>15.850000000000001</v>
      </c>
      <c r="CP8" s="305">
        <v>4</v>
      </c>
      <c r="CQ8" s="305">
        <f>((12*2)+(14*1)+(10*1))/4</f>
        <v>12</v>
      </c>
      <c r="CR8" s="305">
        <f>((9.1*1)+(13.6*1)+(15.9*1)+(18.1*1))/4</f>
        <v>14.175000000000001</v>
      </c>
      <c r="CS8" s="229">
        <v>4</v>
      </c>
      <c r="CT8" s="229">
        <f>((12*4))/4</f>
        <v>12</v>
      </c>
      <c r="CU8" s="229">
        <f>((18.1*1)+(34*3))/4</f>
        <v>30.024999999999999</v>
      </c>
      <c r="CV8" s="305">
        <v>4</v>
      </c>
      <c r="CW8" s="305">
        <f>((12*1)+(8*2)+(10*1))/4</f>
        <v>9.5</v>
      </c>
      <c r="CX8" s="305">
        <f>((9.1*2)+(11.3*2))/4</f>
        <v>10.199999999999999</v>
      </c>
      <c r="CY8" s="305">
        <v>4</v>
      </c>
      <c r="CZ8" s="305">
        <f>((12*4))/4</f>
        <v>12</v>
      </c>
      <c r="DA8" s="305">
        <f>((15*1)+(30*1)+(35*2))/4</f>
        <v>28.75</v>
      </c>
      <c r="DB8" s="273"/>
      <c r="DC8" s="273"/>
      <c r="DD8" s="273"/>
      <c r="DE8" s="1004"/>
      <c r="DF8" s="1006"/>
      <c r="DG8" s="941"/>
      <c r="DH8" s="1016"/>
      <c r="DJ8" s="1053"/>
      <c r="DK8" s="494"/>
      <c r="DL8" s="494"/>
      <c r="DM8" s="494"/>
      <c r="DN8" s="494"/>
      <c r="DO8" s="494"/>
      <c r="DP8" s="494"/>
      <c r="DQ8" s="494"/>
      <c r="DR8" s="494"/>
      <c r="DS8" s="494"/>
      <c r="DT8" s="494"/>
      <c r="DU8" s="494"/>
      <c r="DV8" s="494"/>
      <c r="DW8" s="494"/>
      <c r="DX8" s="494"/>
      <c r="DY8" s="494"/>
      <c r="DZ8" s="494"/>
      <c r="EA8" s="494"/>
      <c r="EB8" s="495"/>
      <c r="EC8" s="1071"/>
      <c r="ED8" s="1073"/>
      <c r="EE8" s="1069"/>
      <c r="EF8" s="1070"/>
      <c r="EH8" s="1076"/>
      <c r="EI8" s="462"/>
      <c r="EJ8" s="462"/>
      <c r="EK8" s="462"/>
      <c r="EL8" s="462"/>
      <c r="EM8" s="462"/>
      <c r="EN8" s="462"/>
      <c r="EO8" s="462"/>
      <c r="EP8" s="462"/>
      <c r="EQ8" s="462"/>
      <c r="ER8" s="462"/>
      <c r="ES8" s="462"/>
      <c r="ET8" s="462"/>
      <c r="EU8" s="462"/>
      <c r="EV8" s="462"/>
      <c r="EW8" s="462"/>
      <c r="EX8" s="462"/>
      <c r="EY8" s="462"/>
      <c r="EZ8" s="474"/>
      <c r="FA8" s="1004"/>
      <c r="FB8" s="1006"/>
      <c r="FC8" s="941"/>
      <c r="FD8" s="1016"/>
      <c r="FF8" s="1043"/>
      <c r="FG8" s="462"/>
      <c r="FH8" s="462"/>
      <c r="FI8" s="462"/>
      <c r="FJ8" s="462"/>
      <c r="FK8" s="462"/>
      <c r="FL8" s="462"/>
      <c r="FM8" s="462"/>
      <c r="FN8" s="462"/>
      <c r="FO8" s="462"/>
      <c r="FP8" s="462"/>
      <c r="FQ8" s="462"/>
      <c r="FR8" s="462"/>
      <c r="FS8" s="462"/>
      <c r="FT8" s="462"/>
      <c r="FU8" s="462"/>
      <c r="FV8" s="462"/>
      <c r="FW8" s="462"/>
      <c r="FX8" s="474"/>
      <c r="FY8" s="1004"/>
      <c r="FZ8" s="1006"/>
      <c r="GA8" s="941"/>
      <c r="GB8" s="1016"/>
      <c r="GD8" s="1063"/>
      <c r="GE8" s="462"/>
      <c r="GF8" s="462"/>
      <c r="GG8" s="462"/>
      <c r="GH8" s="462"/>
      <c r="GI8" s="462"/>
      <c r="GJ8" s="462"/>
      <c r="GK8" s="462"/>
      <c r="GL8" s="462"/>
      <c r="GM8" s="462"/>
      <c r="GN8" s="462"/>
      <c r="GO8" s="462"/>
      <c r="GP8" s="462"/>
      <c r="GQ8" s="462"/>
      <c r="GR8" s="462"/>
      <c r="GS8" s="462"/>
      <c r="GT8" s="462"/>
      <c r="GU8" s="462"/>
      <c r="GV8" s="474"/>
      <c r="GW8" s="1004"/>
      <c r="GX8" s="1006"/>
      <c r="GY8" s="941"/>
      <c r="GZ8" s="1016"/>
      <c r="HB8" s="1040"/>
      <c r="HC8" s="462"/>
      <c r="HD8" s="462"/>
      <c r="HE8" s="462"/>
      <c r="HF8" s="462"/>
      <c r="HG8" s="462"/>
      <c r="HH8" s="462"/>
      <c r="HI8" s="462"/>
      <c r="HJ8" s="462"/>
      <c r="HK8" s="462"/>
      <c r="HL8" s="462"/>
      <c r="HM8" s="462"/>
      <c r="HN8" s="462"/>
      <c r="HO8" s="462"/>
      <c r="HP8" s="462"/>
      <c r="HQ8" s="462"/>
      <c r="HR8" s="462"/>
      <c r="HS8" s="462"/>
      <c r="HT8" s="474"/>
      <c r="HU8" s="1004"/>
      <c r="HV8" s="1006"/>
      <c r="HW8" s="941"/>
      <c r="HX8" s="1016"/>
      <c r="HZ8" s="1050"/>
      <c r="IA8" s="462"/>
      <c r="IB8" s="462"/>
      <c r="IC8" s="462"/>
      <c r="ID8" s="462"/>
      <c r="IE8" s="462"/>
      <c r="IF8" s="462"/>
      <c r="IG8" s="462"/>
      <c r="IH8" s="462"/>
      <c r="II8" s="462"/>
      <c r="IJ8" s="462"/>
      <c r="IK8" s="462"/>
      <c r="IL8" s="462"/>
      <c r="IM8" s="462"/>
      <c r="IN8" s="462"/>
      <c r="IO8" s="462"/>
      <c r="IP8" s="462"/>
      <c r="IQ8" s="462"/>
      <c r="IR8" s="474"/>
      <c r="IS8" s="1004"/>
      <c r="IT8" s="1006"/>
      <c r="IU8" s="941"/>
      <c r="IV8" s="1016"/>
      <c r="IX8" s="1066"/>
      <c r="IY8" s="462"/>
      <c r="IZ8" s="462"/>
      <c r="JA8" s="462"/>
      <c r="JB8" s="462"/>
      <c r="JC8" s="462"/>
      <c r="JD8" s="462"/>
      <c r="JE8" s="462"/>
      <c r="JF8" s="462"/>
      <c r="JG8" s="462"/>
      <c r="JH8" s="462"/>
      <c r="JI8" s="462"/>
      <c r="JJ8" s="462"/>
      <c r="JK8" s="462"/>
      <c r="JL8" s="462"/>
      <c r="JM8" s="462"/>
      <c r="JN8" s="462"/>
      <c r="JO8" s="462"/>
      <c r="JP8" s="474"/>
      <c r="JQ8" s="1004"/>
      <c r="JR8" s="1006"/>
      <c r="JS8" s="941"/>
      <c r="JT8" s="1016"/>
      <c r="JV8" s="1040"/>
      <c r="JW8" s="462"/>
      <c r="JX8" s="462"/>
      <c r="JY8" s="462"/>
      <c r="JZ8" s="462"/>
      <c r="KA8" s="462"/>
      <c r="KB8" s="462"/>
      <c r="KC8" s="462"/>
      <c r="KD8" s="462"/>
      <c r="KE8" s="462"/>
      <c r="KF8" s="462"/>
      <c r="KG8" s="462"/>
      <c r="KH8" s="462"/>
      <c r="KI8" s="462"/>
      <c r="KJ8" s="462"/>
      <c r="KK8" s="462"/>
      <c r="KL8" s="462"/>
      <c r="KM8" s="462"/>
      <c r="KN8" s="474"/>
      <c r="KO8" s="1004"/>
      <c r="KP8" s="1006"/>
      <c r="KQ8" s="941"/>
      <c r="KR8" s="1016"/>
      <c r="KT8" s="1053"/>
      <c r="KU8" s="494"/>
      <c r="KV8" s="494"/>
      <c r="KW8" s="494"/>
      <c r="KX8" s="494"/>
      <c r="KY8" s="494"/>
      <c r="KZ8" s="494"/>
      <c r="LA8" s="494"/>
      <c r="LB8" s="494"/>
      <c r="LC8" s="494"/>
      <c r="LD8" s="494"/>
      <c r="LE8" s="494"/>
      <c r="LF8" s="494"/>
      <c r="LG8" s="494"/>
      <c r="LH8" s="494"/>
      <c r="LI8" s="494"/>
      <c r="LJ8" s="494"/>
      <c r="LK8" s="494"/>
      <c r="LL8" s="495"/>
      <c r="LM8" s="1071"/>
      <c r="LN8" s="1073"/>
      <c r="LO8" s="1069"/>
      <c r="LP8" s="1070"/>
      <c r="LR8" s="61">
        <v>6</v>
      </c>
      <c r="LS8" s="62" t="str" cm="1">
        <f t="array" ref="LS8">IF(INDEX(S:S, (ROW()-ROW($S$3))*3 + 3) &lt;&gt; "", "✔", "")</f>
        <v>✔</v>
      </c>
      <c r="LT8" s="61">
        <v>6</v>
      </c>
      <c r="LU8" s="62" t="str" cm="1">
        <f t="array" ref="LU8">IF(INDEX(AQ:AQ, (ROW()-ROW($AQ$3))*3 + 3) &lt;&gt; "", "✔", "")</f>
        <v>✔</v>
      </c>
      <c r="LV8" s="61">
        <v>6</v>
      </c>
      <c r="LW8" s="501" t="str" cm="1">
        <f t="array" ref="LW8">IF(INDEX(BO:BO, (ROW()-ROW($BO$3))*3 + 3) &lt;&gt; "", "✔", "")</f>
        <v/>
      </c>
      <c r="LX8" s="503">
        <v>6</v>
      </c>
      <c r="LY8" s="485" t="str" cm="1">
        <f t="array" ref="LY8">IF(INDEX(CM:CM, (ROW()-ROW($CM$3))*3 + 3) &lt;&gt; "", "✔", "")</f>
        <v>✔</v>
      </c>
      <c r="LZ8" s="507">
        <v>6</v>
      </c>
      <c r="MA8" s="485" t="str" cm="1">
        <f t="array" ref="MA8">IF(INDEX(DK:DK, (ROW()-ROW($DK$3))*3 + 3) &lt;&gt; "", "✔", "")</f>
        <v/>
      </c>
      <c r="MB8" s="503">
        <v>6</v>
      </c>
      <c r="MC8" s="485" t="str" cm="1">
        <f t="array" ref="MC8">IF(INDEX(EI:EI, (ROW()-ROW($EI$3))*3 + 3) &lt;&gt; "", "✔", "")</f>
        <v/>
      </c>
      <c r="MD8" s="503">
        <v>6</v>
      </c>
      <c r="ME8" s="485" t="str" cm="1">
        <f t="array" ref="ME8">IF(INDEX(FG:FG, (ROW()-ROW($FG$3))*3 + 3) &lt;&gt; "", "✔", "")</f>
        <v/>
      </c>
      <c r="MF8" s="503">
        <v>6</v>
      </c>
      <c r="MG8" s="485" t="str" cm="1">
        <f t="array" ref="MG8">IF(INDEX(GE:GE, (ROW()-ROW($GE$3))*3 + 3) &lt;&gt; "", "✔", "")</f>
        <v/>
      </c>
      <c r="MH8" s="503">
        <v>6</v>
      </c>
      <c r="MI8" s="485" t="str" cm="1">
        <f t="array" ref="MI8">IF(INDEX(HC:HC, (ROW()-ROW($HC$3))*3 + 3) &lt;&gt; "", "✔", "")</f>
        <v/>
      </c>
      <c r="MJ8" s="503">
        <v>6</v>
      </c>
      <c r="MK8" s="485" t="str" cm="1">
        <f t="array" ref="MK8">IF(INDEX(IA:IA, (ROW()-ROW($IA$3))*3 + 3) &lt;&gt; "", "✔", "")</f>
        <v/>
      </c>
      <c r="ML8" s="503">
        <v>6</v>
      </c>
      <c r="MM8" s="485" t="str" cm="1">
        <f t="array" ref="MM8">IF(INDEX(IY:IY, (ROW()-ROW($IY$3))*3 + 3) &lt;&gt; "", "✔", "")</f>
        <v/>
      </c>
      <c r="MN8" s="503">
        <v>6</v>
      </c>
      <c r="MO8" s="485" t="str" cm="1">
        <f t="array" ref="MO8">IF(INDEX(JW:JW, (ROW()-ROW($JW$3))*3 + 3) &lt;&gt; "", "✔", "")</f>
        <v/>
      </c>
      <c r="MP8" s="503">
        <v>6</v>
      </c>
      <c r="MQ8" s="13" t="str" cm="1">
        <f t="array" ref="MQ8">IF(INDEX(KU:KU, (ROW()-ROW($KU$3))*3 + 3) &lt;&gt; "", "✔", "")</f>
        <v/>
      </c>
    </row>
    <row r="9" spans="1:355" ht="16.5" thickBot="1">
      <c r="A9" s="345" t="s">
        <v>410</v>
      </c>
      <c r="B9" s="346" t="s">
        <v>401</v>
      </c>
      <c r="C9" s="347" t="s">
        <v>396</v>
      </c>
      <c r="D9" s="347" t="s">
        <v>407</v>
      </c>
      <c r="E9" s="347" t="s">
        <v>397</v>
      </c>
      <c r="F9" s="352"/>
      <c r="G9" s="352"/>
      <c r="H9" s="352"/>
      <c r="I9" s="353"/>
      <c r="J9" s="348">
        <v>1</v>
      </c>
      <c r="K9" s="349">
        <v>40</v>
      </c>
      <c r="L9" s="350">
        <v>0</v>
      </c>
      <c r="M9" s="350">
        <v>0</v>
      </c>
      <c r="N9" s="350">
        <v>1</v>
      </c>
      <c r="O9" s="350">
        <f t="shared" si="0"/>
        <v>40</v>
      </c>
      <c r="P9" s="351">
        <f>SUM(O9)</f>
        <v>40</v>
      </c>
      <c r="R9" s="840">
        <v>46025</v>
      </c>
      <c r="S9" s="1023"/>
      <c r="T9" s="1023"/>
      <c r="U9" s="1023"/>
      <c r="V9" s="1030"/>
      <c r="W9" s="1030"/>
      <c r="X9" s="1030"/>
      <c r="Y9" s="1021"/>
      <c r="Z9" s="1022"/>
      <c r="AA9" s="1024"/>
      <c r="AB9" s="1031"/>
      <c r="AC9" s="1032"/>
      <c r="AD9" s="1033"/>
      <c r="AE9" s="1021"/>
      <c r="AF9" s="1022"/>
      <c r="AG9" s="1024"/>
      <c r="AH9" s="1021"/>
      <c r="AI9" s="1022"/>
      <c r="AJ9" s="1022"/>
      <c r="AK9" s="459" t="s">
        <v>425</v>
      </c>
      <c r="AL9" s="1">
        <f t="shared" ref="AL9" si="1">COUNTA(S9:AJ9)</f>
        <v>0</v>
      </c>
      <c r="AM9" s="939"/>
      <c r="AN9" s="855">
        <f>AN6</f>
        <v>76.900000000000006</v>
      </c>
      <c r="AO9" s="118"/>
      <c r="AP9" s="856">
        <v>46056</v>
      </c>
      <c r="AQ9" s="848" t="s">
        <v>70</v>
      </c>
      <c r="AR9" s="848"/>
      <c r="AS9" s="848"/>
      <c r="AT9" s="859"/>
      <c r="AU9" s="859"/>
      <c r="AV9" s="859"/>
      <c r="AW9" s="834"/>
      <c r="AX9" s="835"/>
      <c r="AY9" s="836"/>
      <c r="AZ9" s="867"/>
      <c r="BA9" s="868"/>
      <c r="BB9" s="869"/>
      <c r="BC9" s="834"/>
      <c r="BD9" s="835"/>
      <c r="BE9" s="836"/>
      <c r="BF9" s="834"/>
      <c r="BG9" s="835"/>
      <c r="BH9" s="835"/>
      <c r="BI9" s="459" t="s">
        <v>425</v>
      </c>
      <c r="BJ9" s="482">
        <f t="shared" ref="BJ9" si="2">COUNTA(AQ9:BH9)</f>
        <v>1</v>
      </c>
      <c r="BK9" s="939"/>
      <c r="BL9" s="1016">
        <v>77.5</v>
      </c>
      <c r="BM9" s="118"/>
      <c r="BN9" s="856">
        <v>46084</v>
      </c>
      <c r="BO9" s="848" t="s">
        <v>89</v>
      </c>
      <c r="BP9" s="848"/>
      <c r="BQ9" s="848"/>
      <c r="BR9" s="965" t="s">
        <v>789</v>
      </c>
      <c r="BS9" s="965"/>
      <c r="BT9" s="965"/>
      <c r="BU9" s="848" t="s">
        <v>115</v>
      </c>
      <c r="BV9" s="848"/>
      <c r="BW9" s="848"/>
      <c r="BX9" s="849" t="s">
        <v>114</v>
      </c>
      <c r="BY9" s="849"/>
      <c r="BZ9" s="849"/>
      <c r="CA9" s="848" t="s">
        <v>129</v>
      </c>
      <c r="CB9" s="848"/>
      <c r="CC9" s="848"/>
      <c r="CD9" s="834"/>
      <c r="CE9" s="835"/>
      <c r="CF9" s="835"/>
      <c r="CG9" s="459" t="s">
        <v>425</v>
      </c>
      <c r="CH9" s="482">
        <f t="shared" ref="CH9" si="3">COUNTA(BO9:CF9)</f>
        <v>5</v>
      </c>
      <c r="CI9" s="939">
        <v>6</v>
      </c>
      <c r="CJ9" s="1016">
        <v>77</v>
      </c>
      <c r="CL9" s="1048">
        <v>46115</v>
      </c>
      <c r="CM9" s="890" t="s">
        <v>379</v>
      </c>
      <c r="CN9" s="890"/>
      <c r="CO9" s="890"/>
      <c r="CP9" s="848" t="s">
        <v>68</v>
      </c>
      <c r="CQ9" s="848"/>
      <c r="CR9" s="848"/>
      <c r="CS9" s="848" t="s">
        <v>380</v>
      </c>
      <c r="CT9" s="848"/>
      <c r="CU9" s="848"/>
      <c r="CV9" s="882" t="s">
        <v>391</v>
      </c>
      <c r="CW9" s="883"/>
      <c r="CX9" s="884"/>
      <c r="CY9" s="897" t="s">
        <v>617</v>
      </c>
      <c r="CZ9" s="898"/>
      <c r="DA9" s="899"/>
      <c r="DB9" s="834"/>
      <c r="DC9" s="835"/>
      <c r="DD9" s="835"/>
      <c r="DE9" s="459" t="s">
        <v>425</v>
      </c>
      <c r="DF9" s="482">
        <f>COUNTA(CM9:DD9)</f>
        <v>5</v>
      </c>
      <c r="DG9" s="939">
        <v>9</v>
      </c>
      <c r="DH9" s="1016">
        <v>77.150000000000006</v>
      </c>
      <c r="DJ9" s="1061">
        <v>46145</v>
      </c>
      <c r="DK9" s="960"/>
      <c r="DL9" s="960"/>
      <c r="DM9" s="960"/>
      <c r="DN9" s="960"/>
      <c r="DO9" s="960"/>
      <c r="DP9" s="960"/>
      <c r="DQ9" s="960"/>
      <c r="DR9" s="960"/>
      <c r="DS9" s="960"/>
      <c r="DT9" s="960"/>
      <c r="DU9" s="960"/>
      <c r="DV9" s="960"/>
      <c r="DW9" s="961"/>
      <c r="DX9" s="962"/>
      <c r="DY9" s="963"/>
      <c r="DZ9" s="961"/>
      <c r="EA9" s="962"/>
      <c r="EB9" s="962"/>
      <c r="EC9" s="459" t="s">
        <v>425</v>
      </c>
      <c r="ED9" s="482">
        <f>COUNTA(DK9:EB9)</f>
        <v>0</v>
      </c>
      <c r="EE9" s="939"/>
      <c r="EF9" s="1016"/>
      <c r="EH9" s="1038">
        <v>46176</v>
      </c>
      <c r="EI9" s="960"/>
      <c r="EJ9" s="960"/>
      <c r="EK9" s="960"/>
      <c r="EL9" s="960"/>
      <c r="EM9" s="960"/>
      <c r="EN9" s="960"/>
      <c r="EO9" s="960"/>
      <c r="EP9" s="960"/>
      <c r="EQ9" s="960"/>
      <c r="ER9" s="960"/>
      <c r="ES9" s="960"/>
      <c r="ET9" s="960"/>
      <c r="EU9" s="961"/>
      <c r="EV9" s="962"/>
      <c r="EW9" s="963"/>
      <c r="EX9" s="961"/>
      <c r="EY9" s="962"/>
      <c r="EZ9" s="962"/>
      <c r="FA9" s="459" t="s">
        <v>425</v>
      </c>
      <c r="FB9" s="482">
        <f>COUNTA(EI9:EZ9)</f>
        <v>0</v>
      </c>
      <c r="FC9" s="939"/>
      <c r="FD9" s="1016"/>
      <c r="FF9" s="1048">
        <v>46206</v>
      </c>
      <c r="FG9" s="960"/>
      <c r="FH9" s="960"/>
      <c r="FI9" s="960"/>
      <c r="FJ9" s="960"/>
      <c r="FK9" s="960"/>
      <c r="FL9" s="960"/>
      <c r="FM9" s="960"/>
      <c r="FN9" s="960"/>
      <c r="FO9" s="960"/>
      <c r="FP9" s="960"/>
      <c r="FQ9" s="960"/>
      <c r="FR9" s="960"/>
      <c r="FS9" s="961"/>
      <c r="FT9" s="962"/>
      <c r="FU9" s="963"/>
      <c r="FV9" s="961"/>
      <c r="FW9" s="962"/>
      <c r="FX9" s="962"/>
      <c r="FY9" s="459" t="s">
        <v>425</v>
      </c>
      <c r="FZ9" s="482">
        <f>COUNTA(FG9:FX9)</f>
        <v>0</v>
      </c>
      <c r="GA9" s="939"/>
      <c r="GB9" s="1016"/>
      <c r="GD9" s="1064">
        <v>46237</v>
      </c>
      <c r="GE9" s="960"/>
      <c r="GF9" s="960"/>
      <c r="GG9" s="960"/>
      <c r="GH9" s="960"/>
      <c r="GI9" s="960"/>
      <c r="GJ9" s="960"/>
      <c r="GK9" s="960"/>
      <c r="GL9" s="960"/>
      <c r="GM9" s="960"/>
      <c r="GN9" s="960"/>
      <c r="GO9" s="960"/>
      <c r="GP9" s="960"/>
      <c r="GQ9" s="961"/>
      <c r="GR9" s="962"/>
      <c r="GS9" s="963"/>
      <c r="GT9" s="961"/>
      <c r="GU9" s="962"/>
      <c r="GV9" s="962"/>
      <c r="GW9" s="459" t="s">
        <v>425</v>
      </c>
      <c r="GX9" s="482">
        <f>COUNTA(GE9:GV9)</f>
        <v>0</v>
      </c>
      <c r="GY9" s="939"/>
      <c r="GZ9" s="1016"/>
      <c r="HB9" s="1041">
        <v>46268</v>
      </c>
      <c r="HC9" s="960"/>
      <c r="HD9" s="960"/>
      <c r="HE9" s="960"/>
      <c r="HF9" s="960"/>
      <c r="HG9" s="960"/>
      <c r="HH9" s="960"/>
      <c r="HI9" s="960"/>
      <c r="HJ9" s="960"/>
      <c r="HK9" s="960"/>
      <c r="HL9" s="960"/>
      <c r="HM9" s="960"/>
      <c r="HN9" s="960"/>
      <c r="HO9" s="961"/>
      <c r="HP9" s="962"/>
      <c r="HQ9" s="963"/>
      <c r="HR9" s="961"/>
      <c r="HS9" s="962"/>
      <c r="HT9" s="962"/>
      <c r="HU9" s="459" t="s">
        <v>425</v>
      </c>
      <c r="HV9" s="482">
        <f>COUNTA(HC9:HT9)</f>
        <v>0</v>
      </c>
      <c r="HW9" s="939"/>
      <c r="HX9" s="1016"/>
      <c r="HZ9" s="1051">
        <v>46298</v>
      </c>
      <c r="IA9" s="1023"/>
      <c r="IB9" s="1023"/>
      <c r="IC9" s="1023"/>
      <c r="ID9" s="1023"/>
      <c r="IE9" s="1023"/>
      <c r="IF9" s="1023"/>
      <c r="IG9" s="1023"/>
      <c r="IH9" s="1023"/>
      <c r="II9" s="1023"/>
      <c r="IJ9" s="1023"/>
      <c r="IK9" s="1023"/>
      <c r="IL9" s="1023"/>
      <c r="IM9" s="1021"/>
      <c r="IN9" s="1022"/>
      <c r="IO9" s="1024"/>
      <c r="IP9" s="1021"/>
      <c r="IQ9" s="1022"/>
      <c r="IR9" s="1022"/>
      <c r="IS9" s="489" t="s">
        <v>425</v>
      </c>
      <c r="IT9" s="496">
        <f>COUNTA(IA9:IR9)</f>
        <v>0</v>
      </c>
      <c r="IU9" s="1067"/>
      <c r="IV9" s="1070"/>
      <c r="IX9" s="1074">
        <v>46329</v>
      </c>
      <c r="IY9" s="960"/>
      <c r="IZ9" s="960"/>
      <c r="JA9" s="960"/>
      <c r="JB9" s="960"/>
      <c r="JC9" s="960"/>
      <c r="JD9" s="960"/>
      <c r="JE9" s="960"/>
      <c r="JF9" s="960"/>
      <c r="JG9" s="960"/>
      <c r="JH9" s="960"/>
      <c r="JI9" s="960"/>
      <c r="JJ9" s="960"/>
      <c r="JK9" s="961"/>
      <c r="JL9" s="962"/>
      <c r="JM9" s="963"/>
      <c r="JN9" s="961"/>
      <c r="JO9" s="962"/>
      <c r="JP9" s="962"/>
      <c r="JQ9" s="459" t="s">
        <v>425</v>
      </c>
      <c r="JR9" s="482">
        <f>COUNTA(IY9:JP9)</f>
        <v>0</v>
      </c>
      <c r="JS9" s="939"/>
      <c r="JT9" s="1016"/>
      <c r="JV9" s="1041">
        <v>46359</v>
      </c>
      <c r="JW9" s="960"/>
      <c r="JX9" s="960"/>
      <c r="JY9" s="960"/>
      <c r="JZ9" s="960"/>
      <c r="KA9" s="960"/>
      <c r="KB9" s="960"/>
      <c r="KC9" s="960"/>
      <c r="KD9" s="960"/>
      <c r="KE9" s="960"/>
      <c r="KF9" s="960"/>
      <c r="KG9" s="960"/>
      <c r="KH9" s="960"/>
      <c r="KI9" s="961"/>
      <c r="KJ9" s="962"/>
      <c r="KK9" s="963"/>
      <c r="KL9" s="961"/>
      <c r="KM9" s="962"/>
      <c r="KN9" s="962"/>
      <c r="KO9" s="459" t="s">
        <v>425</v>
      </c>
      <c r="KP9" s="482">
        <f>COUNTA(JW9:KN9)</f>
        <v>0</v>
      </c>
      <c r="KQ9" s="939"/>
      <c r="KR9" s="1016"/>
      <c r="KT9" s="1061">
        <v>46390</v>
      </c>
      <c r="KU9" s="960"/>
      <c r="KV9" s="960"/>
      <c r="KW9" s="960"/>
      <c r="KX9" s="960"/>
      <c r="KY9" s="960"/>
      <c r="KZ9" s="960"/>
      <c r="LA9" s="960"/>
      <c r="LB9" s="960"/>
      <c r="LC9" s="960"/>
      <c r="LD9" s="960"/>
      <c r="LE9" s="960"/>
      <c r="LF9" s="960"/>
      <c r="LG9" s="961"/>
      <c r="LH9" s="962"/>
      <c r="LI9" s="963"/>
      <c r="LJ9" s="961"/>
      <c r="LK9" s="962"/>
      <c r="LL9" s="962"/>
      <c r="LM9" s="459" t="s">
        <v>425</v>
      </c>
      <c r="LN9" s="482">
        <f>COUNTA(KU9:LL9)</f>
        <v>0</v>
      </c>
      <c r="LO9" s="939"/>
      <c r="LP9" s="1016"/>
      <c r="LR9" s="61">
        <v>7</v>
      </c>
      <c r="LS9" s="62" t="str" cm="1">
        <f t="array" ref="LS9">IF(INDEX(S:S, (ROW()-ROW($S$3))*3 + 3) &lt;&gt; "", "✔", "")</f>
        <v>✔</v>
      </c>
      <c r="LT9" s="61">
        <v>7</v>
      </c>
      <c r="LU9" s="62" t="str" cm="1">
        <f t="array" ref="LU9">IF(INDEX(AQ:AQ, (ROW()-ROW($AQ$3))*3 + 3) &lt;&gt; "", "✔", "")</f>
        <v/>
      </c>
      <c r="LV9" s="61">
        <v>7</v>
      </c>
      <c r="LW9" s="501" t="str" cm="1">
        <f t="array" ref="LW9">IF(INDEX(BO:BO, (ROW()-ROW($BO$3))*3 + 3) &lt;&gt; "", "✔", "")</f>
        <v>✔</v>
      </c>
      <c r="LX9" s="503">
        <v>7</v>
      </c>
      <c r="LY9" s="485" t="str" cm="1">
        <f t="array" ref="LY9">IF(INDEX(CM:CM, (ROW()-ROW($CM$3))*3 + 3) &lt;&gt; "", "✔", "")</f>
        <v>✔</v>
      </c>
      <c r="LZ9" s="507">
        <v>7</v>
      </c>
      <c r="MA9" s="485" t="str" cm="1">
        <f t="array" ref="MA9">IF(INDEX(DK:DK, (ROW()-ROW($DK$3))*3 + 3) &lt;&gt; "", "✔", "")</f>
        <v/>
      </c>
      <c r="MB9" s="503">
        <v>7</v>
      </c>
      <c r="MC9" s="485" t="str" cm="1">
        <f t="array" ref="MC9">IF(INDEX(EI:EI, (ROW()-ROW($EI$3))*3 + 3) &lt;&gt; "", "✔", "")</f>
        <v/>
      </c>
      <c r="MD9" s="503">
        <v>7</v>
      </c>
      <c r="ME9" s="485" t="str" cm="1">
        <f t="array" ref="ME9">IF(INDEX(FG:FG, (ROW()-ROW($FG$3))*3 + 3) &lt;&gt; "", "✔", "")</f>
        <v/>
      </c>
      <c r="MF9" s="503">
        <v>7</v>
      </c>
      <c r="MG9" s="485" t="str" cm="1">
        <f t="array" ref="MG9">IF(INDEX(GE:GE, (ROW()-ROW($GE$3))*3 + 3) &lt;&gt; "", "✔", "")</f>
        <v/>
      </c>
      <c r="MH9" s="503">
        <v>7</v>
      </c>
      <c r="MI9" s="485" t="str" cm="1">
        <f t="array" ref="MI9">IF(INDEX(HC:HC, (ROW()-ROW($HC$3))*3 + 3) &lt;&gt; "", "✔", "")</f>
        <v/>
      </c>
      <c r="MJ9" s="503">
        <v>7</v>
      </c>
      <c r="MK9" s="485" t="str" cm="1">
        <f t="array" ref="MK9">IF(INDEX(IA:IA, (ROW()-ROW($IA$3))*3 + 3) &lt;&gt; "", "✔", "")</f>
        <v/>
      </c>
      <c r="ML9" s="503">
        <v>7</v>
      </c>
      <c r="MM9" s="485" t="str" cm="1">
        <f t="array" ref="MM9">IF(INDEX(IY:IY, (ROW()-ROW($IY$3))*3 + 3) &lt;&gt; "", "✔", "")</f>
        <v/>
      </c>
      <c r="MN9" s="503">
        <v>7</v>
      </c>
      <c r="MO9" s="485" t="str" cm="1">
        <f t="array" ref="MO9">IF(INDEX(JW:JW, (ROW()-ROW($JW$3))*3 + 3) &lt;&gt; "", "✔", "")</f>
        <v/>
      </c>
      <c r="MP9" s="503">
        <v>7</v>
      </c>
      <c r="MQ9" s="13" t="str" cm="1">
        <f t="array" ref="MQ9">IF(INDEX(KU:KU, (ROW()-ROW($KU$3))*3 + 3) &lt;&gt; "", "✔", "")</f>
        <v/>
      </c>
    </row>
    <row r="10" spans="1:355" ht="15.75">
      <c r="A10" s="987" t="s">
        <v>402</v>
      </c>
      <c r="B10" s="990" t="s">
        <v>403</v>
      </c>
      <c r="C10" s="334" t="s">
        <v>69</v>
      </c>
      <c r="D10" s="334">
        <v>3</v>
      </c>
      <c r="E10" s="334" t="s">
        <v>384</v>
      </c>
      <c r="F10" s="334" t="s">
        <v>385</v>
      </c>
      <c r="G10" s="334" t="s">
        <v>103</v>
      </c>
      <c r="H10" s="334">
        <v>3</v>
      </c>
      <c r="I10" s="335" t="s">
        <v>389</v>
      </c>
      <c r="J10" s="993">
        <v>4</v>
      </c>
      <c r="K10" s="336">
        <v>1</v>
      </c>
      <c r="L10" s="337">
        <v>1</v>
      </c>
      <c r="M10" s="337">
        <v>3</v>
      </c>
      <c r="N10" s="337">
        <v>3.5</v>
      </c>
      <c r="O10" s="337">
        <f t="shared" si="0"/>
        <v>17.5</v>
      </c>
      <c r="P10" s="996">
        <f>SUM(O10:O11)</f>
        <v>35</v>
      </c>
      <c r="R10" s="841"/>
      <c r="S10" s="491"/>
      <c r="T10" s="491"/>
      <c r="U10" s="492"/>
      <c r="V10" s="491"/>
      <c r="W10" s="491"/>
      <c r="X10" s="492"/>
      <c r="Y10" s="491"/>
      <c r="Z10" s="491"/>
      <c r="AA10" s="492"/>
      <c r="AB10" s="491"/>
      <c r="AC10" s="491"/>
      <c r="AD10" s="492"/>
      <c r="AE10" s="491"/>
      <c r="AF10" s="491"/>
      <c r="AG10" s="492"/>
      <c r="AH10" s="491"/>
      <c r="AI10" s="491"/>
      <c r="AJ10" s="493"/>
      <c r="AK10" s="1004">
        <v>0</v>
      </c>
      <c r="AL10" s="1002">
        <f t="shared" ref="AL10" si="4">(S11*T11*U11)+(V11*W11*X11)+(Y11*Z11*AA11)+(AB11*AC11*AD11)+(AE11*AF11*AG11)+(AH11*AI11*AJ11)</f>
        <v>0</v>
      </c>
      <c r="AM10" s="940"/>
      <c r="AN10" s="855"/>
      <c r="AO10" s="118"/>
      <c r="AP10" s="857"/>
      <c r="AQ10" s="231" t="s">
        <v>59</v>
      </c>
      <c r="AR10" s="231" t="s">
        <v>73</v>
      </c>
      <c r="AS10" s="102" t="s">
        <v>4</v>
      </c>
      <c r="AT10" s="107" t="s">
        <v>59</v>
      </c>
      <c r="AU10" s="107" t="s">
        <v>73</v>
      </c>
      <c r="AV10" s="108" t="s">
        <v>4</v>
      </c>
      <c r="AW10" s="107" t="s">
        <v>59</v>
      </c>
      <c r="AX10" s="107" t="s">
        <v>73</v>
      </c>
      <c r="AY10" s="108" t="s">
        <v>4</v>
      </c>
      <c r="AZ10" s="107" t="s">
        <v>59</v>
      </c>
      <c r="BA10" s="107" t="s">
        <v>73</v>
      </c>
      <c r="BB10" s="108" t="s">
        <v>4</v>
      </c>
      <c r="BC10" s="107" t="s">
        <v>59</v>
      </c>
      <c r="BD10" s="107" t="s">
        <v>73</v>
      </c>
      <c r="BE10" s="108" t="s">
        <v>4</v>
      </c>
      <c r="BF10" s="107" t="s">
        <v>59</v>
      </c>
      <c r="BG10" s="107" t="s">
        <v>73</v>
      </c>
      <c r="BH10" s="471" t="s">
        <v>4</v>
      </c>
      <c r="BI10" s="1004">
        <v>47</v>
      </c>
      <c r="BJ10" s="1003">
        <f t="shared" ref="BJ10" si="5">(AQ11*AR11*AS11)+(AT11*AU11*AV11)+(AW11*AX11*AY11)+(AZ11*BA11*BB11)+(BC11*BD11*BE11)+(BF11*BG11*BH11)</f>
        <v>3487.5</v>
      </c>
      <c r="BK10" s="940"/>
      <c r="BL10" s="1016"/>
      <c r="BM10" s="118"/>
      <c r="BN10" s="857"/>
      <c r="BO10" s="231" t="s">
        <v>59</v>
      </c>
      <c r="BP10" s="231" t="s">
        <v>73</v>
      </c>
      <c r="BQ10" s="102" t="s">
        <v>4</v>
      </c>
      <c r="BR10" s="231" t="s">
        <v>59</v>
      </c>
      <c r="BS10" s="231" t="s">
        <v>73</v>
      </c>
      <c r="BT10" s="102" t="s">
        <v>4</v>
      </c>
      <c r="BU10" s="231" t="s">
        <v>59</v>
      </c>
      <c r="BV10" s="231" t="s">
        <v>73</v>
      </c>
      <c r="BW10" s="102" t="s">
        <v>4</v>
      </c>
      <c r="BX10" s="231" t="s">
        <v>59</v>
      </c>
      <c r="BY10" s="231" t="s">
        <v>73</v>
      </c>
      <c r="BZ10" s="102" t="s">
        <v>4</v>
      </c>
      <c r="CA10" s="231" t="s">
        <v>59</v>
      </c>
      <c r="CB10" s="231" t="s">
        <v>73</v>
      </c>
      <c r="CC10" s="102" t="s">
        <v>4</v>
      </c>
      <c r="CD10" s="107" t="s">
        <v>59</v>
      </c>
      <c r="CE10" s="107" t="s">
        <v>73</v>
      </c>
      <c r="CF10" s="471" t="s">
        <v>4</v>
      </c>
      <c r="CG10" s="1004">
        <f>60+28</f>
        <v>88</v>
      </c>
      <c r="CH10" s="1005">
        <f t="shared" ref="CH10" si="6">(BO11*BP11*BQ11)+(BR11*BS11*BT11)+(BU11*BV11*BW11)+(BX11*BY11*BZ11)+(CA11*CB11*CC11)+(CD11*CE11*CF11)</f>
        <v>5749.65</v>
      </c>
      <c r="CI10" s="940"/>
      <c r="CJ10" s="1016"/>
      <c r="CL10" s="1049"/>
      <c r="CM10" s="231" t="s">
        <v>59</v>
      </c>
      <c r="CN10" s="231" t="s">
        <v>73</v>
      </c>
      <c r="CO10" s="102" t="s">
        <v>4</v>
      </c>
      <c r="CP10" s="231" t="s">
        <v>59</v>
      </c>
      <c r="CQ10" s="231" t="s">
        <v>73</v>
      </c>
      <c r="CR10" s="102" t="s">
        <v>4</v>
      </c>
      <c r="CS10" s="231" t="s">
        <v>59</v>
      </c>
      <c r="CT10" s="231" t="s">
        <v>73</v>
      </c>
      <c r="CU10" s="102" t="s">
        <v>4</v>
      </c>
      <c r="CV10" s="231" t="s">
        <v>59</v>
      </c>
      <c r="CW10" s="231" t="s">
        <v>73</v>
      </c>
      <c r="CX10" s="102" t="s">
        <v>4</v>
      </c>
      <c r="CY10" s="231" t="s">
        <v>59</v>
      </c>
      <c r="CZ10" s="231" t="s">
        <v>73</v>
      </c>
      <c r="DA10" s="102" t="s">
        <v>4</v>
      </c>
      <c r="DB10" s="107" t="s">
        <v>59</v>
      </c>
      <c r="DC10" s="107" t="s">
        <v>73</v>
      </c>
      <c r="DD10" s="471" t="s">
        <v>4</v>
      </c>
      <c r="DE10" s="1004">
        <f>59</f>
        <v>59</v>
      </c>
      <c r="DF10" s="1005">
        <f>(CM11*CN11*CO11)+(CP11*CQ11*CR11)+(CS11*CT11*CU11)+(CV11*CW11*CX11)+(CY11*CZ11*DA11)+(DB11*DC11*DD11)</f>
        <v>6880.9</v>
      </c>
      <c r="DG10" s="940"/>
      <c r="DH10" s="1016"/>
      <c r="DJ10" s="1062"/>
      <c r="DK10" s="460" t="s">
        <v>59</v>
      </c>
      <c r="DL10" s="460" t="s">
        <v>73</v>
      </c>
      <c r="DM10" s="461" t="s">
        <v>4</v>
      </c>
      <c r="DN10" s="460" t="s">
        <v>59</v>
      </c>
      <c r="DO10" s="460" t="s">
        <v>73</v>
      </c>
      <c r="DP10" s="461" t="s">
        <v>4</v>
      </c>
      <c r="DQ10" s="460" t="s">
        <v>59</v>
      </c>
      <c r="DR10" s="460" t="s">
        <v>73</v>
      </c>
      <c r="DS10" s="461" t="s">
        <v>4</v>
      </c>
      <c r="DT10" s="460" t="s">
        <v>59</v>
      </c>
      <c r="DU10" s="460" t="s">
        <v>73</v>
      </c>
      <c r="DV10" s="461" t="s">
        <v>4</v>
      </c>
      <c r="DW10" s="460" t="s">
        <v>59</v>
      </c>
      <c r="DX10" s="460" t="s">
        <v>73</v>
      </c>
      <c r="DY10" s="461" t="s">
        <v>4</v>
      </c>
      <c r="DZ10" s="460" t="s">
        <v>59</v>
      </c>
      <c r="EA10" s="460" t="s">
        <v>73</v>
      </c>
      <c r="EB10" s="473" t="s">
        <v>4</v>
      </c>
      <c r="EC10" s="1004"/>
      <c r="ED10" s="1005">
        <f>(DK11*DL11*DM11)+(DN11*DO11*DP11)+(DQ11*DR11*DS11)+(DT11*DU11*DV11)+(DW11*DX11*DY11)+(DZ11*EA11*EB11)</f>
        <v>0</v>
      </c>
      <c r="EE10" s="940"/>
      <c r="EF10" s="1016"/>
      <c r="EH10" s="1039"/>
      <c r="EI10" s="460" t="s">
        <v>59</v>
      </c>
      <c r="EJ10" s="460" t="s">
        <v>73</v>
      </c>
      <c r="EK10" s="461" t="s">
        <v>4</v>
      </c>
      <c r="EL10" s="460" t="s">
        <v>59</v>
      </c>
      <c r="EM10" s="460" t="s">
        <v>73</v>
      </c>
      <c r="EN10" s="461" t="s">
        <v>4</v>
      </c>
      <c r="EO10" s="460" t="s">
        <v>59</v>
      </c>
      <c r="EP10" s="460" t="s">
        <v>73</v>
      </c>
      <c r="EQ10" s="461" t="s">
        <v>4</v>
      </c>
      <c r="ER10" s="460" t="s">
        <v>59</v>
      </c>
      <c r="ES10" s="460" t="s">
        <v>73</v>
      </c>
      <c r="ET10" s="461" t="s">
        <v>4</v>
      </c>
      <c r="EU10" s="460" t="s">
        <v>59</v>
      </c>
      <c r="EV10" s="460" t="s">
        <v>73</v>
      </c>
      <c r="EW10" s="461" t="s">
        <v>4</v>
      </c>
      <c r="EX10" s="460" t="s">
        <v>59</v>
      </c>
      <c r="EY10" s="460" t="s">
        <v>73</v>
      </c>
      <c r="EZ10" s="473" t="s">
        <v>4</v>
      </c>
      <c r="FA10" s="1004"/>
      <c r="FB10" s="1005">
        <f>(EI11*EJ11*EK11)+(EL11*EM11*EN11)+(EO11*EP11*EQ11)+(ER11*ES11*ET11)+(EU11*EV11*EW11)+(EX11*EY11*EZ11)</f>
        <v>0</v>
      </c>
      <c r="FC10" s="940"/>
      <c r="FD10" s="1016"/>
      <c r="FF10" s="1049"/>
      <c r="FG10" s="460" t="s">
        <v>59</v>
      </c>
      <c r="FH10" s="460" t="s">
        <v>73</v>
      </c>
      <c r="FI10" s="461" t="s">
        <v>4</v>
      </c>
      <c r="FJ10" s="460" t="s">
        <v>59</v>
      </c>
      <c r="FK10" s="460" t="s">
        <v>73</v>
      </c>
      <c r="FL10" s="461" t="s">
        <v>4</v>
      </c>
      <c r="FM10" s="460" t="s">
        <v>59</v>
      </c>
      <c r="FN10" s="460" t="s">
        <v>73</v>
      </c>
      <c r="FO10" s="461" t="s">
        <v>4</v>
      </c>
      <c r="FP10" s="460" t="s">
        <v>59</v>
      </c>
      <c r="FQ10" s="460" t="s">
        <v>73</v>
      </c>
      <c r="FR10" s="461" t="s">
        <v>4</v>
      </c>
      <c r="FS10" s="460" t="s">
        <v>59</v>
      </c>
      <c r="FT10" s="460" t="s">
        <v>73</v>
      </c>
      <c r="FU10" s="461" t="s">
        <v>4</v>
      </c>
      <c r="FV10" s="460" t="s">
        <v>59</v>
      </c>
      <c r="FW10" s="460" t="s">
        <v>73</v>
      </c>
      <c r="FX10" s="473" t="s">
        <v>4</v>
      </c>
      <c r="FY10" s="1004"/>
      <c r="FZ10" s="1005">
        <f>(FG11*FH11*FI11)+(FJ11*FK11*FL11)+(FM11*FN11*FO11)+(FP11*FQ11*FR11)+(FS11*FT11*FU11)+(FV11*FW11*FX11)</f>
        <v>0</v>
      </c>
      <c r="GA10" s="940"/>
      <c r="GB10" s="1016"/>
      <c r="GD10" s="1065"/>
      <c r="GE10" s="460" t="s">
        <v>59</v>
      </c>
      <c r="GF10" s="460" t="s">
        <v>73</v>
      </c>
      <c r="GG10" s="461" t="s">
        <v>4</v>
      </c>
      <c r="GH10" s="460" t="s">
        <v>59</v>
      </c>
      <c r="GI10" s="460" t="s">
        <v>73</v>
      </c>
      <c r="GJ10" s="461" t="s">
        <v>4</v>
      </c>
      <c r="GK10" s="460" t="s">
        <v>59</v>
      </c>
      <c r="GL10" s="460" t="s">
        <v>73</v>
      </c>
      <c r="GM10" s="461" t="s">
        <v>4</v>
      </c>
      <c r="GN10" s="460" t="s">
        <v>59</v>
      </c>
      <c r="GO10" s="460" t="s">
        <v>73</v>
      </c>
      <c r="GP10" s="461" t="s">
        <v>4</v>
      </c>
      <c r="GQ10" s="460" t="s">
        <v>59</v>
      </c>
      <c r="GR10" s="460" t="s">
        <v>73</v>
      </c>
      <c r="GS10" s="461" t="s">
        <v>4</v>
      </c>
      <c r="GT10" s="460" t="s">
        <v>59</v>
      </c>
      <c r="GU10" s="460" t="s">
        <v>73</v>
      </c>
      <c r="GV10" s="473" t="s">
        <v>4</v>
      </c>
      <c r="GW10" s="1004"/>
      <c r="GX10" s="1005">
        <f>(GE11*GF11*GG11)+(GH11*GI11*GJ11)+(GK11*GL11*GM11)+(GN11*GO11*GP11)+(GQ11*GR11*GS11)+(GT11*GU11*GV11)</f>
        <v>0</v>
      </c>
      <c r="GY10" s="940"/>
      <c r="GZ10" s="1016"/>
      <c r="HB10" s="1042"/>
      <c r="HC10" s="460" t="s">
        <v>59</v>
      </c>
      <c r="HD10" s="460" t="s">
        <v>73</v>
      </c>
      <c r="HE10" s="461" t="s">
        <v>4</v>
      </c>
      <c r="HF10" s="460" t="s">
        <v>59</v>
      </c>
      <c r="HG10" s="460" t="s">
        <v>73</v>
      </c>
      <c r="HH10" s="461" t="s">
        <v>4</v>
      </c>
      <c r="HI10" s="460" t="s">
        <v>59</v>
      </c>
      <c r="HJ10" s="460" t="s">
        <v>73</v>
      </c>
      <c r="HK10" s="461" t="s">
        <v>4</v>
      </c>
      <c r="HL10" s="460" t="s">
        <v>59</v>
      </c>
      <c r="HM10" s="460" t="s">
        <v>73</v>
      </c>
      <c r="HN10" s="461" t="s">
        <v>4</v>
      </c>
      <c r="HO10" s="460" t="s">
        <v>59</v>
      </c>
      <c r="HP10" s="460" t="s">
        <v>73</v>
      </c>
      <c r="HQ10" s="461" t="s">
        <v>4</v>
      </c>
      <c r="HR10" s="460" t="s">
        <v>59</v>
      </c>
      <c r="HS10" s="460" t="s">
        <v>73</v>
      </c>
      <c r="HT10" s="473" t="s">
        <v>4</v>
      </c>
      <c r="HU10" s="1004"/>
      <c r="HV10" s="1005">
        <f>(HC11*HD11*HE11)+(HF11*HG11*HH11)+(HI11*HJ11*HK11)+(HL11*HM11*HN11)+(HO11*HP11*HQ11)+(HR11*HS11*HT11)</f>
        <v>0</v>
      </c>
      <c r="HW10" s="940"/>
      <c r="HX10" s="1016"/>
      <c r="HZ10" s="1052"/>
      <c r="IA10" s="491" t="s">
        <v>59</v>
      </c>
      <c r="IB10" s="491" t="s">
        <v>73</v>
      </c>
      <c r="IC10" s="492" t="s">
        <v>4</v>
      </c>
      <c r="ID10" s="491" t="s">
        <v>59</v>
      </c>
      <c r="IE10" s="491" t="s">
        <v>73</v>
      </c>
      <c r="IF10" s="492" t="s">
        <v>4</v>
      </c>
      <c r="IG10" s="491" t="s">
        <v>59</v>
      </c>
      <c r="IH10" s="491" t="s">
        <v>73</v>
      </c>
      <c r="II10" s="492" t="s">
        <v>4</v>
      </c>
      <c r="IJ10" s="491" t="s">
        <v>59</v>
      </c>
      <c r="IK10" s="491" t="s">
        <v>73</v>
      </c>
      <c r="IL10" s="492" t="s">
        <v>4</v>
      </c>
      <c r="IM10" s="491" t="s">
        <v>59</v>
      </c>
      <c r="IN10" s="491" t="s">
        <v>73</v>
      </c>
      <c r="IO10" s="492" t="s">
        <v>4</v>
      </c>
      <c r="IP10" s="491" t="s">
        <v>59</v>
      </c>
      <c r="IQ10" s="491" t="s">
        <v>73</v>
      </c>
      <c r="IR10" s="493" t="s">
        <v>4</v>
      </c>
      <c r="IS10" s="1071"/>
      <c r="IT10" s="1072">
        <f>(IA11*IB11*IC11)+(ID11*IE11*IF11)+(IG11*IH11*II11)+(IJ11*IK11*IL11)+(IM11*IN11*IO11)+(IP11*IQ11*IR11)</f>
        <v>0</v>
      </c>
      <c r="IU10" s="1068"/>
      <c r="IV10" s="1070"/>
      <c r="IX10" s="1075"/>
      <c r="IY10" s="460" t="s">
        <v>59</v>
      </c>
      <c r="IZ10" s="460" t="s">
        <v>73</v>
      </c>
      <c r="JA10" s="461" t="s">
        <v>4</v>
      </c>
      <c r="JB10" s="460" t="s">
        <v>59</v>
      </c>
      <c r="JC10" s="460" t="s">
        <v>73</v>
      </c>
      <c r="JD10" s="461" t="s">
        <v>4</v>
      </c>
      <c r="JE10" s="460" t="s">
        <v>59</v>
      </c>
      <c r="JF10" s="460" t="s">
        <v>73</v>
      </c>
      <c r="JG10" s="461" t="s">
        <v>4</v>
      </c>
      <c r="JH10" s="460" t="s">
        <v>59</v>
      </c>
      <c r="JI10" s="460" t="s">
        <v>73</v>
      </c>
      <c r="JJ10" s="461" t="s">
        <v>4</v>
      </c>
      <c r="JK10" s="460" t="s">
        <v>59</v>
      </c>
      <c r="JL10" s="460" t="s">
        <v>73</v>
      </c>
      <c r="JM10" s="461" t="s">
        <v>4</v>
      </c>
      <c r="JN10" s="460" t="s">
        <v>59</v>
      </c>
      <c r="JO10" s="460" t="s">
        <v>73</v>
      </c>
      <c r="JP10" s="473" t="s">
        <v>4</v>
      </c>
      <c r="JQ10" s="1004"/>
      <c r="JR10" s="1005">
        <f>(IY11*IZ11*JA11)+(JB11*JC11*JD11)+(JE11*JF11*JG11)+(JH11*JI11*JJ11)+(JK11*JL11*JM11)+(JN11*JO11*JP11)</f>
        <v>0</v>
      </c>
      <c r="JS10" s="940"/>
      <c r="JT10" s="1016"/>
      <c r="JV10" s="1042"/>
      <c r="JW10" s="460" t="s">
        <v>59</v>
      </c>
      <c r="JX10" s="460" t="s">
        <v>73</v>
      </c>
      <c r="JY10" s="461" t="s">
        <v>4</v>
      </c>
      <c r="JZ10" s="460" t="s">
        <v>59</v>
      </c>
      <c r="KA10" s="460" t="s">
        <v>73</v>
      </c>
      <c r="KB10" s="461" t="s">
        <v>4</v>
      </c>
      <c r="KC10" s="460" t="s">
        <v>59</v>
      </c>
      <c r="KD10" s="460" t="s">
        <v>73</v>
      </c>
      <c r="KE10" s="461" t="s">
        <v>4</v>
      </c>
      <c r="KF10" s="460" t="s">
        <v>59</v>
      </c>
      <c r="KG10" s="460" t="s">
        <v>73</v>
      </c>
      <c r="KH10" s="461" t="s">
        <v>4</v>
      </c>
      <c r="KI10" s="460" t="s">
        <v>59</v>
      </c>
      <c r="KJ10" s="460" t="s">
        <v>73</v>
      </c>
      <c r="KK10" s="461" t="s">
        <v>4</v>
      </c>
      <c r="KL10" s="460" t="s">
        <v>59</v>
      </c>
      <c r="KM10" s="460" t="s">
        <v>73</v>
      </c>
      <c r="KN10" s="473" t="s">
        <v>4</v>
      </c>
      <c r="KO10" s="1004"/>
      <c r="KP10" s="1005">
        <f>(JW11*JX11*JY11)+(JZ11*KA11*KB11)+(KC11*KD11*KE11)+(KF11*KG11*KH11)+(KI11*KJ11*KK11)+(KL11*KM11*KN11)</f>
        <v>0</v>
      </c>
      <c r="KQ10" s="940"/>
      <c r="KR10" s="1016"/>
      <c r="KT10" s="1062"/>
      <c r="KU10" s="460" t="s">
        <v>59</v>
      </c>
      <c r="KV10" s="460" t="s">
        <v>73</v>
      </c>
      <c r="KW10" s="461" t="s">
        <v>4</v>
      </c>
      <c r="KX10" s="460" t="s">
        <v>59</v>
      </c>
      <c r="KY10" s="460" t="s">
        <v>73</v>
      </c>
      <c r="KZ10" s="461" t="s">
        <v>4</v>
      </c>
      <c r="LA10" s="460" t="s">
        <v>59</v>
      </c>
      <c r="LB10" s="460" t="s">
        <v>73</v>
      </c>
      <c r="LC10" s="461" t="s">
        <v>4</v>
      </c>
      <c r="LD10" s="460" t="s">
        <v>59</v>
      </c>
      <c r="LE10" s="460" t="s">
        <v>73</v>
      </c>
      <c r="LF10" s="461" t="s">
        <v>4</v>
      </c>
      <c r="LG10" s="460" t="s">
        <v>59</v>
      </c>
      <c r="LH10" s="460" t="s">
        <v>73</v>
      </c>
      <c r="LI10" s="461" t="s">
        <v>4</v>
      </c>
      <c r="LJ10" s="460" t="s">
        <v>59</v>
      </c>
      <c r="LK10" s="460" t="s">
        <v>73</v>
      </c>
      <c r="LL10" s="473" t="s">
        <v>4</v>
      </c>
      <c r="LM10" s="1004"/>
      <c r="LN10" s="1005">
        <f>(KU11*KV11*KW11)+(KX11*KY11*KZ11)+(LA11*LB11*LC11)+(LD11*LE11*LF11)+(LG11*LH11*LI11)+(LJ11*LK11*LL11)</f>
        <v>0</v>
      </c>
      <c r="LO10" s="940"/>
      <c r="LP10" s="1016"/>
      <c r="LR10" s="61">
        <v>8</v>
      </c>
      <c r="LS10" s="62" t="str" cm="1">
        <f t="array" ref="LS10">IF(INDEX(S:S, (ROW()-ROW($S$3))*3 + 3) &lt;&gt; "", "✔", "")</f>
        <v/>
      </c>
      <c r="LT10" s="61">
        <v>8</v>
      </c>
      <c r="LU10" s="62" t="str" cm="1">
        <f t="array" ref="LU10">IF(INDEX(AQ:AQ, (ROW()-ROW($AQ$3))*3 + 3) &lt;&gt; "", "✔", "")</f>
        <v>✔</v>
      </c>
      <c r="LV10" s="61">
        <v>8</v>
      </c>
      <c r="LW10" s="501" t="str" cm="1">
        <f t="array" ref="LW10">IF(INDEX(BO:BO, (ROW()-ROW($BO$3))*3 + 3) &lt;&gt; "", "✔", "")</f>
        <v>✔</v>
      </c>
      <c r="LX10" s="503">
        <v>8</v>
      </c>
      <c r="LY10" s="485" t="str" cm="1">
        <f t="array" ref="LY10">IF(INDEX(CM:CM, (ROW()-ROW($CM$3))*3 + 3) &lt;&gt; "", "✔", "")</f>
        <v/>
      </c>
      <c r="LZ10" s="507">
        <v>8</v>
      </c>
      <c r="MA10" s="485" t="str" cm="1">
        <f t="array" ref="MA10">IF(INDEX(DK:DK, (ROW()-ROW($DK$3))*3 + 3) &lt;&gt; "", "✔", "")</f>
        <v/>
      </c>
      <c r="MB10" s="503">
        <v>8</v>
      </c>
      <c r="MC10" s="485" t="str" cm="1">
        <f t="array" ref="MC10">IF(INDEX(EI:EI, (ROW()-ROW($EI$3))*3 + 3) &lt;&gt; "", "✔", "")</f>
        <v/>
      </c>
      <c r="MD10" s="503">
        <v>8</v>
      </c>
      <c r="ME10" s="485" t="str" cm="1">
        <f t="array" ref="ME10">IF(INDEX(FG:FG, (ROW()-ROW($FG$3))*3 + 3) &lt;&gt; "", "✔", "")</f>
        <v/>
      </c>
      <c r="MF10" s="503">
        <v>8</v>
      </c>
      <c r="MG10" s="485" t="str" cm="1">
        <f t="array" ref="MG10">IF(INDEX(GE:GE, (ROW()-ROW($GE$3))*3 + 3) &lt;&gt; "", "✔", "")</f>
        <v/>
      </c>
      <c r="MH10" s="503">
        <v>8</v>
      </c>
      <c r="MI10" s="485" t="str" cm="1">
        <f t="array" ref="MI10">IF(INDEX(HC:HC, (ROW()-ROW($HC$3))*3 + 3) &lt;&gt; "", "✔", "")</f>
        <v/>
      </c>
      <c r="MJ10" s="503">
        <v>8</v>
      </c>
      <c r="MK10" s="485" t="str" cm="1">
        <f t="array" ref="MK10">IF(INDEX(IA:IA, (ROW()-ROW($IA$3))*3 + 3) &lt;&gt; "", "✔", "")</f>
        <v/>
      </c>
      <c r="ML10" s="503">
        <v>8</v>
      </c>
      <c r="MM10" s="485" t="str" cm="1">
        <f t="array" ref="MM10">IF(INDEX(IY:IY, (ROW()-ROW($IY$3))*3 + 3) &lt;&gt; "", "✔", "")</f>
        <v/>
      </c>
      <c r="MN10" s="503">
        <v>8</v>
      </c>
      <c r="MO10" s="485" t="str" cm="1">
        <f t="array" ref="MO10">IF(INDEX(JW:JW, (ROW()-ROW($JW$3))*3 + 3) &lt;&gt; "", "✔", "")</f>
        <v/>
      </c>
      <c r="MP10" s="503">
        <v>8</v>
      </c>
      <c r="MQ10" s="13" t="str" cm="1">
        <f t="array" ref="MQ10">IF(INDEX(KU:KU, (ROW()-ROW($KU$3))*3 + 3) &lt;&gt; "", "✔", "")</f>
        <v/>
      </c>
    </row>
    <row r="11" spans="1:355" ht="16.5" thickBot="1">
      <c r="A11" s="989"/>
      <c r="B11" s="992"/>
      <c r="C11" s="341" t="s">
        <v>99</v>
      </c>
      <c r="D11" s="341">
        <v>3</v>
      </c>
      <c r="E11" s="341" t="s">
        <v>389</v>
      </c>
      <c r="F11" s="341" t="s">
        <v>387</v>
      </c>
      <c r="G11" s="341" t="s">
        <v>411</v>
      </c>
      <c r="H11" s="341">
        <v>3</v>
      </c>
      <c r="I11" s="342" t="s">
        <v>390</v>
      </c>
      <c r="J11" s="995"/>
      <c r="K11" s="343">
        <v>1</v>
      </c>
      <c r="L11" s="344">
        <v>1</v>
      </c>
      <c r="M11" s="344">
        <v>3</v>
      </c>
      <c r="N11" s="344">
        <v>3.5</v>
      </c>
      <c r="O11" s="344">
        <f t="shared" si="0"/>
        <v>17.5</v>
      </c>
      <c r="P11" s="998"/>
      <c r="R11" s="842"/>
      <c r="S11" s="494"/>
      <c r="T11" s="494"/>
      <c r="U11" s="494"/>
      <c r="V11" s="494"/>
      <c r="W11" s="494"/>
      <c r="X11" s="494"/>
      <c r="Y11" s="494"/>
      <c r="Z11" s="494"/>
      <c r="AA11" s="494"/>
      <c r="AB11" s="494"/>
      <c r="AC11" s="494"/>
      <c r="AD11" s="494"/>
      <c r="AE11" s="494"/>
      <c r="AF11" s="494"/>
      <c r="AG11" s="494"/>
      <c r="AH11" s="494"/>
      <c r="AI11" s="494"/>
      <c r="AJ11" s="497"/>
      <c r="AK11" s="1004"/>
      <c r="AL11" s="1002"/>
      <c r="AM11" s="941"/>
      <c r="AN11" s="855"/>
      <c r="AO11" s="118"/>
      <c r="AP11" s="858"/>
      <c r="AQ11" s="229">
        <v>1</v>
      </c>
      <c r="AR11" s="229">
        <v>45</v>
      </c>
      <c r="AS11" s="229">
        <f>BL9</f>
        <v>77.5</v>
      </c>
      <c r="AT11" s="233"/>
      <c r="AU11" s="233"/>
      <c r="AV11" s="233"/>
      <c r="AW11" s="233"/>
      <c r="AX11" s="233"/>
      <c r="AY11" s="233"/>
      <c r="AZ11" s="233"/>
      <c r="BA11" s="233"/>
      <c r="BB11" s="233"/>
      <c r="BC11" s="233"/>
      <c r="BD11" s="233"/>
      <c r="BE11" s="233"/>
      <c r="BF11" s="233"/>
      <c r="BG11" s="233"/>
      <c r="BH11" s="472"/>
      <c r="BI11" s="1004"/>
      <c r="BJ11" s="1003"/>
      <c r="BK11" s="941"/>
      <c r="BL11" s="1016"/>
      <c r="BM11" s="118"/>
      <c r="BN11" s="858"/>
      <c r="BO11" s="229">
        <v>4</v>
      </c>
      <c r="BP11" s="229">
        <f>((12*1)+(10*3))/4</f>
        <v>10.5</v>
      </c>
      <c r="BQ11" s="229">
        <f>((36*1)+(68*3))/4</f>
        <v>60</v>
      </c>
      <c r="BR11" s="229">
        <v>4</v>
      </c>
      <c r="BS11" s="126">
        <f>((12*3)+(10*1))/4</f>
        <v>11.5</v>
      </c>
      <c r="BT11" s="126">
        <f>((18.1*2)+(20.4*2))/4</f>
        <v>19.25</v>
      </c>
      <c r="BU11" s="229">
        <v>4</v>
      </c>
      <c r="BV11" s="229">
        <f>((12*1)+(10*2)+(11*1))/4</f>
        <v>10.75</v>
      </c>
      <c r="BW11" s="229">
        <f>((13.6*1)+(27.2*3))/4</f>
        <v>23.799999999999997</v>
      </c>
      <c r="BX11" s="229">
        <v>4</v>
      </c>
      <c r="BY11" s="229">
        <f>((12*1)+(10*3))/4</f>
        <v>10.5</v>
      </c>
      <c r="BZ11" s="229">
        <f>((5*1)+(7.5*3))/4</f>
        <v>6.875</v>
      </c>
      <c r="CA11" s="229">
        <v>4</v>
      </c>
      <c r="CB11" s="126">
        <v>12</v>
      </c>
      <c r="CC11" s="229">
        <f>((11.3*1)+(24.9*3))/4</f>
        <v>21.499999999999996</v>
      </c>
      <c r="CD11" s="233"/>
      <c r="CE11" s="233"/>
      <c r="CF11" s="472"/>
      <c r="CG11" s="1004"/>
      <c r="CH11" s="1006"/>
      <c r="CI11" s="941"/>
      <c r="CJ11" s="1016"/>
      <c r="CL11" s="1050"/>
      <c r="CM11" s="229">
        <v>4</v>
      </c>
      <c r="CN11" s="126">
        <f>((12*1)+(10*1)+(9*2))/4</f>
        <v>10</v>
      </c>
      <c r="CO11" s="229">
        <f>((25*1)+(50*3))/4</f>
        <v>43.75</v>
      </c>
      <c r="CP11" s="229">
        <v>4</v>
      </c>
      <c r="CQ11" s="229">
        <f>((12*4))/4</f>
        <v>12</v>
      </c>
      <c r="CR11" s="229">
        <f>((36*1)+(72*3))/4</f>
        <v>63</v>
      </c>
      <c r="CS11" s="229">
        <v>4</v>
      </c>
      <c r="CT11" s="229">
        <f>((12*4))/4</f>
        <v>12</v>
      </c>
      <c r="CU11" s="229">
        <f>((18.1*1)+(34*3))/4</f>
        <v>30.024999999999999</v>
      </c>
      <c r="CV11" s="229">
        <v>0</v>
      </c>
      <c r="CW11" s="229">
        <f>((((0.38/0.3)*0.5)*1)+(((1.15/1)*1)*3))/4</f>
        <v>1.0208333333333333</v>
      </c>
      <c r="CX11" s="229">
        <f>DH9*(2/3)</f>
        <v>51.433333333333337</v>
      </c>
      <c r="CY11" s="229">
        <v>4</v>
      </c>
      <c r="CZ11" s="126">
        <f>((12*1)+(10*3))/4</f>
        <v>10.5</v>
      </c>
      <c r="DA11" s="229">
        <f>((9.1*1)+(18.1*3))/4</f>
        <v>15.850000000000001</v>
      </c>
      <c r="DB11" s="233"/>
      <c r="DC11" s="233"/>
      <c r="DD11" s="472"/>
      <c r="DE11" s="1004"/>
      <c r="DF11" s="1006"/>
      <c r="DG11" s="941"/>
      <c r="DH11" s="1016"/>
      <c r="DJ11" s="1063"/>
      <c r="DK11" s="462"/>
      <c r="DL11" s="462"/>
      <c r="DM11" s="462"/>
      <c r="DN11" s="462"/>
      <c r="DO11" s="462"/>
      <c r="DP11" s="462"/>
      <c r="DQ11" s="462"/>
      <c r="DR11" s="462"/>
      <c r="DS11" s="462"/>
      <c r="DT11" s="462"/>
      <c r="DU11" s="462"/>
      <c r="DV11" s="462"/>
      <c r="DW11" s="462"/>
      <c r="DX11" s="462"/>
      <c r="DY11" s="462"/>
      <c r="DZ11" s="462"/>
      <c r="EA11" s="462"/>
      <c r="EB11" s="474"/>
      <c r="EC11" s="1004"/>
      <c r="ED11" s="1006"/>
      <c r="EE11" s="941"/>
      <c r="EF11" s="1016"/>
      <c r="EH11" s="1040"/>
      <c r="EI11" s="462"/>
      <c r="EJ11" s="462"/>
      <c r="EK11" s="462"/>
      <c r="EL11" s="462"/>
      <c r="EM11" s="462"/>
      <c r="EN11" s="462"/>
      <c r="EO11" s="462"/>
      <c r="EP11" s="462"/>
      <c r="EQ11" s="462"/>
      <c r="ER11" s="462"/>
      <c r="ES11" s="462"/>
      <c r="ET11" s="462"/>
      <c r="EU11" s="462"/>
      <c r="EV11" s="462"/>
      <c r="EW11" s="462"/>
      <c r="EX11" s="462"/>
      <c r="EY11" s="462"/>
      <c r="EZ11" s="474"/>
      <c r="FA11" s="1004"/>
      <c r="FB11" s="1006"/>
      <c r="FC11" s="941"/>
      <c r="FD11" s="1016"/>
      <c r="FF11" s="1050"/>
      <c r="FG11" s="462"/>
      <c r="FH11" s="462"/>
      <c r="FI11" s="462"/>
      <c r="FJ11" s="462"/>
      <c r="FK11" s="462"/>
      <c r="FL11" s="462"/>
      <c r="FM11" s="462"/>
      <c r="FN11" s="462"/>
      <c r="FO11" s="462"/>
      <c r="FP11" s="462"/>
      <c r="FQ11" s="462"/>
      <c r="FR11" s="462"/>
      <c r="FS11" s="462"/>
      <c r="FT11" s="462"/>
      <c r="FU11" s="462"/>
      <c r="FV11" s="462"/>
      <c r="FW11" s="462"/>
      <c r="FX11" s="474"/>
      <c r="FY11" s="1004"/>
      <c r="FZ11" s="1006"/>
      <c r="GA11" s="941"/>
      <c r="GB11" s="1016"/>
      <c r="GD11" s="1066"/>
      <c r="GE11" s="462"/>
      <c r="GF11" s="462"/>
      <c r="GG11" s="462"/>
      <c r="GH11" s="462"/>
      <c r="GI11" s="462"/>
      <c r="GJ11" s="462"/>
      <c r="GK11" s="462"/>
      <c r="GL11" s="462"/>
      <c r="GM11" s="462"/>
      <c r="GN11" s="462"/>
      <c r="GO11" s="462"/>
      <c r="GP11" s="462"/>
      <c r="GQ11" s="462"/>
      <c r="GR11" s="462"/>
      <c r="GS11" s="462"/>
      <c r="GT11" s="462"/>
      <c r="GU11" s="462"/>
      <c r="GV11" s="474"/>
      <c r="GW11" s="1004"/>
      <c r="GX11" s="1006"/>
      <c r="GY11" s="941"/>
      <c r="GZ11" s="1016"/>
      <c r="HB11" s="1043"/>
      <c r="HC11" s="462"/>
      <c r="HD11" s="462"/>
      <c r="HE11" s="462"/>
      <c r="HF11" s="462"/>
      <c r="HG11" s="462"/>
      <c r="HH11" s="462"/>
      <c r="HI11" s="462"/>
      <c r="HJ11" s="462"/>
      <c r="HK11" s="462"/>
      <c r="HL11" s="462"/>
      <c r="HM11" s="462"/>
      <c r="HN11" s="462"/>
      <c r="HO11" s="462"/>
      <c r="HP11" s="462"/>
      <c r="HQ11" s="462"/>
      <c r="HR11" s="462"/>
      <c r="HS11" s="462"/>
      <c r="HT11" s="474"/>
      <c r="HU11" s="1004"/>
      <c r="HV11" s="1006"/>
      <c r="HW11" s="941"/>
      <c r="HX11" s="1016"/>
      <c r="HZ11" s="1053"/>
      <c r="IA11" s="494"/>
      <c r="IB11" s="494"/>
      <c r="IC11" s="494"/>
      <c r="ID11" s="494"/>
      <c r="IE11" s="494"/>
      <c r="IF11" s="494"/>
      <c r="IG11" s="494"/>
      <c r="IH11" s="494"/>
      <c r="II11" s="494"/>
      <c r="IJ11" s="494"/>
      <c r="IK11" s="494"/>
      <c r="IL11" s="494"/>
      <c r="IM11" s="494"/>
      <c r="IN11" s="494"/>
      <c r="IO11" s="494"/>
      <c r="IP11" s="494"/>
      <c r="IQ11" s="494"/>
      <c r="IR11" s="495"/>
      <c r="IS11" s="1071"/>
      <c r="IT11" s="1073"/>
      <c r="IU11" s="1069"/>
      <c r="IV11" s="1070"/>
      <c r="IX11" s="1076"/>
      <c r="IY11" s="462"/>
      <c r="IZ11" s="462"/>
      <c r="JA11" s="462"/>
      <c r="JB11" s="462"/>
      <c r="JC11" s="462"/>
      <c r="JD11" s="462"/>
      <c r="JE11" s="462"/>
      <c r="JF11" s="462"/>
      <c r="JG11" s="462"/>
      <c r="JH11" s="462"/>
      <c r="JI11" s="462"/>
      <c r="JJ11" s="462"/>
      <c r="JK11" s="462"/>
      <c r="JL11" s="462"/>
      <c r="JM11" s="462"/>
      <c r="JN11" s="462"/>
      <c r="JO11" s="462"/>
      <c r="JP11" s="474"/>
      <c r="JQ11" s="1004"/>
      <c r="JR11" s="1006"/>
      <c r="JS11" s="941"/>
      <c r="JT11" s="1016"/>
      <c r="JV11" s="1043"/>
      <c r="JW11" s="462"/>
      <c r="JX11" s="462"/>
      <c r="JY11" s="462"/>
      <c r="JZ11" s="462"/>
      <c r="KA11" s="462"/>
      <c r="KB11" s="462"/>
      <c r="KC11" s="462"/>
      <c r="KD11" s="462"/>
      <c r="KE11" s="462"/>
      <c r="KF11" s="462"/>
      <c r="KG11" s="462"/>
      <c r="KH11" s="462"/>
      <c r="KI11" s="462"/>
      <c r="KJ11" s="462"/>
      <c r="KK11" s="462"/>
      <c r="KL11" s="462"/>
      <c r="KM11" s="462"/>
      <c r="KN11" s="474"/>
      <c r="KO11" s="1004"/>
      <c r="KP11" s="1006"/>
      <c r="KQ11" s="941"/>
      <c r="KR11" s="1016"/>
      <c r="KT11" s="1063"/>
      <c r="KU11" s="462"/>
      <c r="KV11" s="462"/>
      <c r="KW11" s="462"/>
      <c r="KX11" s="462"/>
      <c r="KY11" s="462"/>
      <c r="KZ11" s="462"/>
      <c r="LA11" s="462"/>
      <c r="LB11" s="462"/>
      <c r="LC11" s="462"/>
      <c r="LD11" s="462"/>
      <c r="LE11" s="462"/>
      <c r="LF11" s="462"/>
      <c r="LG11" s="462"/>
      <c r="LH11" s="462"/>
      <c r="LI11" s="462"/>
      <c r="LJ11" s="462"/>
      <c r="LK11" s="462"/>
      <c r="LL11" s="474"/>
      <c r="LM11" s="1004"/>
      <c r="LN11" s="1006"/>
      <c r="LO11" s="941"/>
      <c r="LP11" s="1016"/>
      <c r="LR11" s="61">
        <v>9</v>
      </c>
      <c r="LS11" s="62" t="str" cm="1">
        <f t="array" ref="LS11">IF(INDEX(S:S, (ROW()-ROW($S$3))*3 + 3) &lt;&gt; "", "✔", "")</f>
        <v>✔</v>
      </c>
      <c r="LT11" s="61">
        <v>9</v>
      </c>
      <c r="LU11" s="62" t="str" cm="1">
        <f t="array" ref="LU11">IF(INDEX(AQ:AQ, (ROW()-ROW($AQ$3))*3 + 3) &lt;&gt; "", "✔", "")</f>
        <v>✔</v>
      </c>
      <c r="LV11" s="61">
        <v>9</v>
      </c>
      <c r="LW11" s="501" t="str" cm="1">
        <f t="array" ref="LW11">IF(INDEX(BO:BO, (ROW()-ROW($BO$3))*3 + 3) &lt;&gt; "", "✔", "")</f>
        <v>✔</v>
      </c>
      <c r="LX11" s="503">
        <v>9</v>
      </c>
      <c r="LY11" s="485" t="str" cm="1">
        <f t="array" ref="LY11">IF(INDEX(CM:CM, (ROW()-ROW($CM$3))*3 + 3) &lt;&gt; "", "✔", "")</f>
        <v/>
      </c>
      <c r="LZ11" s="507">
        <v>9</v>
      </c>
      <c r="MA11" s="485" t="str" cm="1">
        <f t="array" ref="MA11">IF(INDEX(DK:DK, (ROW()-ROW($DK$3))*3 + 3) &lt;&gt; "", "✔", "")</f>
        <v/>
      </c>
      <c r="MB11" s="503">
        <v>9</v>
      </c>
      <c r="MC11" s="485" t="str" cm="1">
        <f t="array" ref="MC11">IF(INDEX(EI:EI, (ROW()-ROW($EI$3))*3 + 3) &lt;&gt; "", "✔", "")</f>
        <v/>
      </c>
      <c r="MD11" s="503">
        <v>9</v>
      </c>
      <c r="ME11" s="485" t="str" cm="1">
        <f t="array" ref="ME11">IF(INDEX(FG:FG, (ROW()-ROW($FG$3))*3 + 3) &lt;&gt; "", "✔", "")</f>
        <v/>
      </c>
      <c r="MF11" s="503">
        <v>9</v>
      </c>
      <c r="MG11" s="485" t="str" cm="1">
        <f t="array" ref="MG11">IF(INDEX(GE:GE, (ROW()-ROW($GE$3))*3 + 3) &lt;&gt; "", "✔", "")</f>
        <v/>
      </c>
      <c r="MH11" s="503">
        <v>9</v>
      </c>
      <c r="MI11" s="485" t="str" cm="1">
        <f t="array" ref="MI11">IF(INDEX(HC:HC, (ROW()-ROW($HC$3))*3 + 3) &lt;&gt; "", "✔", "")</f>
        <v/>
      </c>
      <c r="MJ11" s="503">
        <v>9</v>
      </c>
      <c r="MK11" s="485" t="str" cm="1">
        <f t="array" ref="MK11">IF(INDEX(IA:IA, (ROW()-ROW($IA$3))*3 + 3) &lt;&gt; "", "✔", "")</f>
        <v/>
      </c>
      <c r="ML11" s="503">
        <v>9</v>
      </c>
      <c r="MM11" s="485" t="str" cm="1">
        <f t="array" ref="MM11">IF(INDEX(IY:IY, (ROW()-ROW($IY$3))*3 + 3) &lt;&gt; "", "✔", "")</f>
        <v/>
      </c>
      <c r="MN11" s="503">
        <v>9</v>
      </c>
      <c r="MO11" s="485" t="str" cm="1">
        <f t="array" ref="MO11">IF(INDEX(JW:JW, (ROW()-ROW($JW$3))*3 + 3) &lt;&gt; "", "✔", "")</f>
        <v/>
      </c>
      <c r="MP11" s="503">
        <v>9</v>
      </c>
      <c r="MQ11" s="13" t="str" cm="1">
        <f t="array" ref="MQ11">IF(INDEX(KU:KU, (ROW()-ROW($KU$3))*3 + 3) &lt;&gt; "", "✔", "")</f>
        <v/>
      </c>
    </row>
    <row r="12" spans="1:355" ht="15.75">
      <c r="A12" s="987" t="s">
        <v>412</v>
      </c>
      <c r="B12" s="990" t="s">
        <v>404</v>
      </c>
      <c r="C12" s="334" t="s">
        <v>72</v>
      </c>
      <c r="D12" s="334">
        <v>3</v>
      </c>
      <c r="E12" s="334" t="s">
        <v>384</v>
      </c>
      <c r="F12" s="334" t="s">
        <v>385</v>
      </c>
      <c r="G12" s="334" t="s">
        <v>146</v>
      </c>
      <c r="H12" s="334">
        <v>3</v>
      </c>
      <c r="I12" s="335" t="s">
        <v>386</v>
      </c>
      <c r="J12" s="993">
        <v>5</v>
      </c>
      <c r="K12" s="336">
        <v>1</v>
      </c>
      <c r="L12" s="337">
        <v>1</v>
      </c>
      <c r="M12" s="337">
        <v>3</v>
      </c>
      <c r="N12" s="337">
        <v>3.5</v>
      </c>
      <c r="O12" s="337">
        <f t="shared" si="0"/>
        <v>17.5</v>
      </c>
      <c r="P12" s="996">
        <f>SUM(O12:O14)</f>
        <v>49</v>
      </c>
      <c r="R12" s="864">
        <v>46026</v>
      </c>
      <c r="S12" s="844"/>
      <c r="T12" s="844"/>
      <c r="U12" s="844"/>
      <c r="V12" s="859"/>
      <c r="W12" s="859"/>
      <c r="X12" s="859"/>
      <c r="Y12" s="834"/>
      <c r="Z12" s="835"/>
      <c r="AA12" s="836"/>
      <c r="AB12" s="867"/>
      <c r="AC12" s="868"/>
      <c r="AD12" s="869"/>
      <c r="AE12" s="834"/>
      <c r="AF12" s="835"/>
      <c r="AG12" s="836"/>
      <c r="AH12" s="834"/>
      <c r="AI12" s="835"/>
      <c r="AJ12" s="835"/>
      <c r="AK12" s="459" t="s">
        <v>425</v>
      </c>
      <c r="AL12" s="1">
        <f t="shared" ref="AL12" si="7">COUNTA(S12:AJ12)</f>
        <v>0</v>
      </c>
      <c r="AM12" s="939"/>
      <c r="AN12" s="855">
        <f>AN9</f>
        <v>76.900000000000006</v>
      </c>
      <c r="AO12" s="118"/>
      <c r="AP12" s="845">
        <v>46057</v>
      </c>
      <c r="AQ12" s="849" t="s">
        <v>156</v>
      </c>
      <c r="AR12" s="849"/>
      <c r="AS12" s="849"/>
      <c r="AT12" s="848" t="s">
        <v>103</v>
      </c>
      <c r="AU12" s="848"/>
      <c r="AV12" s="848"/>
      <c r="AW12" s="848" t="s">
        <v>68</v>
      </c>
      <c r="AX12" s="848"/>
      <c r="AY12" s="848"/>
      <c r="AZ12" s="848" t="s">
        <v>417</v>
      </c>
      <c r="BA12" s="848"/>
      <c r="BB12" s="848"/>
      <c r="BC12" s="834"/>
      <c r="BD12" s="835"/>
      <c r="BE12" s="836"/>
      <c r="BF12" s="834"/>
      <c r="BG12" s="835"/>
      <c r="BH12" s="835"/>
      <c r="BI12" s="459" t="s">
        <v>425</v>
      </c>
      <c r="BJ12" s="482">
        <f t="shared" ref="BJ12" si="8">COUNTA(AQ12:BH12)</f>
        <v>4</v>
      </c>
      <c r="BK12" s="939"/>
      <c r="BL12" s="1016">
        <v>78.7</v>
      </c>
      <c r="BM12" s="118"/>
      <c r="BN12" s="845">
        <v>46085</v>
      </c>
      <c r="BO12" s="849" t="s">
        <v>156</v>
      </c>
      <c r="BP12" s="849"/>
      <c r="BQ12" s="849"/>
      <c r="BR12" s="848" t="s">
        <v>103</v>
      </c>
      <c r="BS12" s="848"/>
      <c r="BT12" s="848"/>
      <c r="BU12" s="848" t="s">
        <v>68</v>
      </c>
      <c r="BV12" s="848"/>
      <c r="BW12" s="848"/>
      <c r="BX12" s="848" t="s">
        <v>417</v>
      </c>
      <c r="BY12" s="848"/>
      <c r="BZ12" s="848"/>
      <c r="CA12" s="834"/>
      <c r="CB12" s="835"/>
      <c r="CC12" s="836"/>
      <c r="CD12" s="834"/>
      <c r="CE12" s="835"/>
      <c r="CF12" s="835"/>
      <c r="CG12" s="459" t="s">
        <v>425</v>
      </c>
      <c r="CH12" s="482">
        <f t="shared" ref="CH12" si="9">COUNTA(BO12:CF12)</f>
        <v>4</v>
      </c>
      <c r="CI12" s="939">
        <v>8</v>
      </c>
      <c r="CJ12" s="1016">
        <v>77.8</v>
      </c>
      <c r="CL12" s="1051">
        <v>46116</v>
      </c>
      <c r="CM12" s="1023"/>
      <c r="CN12" s="1023"/>
      <c r="CO12" s="1023"/>
      <c r="CP12" s="1023"/>
      <c r="CQ12" s="1023"/>
      <c r="CR12" s="1023"/>
      <c r="CS12" s="1023"/>
      <c r="CT12" s="1023"/>
      <c r="CU12" s="1023"/>
      <c r="CV12" s="1023"/>
      <c r="CW12" s="1023"/>
      <c r="CX12" s="1023"/>
      <c r="CY12" s="1021"/>
      <c r="CZ12" s="1022"/>
      <c r="DA12" s="1024"/>
      <c r="DB12" s="1021"/>
      <c r="DC12" s="1022"/>
      <c r="DD12" s="1022"/>
      <c r="DE12" s="576" t="s">
        <v>425</v>
      </c>
      <c r="DF12" s="577">
        <f>COUNTA(CM12:DD12)</f>
        <v>0</v>
      </c>
      <c r="DG12" s="1054">
        <v>0</v>
      </c>
      <c r="DH12" s="1057">
        <f>DH9</f>
        <v>77.150000000000006</v>
      </c>
      <c r="DJ12" s="1064">
        <v>46146</v>
      </c>
      <c r="DK12" s="960"/>
      <c r="DL12" s="960"/>
      <c r="DM12" s="960"/>
      <c r="DN12" s="960"/>
      <c r="DO12" s="960"/>
      <c r="DP12" s="960"/>
      <c r="DQ12" s="960"/>
      <c r="DR12" s="960"/>
      <c r="DS12" s="960"/>
      <c r="DT12" s="960"/>
      <c r="DU12" s="960"/>
      <c r="DV12" s="960"/>
      <c r="DW12" s="961"/>
      <c r="DX12" s="962"/>
      <c r="DY12" s="963"/>
      <c r="DZ12" s="961"/>
      <c r="EA12" s="962"/>
      <c r="EB12" s="962"/>
      <c r="EC12" s="459" t="s">
        <v>425</v>
      </c>
      <c r="ED12" s="482">
        <f>COUNTA(DK12:EB12)</f>
        <v>0</v>
      </c>
      <c r="EE12" s="939"/>
      <c r="EF12" s="1016"/>
      <c r="EH12" s="1041">
        <v>46177</v>
      </c>
      <c r="EI12" s="960"/>
      <c r="EJ12" s="960"/>
      <c r="EK12" s="960"/>
      <c r="EL12" s="960"/>
      <c r="EM12" s="960"/>
      <c r="EN12" s="960"/>
      <c r="EO12" s="960"/>
      <c r="EP12" s="960"/>
      <c r="EQ12" s="960"/>
      <c r="ER12" s="960"/>
      <c r="ES12" s="960"/>
      <c r="ET12" s="960"/>
      <c r="EU12" s="961"/>
      <c r="EV12" s="962"/>
      <c r="EW12" s="963"/>
      <c r="EX12" s="961"/>
      <c r="EY12" s="962"/>
      <c r="EZ12" s="962"/>
      <c r="FA12" s="459" t="s">
        <v>425</v>
      </c>
      <c r="FB12" s="482">
        <f>COUNTA(EI12:EZ12)</f>
        <v>0</v>
      </c>
      <c r="FC12" s="939"/>
      <c r="FD12" s="1016"/>
      <c r="FF12" s="1051">
        <v>46207</v>
      </c>
      <c r="FG12" s="1023"/>
      <c r="FH12" s="1023"/>
      <c r="FI12" s="1023"/>
      <c r="FJ12" s="1023"/>
      <c r="FK12" s="1023"/>
      <c r="FL12" s="1023"/>
      <c r="FM12" s="1023"/>
      <c r="FN12" s="1023"/>
      <c r="FO12" s="1023"/>
      <c r="FP12" s="1023"/>
      <c r="FQ12" s="1023"/>
      <c r="FR12" s="1023"/>
      <c r="FS12" s="1021"/>
      <c r="FT12" s="1022"/>
      <c r="FU12" s="1024"/>
      <c r="FV12" s="1021"/>
      <c r="FW12" s="1022"/>
      <c r="FX12" s="1022"/>
      <c r="FY12" s="489" t="s">
        <v>425</v>
      </c>
      <c r="FZ12" s="496">
        <f>COUNTA(FG12:FX12)</f>
        <v>0</v>
      </c>
      <c r="GA12" s="1067"/>
      <c r="GB12" s="1070"/>
      <c r="GD12" s="1074">
        <v>46238</v>
      </c>
      <c r="GE12" s="960"/>
      <c r="GF12" s="960"/>
      <c r="GG12" s="960"/>
      <c r="GH12" s="960"/>
      <c r="GI12" s="960"/>
      <c r="GJ12" s="960"/>
      <c r="GK12" s="960"/>
      <c r="GL12" s="960"/>
      <c r="GM12" s="960"/>
      <c r="GN12" s="960"/>
      <c r="GO12" s="960"/>
      <c r="GP12" s="960"/>
      <c r="GQ12" s="961"/>
      <c r="GR12" s="962"/>
      <c r="GS12" s="963"/>
      <c r="GT12" s="961"/>
      <c r="GU12" s="962"/>
      <c r="GV12" s="962"/>
      <c r="GW12" s="459" t="s">
        <v>425</v>
      </c>
      <c r="GX12" s="482">
        <f>COUNTA(GE12:GV12)</f>
        <v>0</v>
      </c>
      <c r="GY12" s="939"/>
      <c r="GZ12" s="1016"/>
      <c r="HB12" s="1048">
        <v>46269</v>
      </c>
      <c r="HC12" s="960"/>
      <c r="HD12" s="960"/>
      <c r="HE12" s="960"/>
      <c r="HF12" s="960"/>
      <c r="HG12" s="960"/>
      <c r="HH12" s="960"/>
      <c r="HI12" s="960"/>
      <c r="HJ12" s="960"/>
      <c r="HK12" s="960"/>
      <c r="HL12" s="960"/>
      <c r="HM12" s="960"/>
      <c r="HN12" s="960"/>
      <c r="HO12" s="961"/>
      <c r="HP12" s="962"/>
      <c r="HQ12" s="963"/>
      <c r="HR12" s="961"/>
      <c r="HS12" s="962"/>
      <c r="HT12" s="962"/>
      <c r="HU12" s="459" t="s">
        <v>425</v>
      </c>
      <c r="HV12" s="482">
        <f>COUNTA(HC12:HT12)</f>
        <v>0</v>
      </c>
      <c r="HW12" s="939"/>
      <c r="HX12" s="1016"/>
      <c r="HZ12" s="1061">
        <v>46299</v>
      </c>
      <c r="IA12" s="960"/>
      <c r="IB12" s="960"/>
      <c r="IC12" s="960"/>
      <c r="ID12" s="960"/>
      <c r="IE12" s="960"/>
      <c r="IF12" s="960"/>
      <c r="IG12" s="960"/>
      <c r="IH12" s="960"/>
      <c r="II12" s="960"/>
      <c r="IJ12" s="960"/>
      <c r="IK12" s="960"/>
      <c r="IL12" s="960"/>
      <c r="IM12" s="961"/>
      <c r="IN12" s="962"/>
      <c r="IO12" s="963"/>
      <c r="IP12" s="961"/>
      <c r="IQ12" s="962"/>
      <c r="IR12" s="962"/>
      <c r="IS12" s="459" t="s">
        <v>425</v>
      </c>
      <c r="IT12" s="482">
        <f>COUNTA(IA12:IR12)</f>
        <v>0</v>
      </c>
      <c r="IU12" s="939"/>
      <c r="IV12" s="1016"/>
      <c r="IX12" s="1038">
        <v>46330</v>
      </c>
      <c r="IY12" s="960"/>
      <c r="IZ12" s="960"/>
      <c r="JA12" s="960"/>
      <c r="JB12" s="960"/>
      <c r="JC12" s="960"/>
      <c r="JD12" s="960"/>
      <c r="JE12" s="960"/>
      <c r="JF12" s="960"/>
      <c r="JG12" s="960"/>
      <c r="JH12" s="960"/>
      <c r="JI12" s="960"/>
      <c r="JJ12" s="960"/>
      <c r="JK12" s="961"/>
      <c r="JL12" s="962"/>
      <c r="JM12" s="963"/>
      <c r="JN12" s="961"/>
      <c r="JO12" s="962"/>
      <c r="JP12" s="962"/>
      <c r="JQ12" s="459" t="s">
        <v>425</v>
      </c>
      <c r="JR12" s="482">
        <f>COUNTA(IY12:JP12)</f>
        <v>0</v>
      </c>
      <c r="JS12" s="939"/>
      <c r="JT12" s="1016"/>
      <c r="JV12" s="1048">
        <v>46360</v>
      </c>
      <c r="JW12" s="960"/>
      <c r="JX12" s="960"/>
      <c r="JY12" s="960"/>
      <c r="JZ12" s="960"/>
      <c r="KA12" s="960"/>
      <c r="KB12" s="960"/>
      <c r="KC12" s="960"/>
      <c r="KD12" s="960"/>
      <c r="KE12" s="960"/>
      <c r="KF12" s="960"/>
      <c r="KG12" s="960"/>
      <c r="KH12" s="960"/>
      <c r="KI12" s="961"/>
      <c r="KJ12" s="962"/>
      <c r="KK12" s="963"/>
      <c r="KL12" s="961"/>
      <c r="KM12" s="962"/>
      <c r="KN12" s="962"/>
      <c r="KO12" s="459" t="s">
        <v>425</v>
      </c>
      <c r="KP12" s="482">
        <f>COUNTA(JW12:KN12)</f>
        <v>0</v>
      </c>
      <c r="KQ12" s="939"/>
      <c r="KR12" s="1016"/>
      <c r="KT12" s="1064">
        <v>46391</v>
      </c>
      <c r="KU12" s="960"/>
      <c r="KV12" s="960"/>
      <c r="KW12" s="960"/>
      <c r="KX12" s="960"/>
      <c r="KY12" s="960"/>
      <c r="KZ12" s="960"/>
      <c r="LA12" s="960"/>
      <c r="LB12" s="960"/>
      <c r="LC12" s="960"/>
      <c r="LD12" s="960"/>
      <c r="LE12" s="960"/>
      <c r="LF12" s="960"/>
      <c r="LG12" s="961"/>
      <c r="LH12" s="962"/>
      <c r="LI12" s="963"/>
      <c r="LJ12" s="961"/>
      <c r="LK12" s="962"/>
      <c r="LL12" s="962"/>
      <c r="LM12" s="459" t="s">
        <v>425</v>
      </c>
      <c r="LN12" s="482">
        <f>COUNTA(KU12:LL12)</f>
        <v>0</v>
      </c>
      <c r="LO12" s="939"/>
      <c r="LP12" s="1016"/>
      <c r="LR12" s="61">
        <v>10</v>
      </c>
      <c r="LS12" s="62" t="str" cm="1">
        <f t="array" ref="LS12">IF(INDEX(S:S, (ROW()-ROW($S$3))*3 + 3) &lt;&gt; "", "✔", "")</f>
        <v/>
      </c>
      <c r="LT12" s="61">
        <v>10</v>
      </c>
      <c r="LU12" s="62" t="str" cm="1">
        <f t="array" ref="LU12">IF(INDEX(AQ:AQ, (ROW()-ROW($AQ$3))*3 + 3) &lt;&gt; "", "✔", "")</f>
        <v>✔</v>
      </c>
      <c r="LV12" s="61">
        <v>10</v>
      </c>
      <c r="LW12" s="501" t="str" cm="1">
        <f t="array" ref="LW12">IF(INDEX(BO:BO, (ROW()-ROW($BO$3))*3 + 3) &lt;&gt; "", "✔", "")</f>
        <v>✔</v>
      </c>
      <c r="LX12" s="503">
        <v>10</v>
      </c>
      <c r="LY12" s="485" t="str" cm="1">
        <f t="array" ref="LY12">IF(INDEX(CM:CM, (ROW()-ROW($CM$3))*3 + 3) &lt;&gt; "", "✔", "")</f>
        <v/>
      </c>
      <c r="LZ12" s="507">
        <v>10</v>
      </c>
      <c r="MA12" s="485" t="str" cm="1">
        <f t="array" ref="MA12">IF(INDEX(DK:DK, (ROW()-ROW($DK$3))*3 + 3) &lt;&gt; "", "✔", "")</f>
        <v/>
      </c>
      <c r="MB12" s="503">
        <v>10</v>
      </c>
      <c r="MC12" s="485" t="str" cm="1">
        <f t="array" ref="MC12">IF(INDEX(EI:EI, (ROW()-ROW($EI$3))*3 + 3) &lt;&gt; "", "✔", "")</f>
        <v/>
      </c>
      <c r="MD12" s="503">
        <v>10</v>
      </c>
      <c r="ME12" s="485" t="str" cm="1">
        <f t="array" ref="ME12">IF(INDEX(FG:FG, (ROW()-ROW($FG$3))*3 + 3) &lt;&gt; "", "✔", "")</f>
        <v/>
      </c>
      <c r="MF12" s="503">
        <v>10</v>
      </c>
      <c r="MG12" s="485" t="str" cm="1">
        <f t="array" ref="MG12">IF(INDEX(GE:GE, (ROW()-ROW($GE$3))*3 + 3) &lt;&gt; "", "✔", "")</f>
        <v/>
      </c>
      <c r="MH12" s="503">
        <v>10</v>
      </c>
      <c r="MI12" s="485" t="str" cm="1">
        <f t="array" ref="MI12">IF(INDEX(HC:HC, (ROW()-ROW($HC$3))*3 + 3) &lt;&gt; "", "✔", "")</f>
        <v/>
      </c>
      <c r="MJ12" s="503">
        <v>10</v>
      </c>
      <c r="MK12" s="485" t="str" cm="1">
        <f t="array" ref="MK12">IF(INDEX(IA:IA, (ROW()-ROW($IA$3))*3 + 3) &lt;&gt; "", "✔", "")</f>
        <v/>
      </c>
      <c r="ML12" s="503">
        <v>10</v>
      </c>
      <c r="MM12" s="485" t="str" cm="1">
        <f t="array" ref="MM12">IF(INDEX(IY:IY, (ROW()-ROW($IY$3))*3 + 3) &lt;&gt; "", "✔", "")</f>
        <v/>
      </c>
      <c r="MN12" s="503">
        <v>10</v>
      </c>
      <c r="MO12" s="485" t="str" cm="1">
        <f t="array" ref="MO12">IF(INDEX(JW:JW, (ROW()-ROW($JW$3))*3 + 3) &lt;&gt; "", "✔", "")</f>
        <v/>
      </c>
      <c r="MP12" s="503">
        <v>10</v>
      </c>
      <c r="MQ12" s="13" t="str" cm="1">
        <f t="array" ref="MQ12">IF(INDEX(KU:KU, (ROW()-ROW($KU$3))*3 + 3) &lt;&gt; "", "✔", "")</f>
        <v/>
      </c>
    </row>
    <row r="13" spans="1:355" ht="15.75">
      <c r="A13" s="988"/>
      <c r="B13" s="991"/>
      <c r="C13" s="277" t="s">
        <v>91</v>
      </c>
      <c r="D13" s="277">
        <v>3</v>
      </c>
      <c r="E13" s="277" t="s">
        <v>386</v>
      </c>
      <c r="F13" s="277" t="s">
        <v>387</v>
      </c>
      <c r="G13" s="277" t="s">
        <v>118</v>
      </c>
      <c r="H13" s="277">
        <v>3</v>
      </c>
      <c r="I13" s="338" t="s">
        <v>389</v>
      </c>
      <c r="J13" s="994"/>
      <c r="K13" s="339">
        <v>1</v>
      </c>
      <c r="L13" s="340">
        <v>1</v>
      </c>
      <c r="M13" s="340">
        <v>3</v>
      </c>
      <c r="N13" s="340">
        <v>3.5</v>
      </c>
      <c r="O13" s="340">
        <f t="shared" si="0"/>
        <v>17.5</v>
      </c>
      <c r="P13" s="997"/>
      <c r="R13" s="865"/>
      <c r="S13" s="107"/>
      <c r="T13" s="107"/>
      <c r="U13" s="108"/>
      <c r="V13" s="107"/>
      <c r="W13" s="107"/>
      <c r="X13" s="108"/>
      <c r="Y13" s="107"/>
      <c r="Z13" s="107"/>
      <c r="AA13" s="108"/>
      <c r="AB13" s="107"/>
      <c r="AC13" s="107"/>
      <c r="AD13" s="108"/>
      <c r="AE13" s="107"/>
      <c r="AF13" s="107"/>
      <c r="AG13" s="108"/>
      <c r="AH13" s="107"/>
      <c r="AI13" s="107"/>
      <c r="AJ13" s="471"/>
      <c r="AK13" s="1004">
        <v>0</v>
      </c>
      <c r="AL13" s="1002">
        <f t="shared" ref="AL13" si="10">(S14*T14*U14)+(V14*W14*X14)+(Y14*Z14*AA14)+(AB14*AC14*AD14)+(AE14*AF14*AG14)+(AH14*AI14*AJ14)</f>
        <v>0</v>
      </c>
      <c r="AM13" s="940"/>
      <c r="AN13" s="855"/>
      <c r="AO13" s="118"/>
      <c r="AP13" s="846"/>
      <c r="AQ13" s="231" t="s">
        <v>59</v>
      </c>
      <c r="AR13" s="231" t="s">
        <v>73</v>
      </c>
      <c r="AS13" s="102" t="s">
        <v>4</v>
      </c>
      <c r="AT13" s="231" t="s">
        <v>59</v>
      </c>
      <c r="AU13" s="231" t="s">
        <v>73</v>
      </c>
      <c r="AV13" s="102" t="s">
        <v>4</v>
      </c>
      <c r="AW13" s="231" t="s">
        <v>59</v>
      </c>
      <c r="AX13" s="231" t="s">
        <v>73</v>
      </c>
      <c r="AY13" s="102" t="s">
        <v>4</v>
      </c>
      <c r="AZ13" s="231" t="s">
        <v>59</v>
      </c>
      <c r="BA13" s="231" t="s">
        <v>73</v>
      </c>
      <c r="BB13" s="102" t="s">
        <v>4</v>
      </c>
      <c r="BC13" s="107" t="s">
        <v>59</v>
      </c>
      <c r="BD13" s="107" t="s">
        <v>73</v>
      </c>
      <c r="BE13" s="108" t="s">
        <v>4</v>
      </c>
      <c r="BF13" s="107" t="s">
        <v>59</v>
      </c>
      <c r="BG13" s="107" t="s">
        <v>73</v>
      </c>
      <c r="BH13" s="471" t="s">
        <v>4</v>
      </c>
      <c r="BI13" s="1004">
        <v>62</v>
      </c>
      <c r="BJ13" s="1003">
        <f t="shared" ref="BJ13" si="11">(AQ14*AR14*AS14)+(AT14*AU14*AV14)+(AW14*AX14*AY14)+(AZ14*BA14*BB14)+(BC14*BD14*BE14)+(BF14*BG14*BH14)</f>
        <v>5708.8333333333339</v>
      </c>
      <c r="BK13" s="940"/>
      <c r="BL13" s="1016"/>
      <c r="BM13" s="118"/>
      <c r="BN13" s="846"/>
      <c r="BO13" s="231" t="s">
        <v>59</v>
      </c>
      <c r="BP13" s="231" t="s">
        <v>73</v>
      </c>
      <c r="BQ13" s="102" t="s">
        <v>4</v>
      </c>
      <c r="BR13" s="231" t="s">
        <v>59</v>
      </c>
      <c r="BS13" s="231" t="s">
        <v>73</v>
      </c>
      <c r="BT13" s="102" t="s">
        <v>4</v>
      </c>
      <c r="BU13" s="231" t="s">
        <v>59</v>
      </c>
      <c r="BV13" s="231" t="s">
        <v>73</v>
      </c>
      <c r="BW13" s="102" t="s">
        <v>4</v>
      </c>
      <c r="BX13" s="231" t="s">
        <v>59</v>
      </c>
      <c r="BY13" s="231" t="s">
        <v>73</v>
      </c>
      <c r="BZ13" s="102" t="s">
        <v>4</v>
      </c>
      <c r="CA13" s="107" t="s">
        <v>59</v>
      </c>
      <c r="CB13" s="107" t="s">
        <v>73</v>
      </c>
      <c r="CC13" s="108" t="s">
        <v>4</v>
      </c>
      <c r="CD13" s="107" t="s">
        <v>59</v>
      </c>
      <c r="CE13" s="107" t="s">
        <v>73</v>
      </c>
      <c r="CF13" s="471" t="s">
        <v>4</v>
      </c>
      <c r="CG13" s="1004">
        <f>60+1</f>
        <v>61</v>
      </c>
      <c r="CH13" s="1005">
        <f t="shared" ref="CH13" si="12">(BO14*BP14*BQ14)+(BR14*BS14*BT14)+(BU14*BV14*BW14)+(BX14*BY14*BZ14)+(CA14*CB14*CC14)+(CD14*CE14*CF14)</f>
        <v>7996.9</v>
      </c>
      <c r="CI13" s="940"/>
      <c r="CJ13" s="1016"/>
      <c r="CL13" s="1052"/>
      <c r="CM13" s="491" t="s">
        <v>59</v>
      </c>
      <c r="CN13" s="491" t="s">
        <v>73</v>
      </c>
      <c r="CO13" s="492" t="s">
        <v>4</v>
      </c>
      <c r="CP13" s="491" t="s">
        <v>59</v>
      </c>
      <c r="CQ13" s="491" t="s">
        <v>73</v>
      </c>
      <c r="CR13" s="492" t="s">
        <v>4</v>
      </c>
      <c r="CS13" s="491" t="s">
        <v>59</v>
      </c>
      <c r="CT13" s="491" t="s">
        <v>73</v>
      </c>
      <c r="CU13" s="492" t="s">
        <v>4</v>
      </c>
      <c r="CV13" s="491" t="s">
        <v>59</v>
      </c>
      <c r="CW13" s="491" t="s">
        <v>73</v>
      </c>
      <c r="CX13" s="492" t="s">
        <v>4</v>
      </c>
      <c r="CY13" s="491" t="s">
        <v>59</v>
      </c>
      <c r="CZ13" s="491" t="s">
        <v>73</v>
      </c>
      <c r="DA13" s="492" t="s">
        <v>4</v>
      </c>
      <c r="DB13" s="491" t="s">
        <v>59</v>
      </c>
      <c r="DC13" s="491" t="s">
        <v>73</v>
      </c>
      <c r="DD13" s="493" t="s">
        <v>4</v>
      </c>
      <c r="DE13" s="1058">
        <v>0</v>
      </c>
      <c r="DF13" s="1059">
        <f>(CM14*CN14*CO14)+(CP14*CQ14*CR14)+(CS14*CT14*CU14)+(CV14*CW14*CX14)+(CY14*CZ14*DA14)+(DB14*DC14*DD14)</f>
        <v>0</v>
      </c>
      <c r="DG13" s="1055"/>
      <c r="DH13" s="1057"/>
      <c r="DJ13" s="1065"/>
      <c r="DK13" s="460" t="s">
        <v>59</v>
      </c>
      <c r="DL13" s="460" t="s">
        <v>73</v>
      </c>
      <c r="DM13" s="461" t="s">
        <v>4</v>
      </c>
      <c r="DN13" s="460" t="s">
        <v>59</v>
      </c>
      <c r="DO13" s="460" t="s">
        <v>73</v>
      </c>
      <c r="DP13" s="461" t="s">
        <v>4</v>
      </c>
      <c r="DQ13" s="460" t="s">
        <v>59</v>
      </c>
      <c r="DR13" s="460" t="s">
        <v>73</v>
      </c>
      <c r="DS13" s="461" t="s">
        <v>4</v>
      </c>
      <c r="DT13" s="460" t="s">
        <v>59</v>
      </c>
      <c r="DU13" s="460" t="s">
        <v>73</v>
      </c>
      <c r="DV13" s="461" t="s">
        <v>4</v>
      </c>
      <c r="DW13" s="460" t="s">
        <v>59</v>
      </c>
      <c r="DX13" s="460" t="s">
        <v>73</v>
      </c>
      <c r="DY13" s="461" t="s">
        <v>4</v>
      </c>
      <c r="DZ13" s="460" t="s">
        <v>59</v>
      </c>
      <c r="EA13" s="460" t="s">
        <v>73</v>
      </c>
      <c r="EB13" s="473" t="s">
        <v>4</v>
      </c>
      <c r="EC13" s="1004"/>
      <c r="ED13" s="1005">
        <f>(DK14*DL14*DM14)+(DN14*DO14*DP14)+(DQ14*DR14*DS14)+(DT14*DU14*DV14)+(DW14*DX14*DY14)+(DZ14*EA14*EB14)</f>
        <v>0</v>
      </c>
      <c r="EE13" s="940"/>
      <c r="EF13" s="1016"/>
      <c r="EH13" s="1042"/>
      <c r="EI13" s="460" t="s">
        <v>59</v>
      </c>
      <c r="EJ13" s="460" t="s">
        <v>73</v>
      </c>
      <c r="EK13" s="461" t="s">
        <v>4</v>
      </c>
      <c r="EL13" s="460" t="s">
        <v>59</v>
      </c>
      <c r="EM13" s="460" t="s">
        <v>73</v>
      </c>
      <c r="EN13" s="461" t="s">
        <v>4</v>
      </c>
      <c r="EO13" s="460" t="s">
        <v>59</v>
      </c>
      <c r="EP13" s="460" t="s">
        <v>73</v>
      </c>
      <c r="EQ13" s="461" t="s">
        <v>4</v>
      </c>
      <c r="ER13" s="460" t="s">
        <v>59</v>
      </c>
      <c r="ES13" s="460" t="s">
        <v>73</v>
      </c>
      <c r="ET13" s="461" t="s">
        <v>4</v>
      </c>
      <c r="EU13" s="460" t="s">
        <v>59</v>
      </c>
      <c r="EV13" s="460" t="s">
        <v>73</v>
      </c>
      <c r="EW13" s="461" t="s">
        <v>4</v>
      </c>
      <c r="EX13" s="460" t="s">
        <v>59</v>
      </c>
      <c r="EY13" s="460" t="s">
        <v>73</v>
      </c>
      <c r="EZ13" s="473" t="s">
        <v>4</v>
      </c>
      <c r="FA13" s="1004"/>
      <c r="FB13" s="1005">
        <f>(EI14*EJ14*EK14)+(EL14*EM14*EN14)+(EO14*EP14*EQ14)+(ER14*ES14*ET14)+(EU14*EV14*EW14)+(EX14*EY14*EZ14)</f>
        <v>0</v>
      </c>
      <c r="FC13" s="940"/>
      <c r="FD13" s="1016"/>
      <c r="FF13" s="1052"/>
      <c r="FG13" s="491" t="s">
        <v>59</v>
      </c>
      <c r="FH13" s="491" t="s">
        <v>73</v>
      </c>
      <c r="FI13" s="492" t="s">
        <v>4</v>
      </c>
      <c r="FJ13" s="491" t="s">
        <v>59</v>
      </c>
      <c r="FK13" s="491" t="s">
        <v>73</v>
      </c>
      <c r="FL13" s="492" t="s">
        <v>4</v>
      </c>
      <c r="FM13" s="491" t="s">
        <v>59</v>
      </c>
      <c r="FN13" s="491" t="s">
        <v>73</v>
      </c>
      <c r="FO13" s="492" t="s">
        <v>4</v>
      </c>
      <c r="FP13" s="491" t="s">
        <v>59</v>
      </c>
      <c r="FQ13" s="491" t="s">
        <v>73</v>
      </c>
      <c r="FR13" s="492" t="s">
        <v>4</v>
      </c>
      <c r="FS13" s="491" t="s">
        <v>59</v>
      </c>
      <c r="FT13" s="491" t="s">
        <v>73</v>
      </c>
      <c r="FU13" s="492" t="s">
        <v>4</v>
      </c>
      <c r="FV13" s="491" t="s">
        <v>59</v>
      </c>
      <c r="FW13" s="491" t="s">
        <v>73</v>
      </c>
      <c r="FX13" s="493" t="s">
        <v>4</v>
      </c>
      <c r="FY13" s="1071"/>
      <c r="FZ13" s="1072">
        <f>(FG14*FH14*FI14)+(FJ14*FK14*FL14)+(FM14*FN14*FO14)+(FP14*FQ14*FR14)+(FS14*FT14*FU14)+(FV14*FW14*FX14)</f>
        <v>0</v>
      </c>
      <c r="GA13" s="1068"/>
      <c r="GB13" s="1070"/>
      <c r="GD13" s="1075"/>
      <c r="GE13" s="460" t="s">
        <v>59</v>
      </c>
      <c r="GF13" s="460" t="s">
        <v>73</v>
      </c>
      <c r="GG13" s="461" t="s">
        <v>4</v>
      </c>
      <c r="GH13" s="460" t="s">
        <v>59</v>
      </c>
      <c r="GI13" s="460" t="s">
        <v>73</v>
      </c>
      <c r="GJ13" s="461" t="s">
        <v>4</v>
      </c>
      <c r="GK13" s="460" t="s">
        <v>59</v>
      </c>
      <c r="GL13" s="460" t="s">
        <v>73</v>
      </c>
      <c r="GM13" s="461" t="s">
        <v>4</v>
      </c>
      <c r="GN13" s="460" t="s">
        <v>59</v>
      </c>
      <c r="GO13" s="460" t="s">
        <v>73</v>
      </c>
      <c r="GP13" s="461" t="s">
        <v>4</v>
      </c>
      <c r="GQ13" s="460" t="s">
        <v>59</v>
      </c>
      <c r="GR13" s="460" t="s">
        <v>73</v>
      </c>
      <c r="GS13" s="461" t="s">
        <v>4</v>
      </c>
      <c r="GT13" s="460" t="s">
        <v>59</v>
      </c>
      <c r="GU13" s="460" t="s">
        <v>73</v>
      </c>
      <c r="GV13" s="473" t="s">
        <v>4</v>
      </c>
      <c r="GW13" s="1004"/>
      <c r="GX13" s="1005">
        <f>(GE14*GF14*GG14)+(GH14*GI14*GJ14)+(GK14*GL14*GM14)+(GN14*GO14*GP14)+(GQ14*GR14*GS14)+(GT14*GU14*GV14)</f>
        <v>0</v>
      </c>
      <c r="GY13" s="940"/>
      <c r="GZ13" s="1016"/>
      <c r="HB13" s="1049"/>
      <c r="HC13" s="460" t="s">
        <v>59</v>
      </c>
      <c r="HD13" s="460" t="s">
        <v>73</v>
      </c>
      <c r="HE13" s="461" t="s">
        <v>4</v>
      </c>
      <c r="HF13" s="460" t="s">
        <v>59</v>
      </c>
      <c r="HG13" s="460" t="s">
        <v>73</v>
      </c>
      <c r="HH13" s="461" t="s">
        <v>4</v>
      </c>
      <c r="HI13" s="460" t="s">
        <v>59</v>
      </c>
      <c r="HJ13" s="460" t="s">
        <v>73</v>
      </c>
      <c r="HK13" s="461" t="s">
        <v>4</v>
      </c>
      <c r="HL13" s="460" t="s">
        <v>59</v>
      </c>
      <c r="HM13" s="460" t="s">
        <v>73</v>
      </c>
      <c r="HN13" s="461" t="s">
        <v>4</v>
      </c>
      <c r="HO13" s="460" t="s">
        <v>59</v>
      </c>
      <c r="HP13" s="460" t="s">
        <v>73</v>
      </c>
      <c r="HQ13" s="461" t="s">
        <v>4</v>
      </c>
      <c r="HR13" s="460" t="s">
        <v>59</v>
      </c>
      <c r="HS13" s="460" t="s">
        <v>73</v>
      </c>
      <c r="HT13" s="473" t="s">
        <v>4</v>
      </c>
      <c r="HU13" s="1004"/>
      <c r="HV13" s="1005">
        <f>(HC14*HD14*HE14)+(HF14*HG14*HH14)+(HI14*HJ14*HK14)+(HL14*HM14*HN14)+(HO14*HP14*HQ14)+(HR14*HS14*HT14)</f>
        <v>0</v>
      </c>
      <c r="HW13" s="940"/>
      <c r="HX13" s="1016"/>
      <c r="HZ13" s="1062"/>
      <c r="IA13" s="460" t="s">
        <v>59</v>
      </c>
      <c r="IB13" s="460" t="s">
        <v>73</v>
      </c>
      <c r="IC13" s="461" t="s">
        <v>4</v>
      </c>
      <c r="ID13" s="460" t="s">
        <v>59</v>
      </c>
      <c r="IE13" s="460" t="s">
        <v>73</v>
      </c>
      <c r="IF13" s="461" t="s">
        <v>4</v>
      </c>
      <c r="IG13" s="460" t="s">
        <v>59</v>
      </c>
      <c r="IH13" s="460" t="s">
        <v>73</v>
      </c>
      <c r="II13" s="461" t="s">
        <v>4</v>
      </c>
      <c r="IJ13" s="460" t="s">
        <v>59</v>
      </c>
      <c r="IK13" s="460" t="s">
        <v>73</v>
      </c>
      <c r="IL13" s="461" t="s">
        <v>4</v>
      </c>
      <c r="IM13" s="460" t="s">
        <v>59</v>
      </c>
      <c r="IN13" s="460" t="s">
        <v>73</v>
      </c>
      <c r="IO13" s="461" t="s">
        <v>4</v>
      </c>
      <c r="IP13" s="460" t="s">
        <v>59</v>
      </c>
      <c r="IQ13" s="460" t="s">
        <v>73</v>
      </c>
      <c r="IR13" s="473" t="s">
        <v>4</v>
      </c>
      <c r="IS13" s="1004"/>
      <c r="IT13" s="1005">
        <f>(IA14*IB14*IC14)+(ID14*IE14*IF14)+(IG14*IH14*II14)+(IJ14*IK14*IL14)+(IM14*IN14*IO14)+(IP14*IQ14*IR14)</f>
        <v>0</v>
      </c>
      <c r="IU13" s="940"/>
      <c r="IV13" s="1016"/>
      <c r="IX13" s="1039"/>
      <c r="IY13" s="460" t="s">
        <v>59</v>
      </c>
      <c r="IZ13" s="460" t="s">
        <v>73</v>
      </c>
      <c r="JA13" s="461" t="s">
        <v>4</v>
      </c>
      <c r="JB13" s="460" t="s">
        <v>59</v>
      </c>
      <c r="JC13" s="460" t="s">
        <v>73</v>
      </c>
      <c r="JD13" s="461" t="s">
        <v>4</v>
      </c>
      <c r="JE13" s="460" t="s">
        <v>59</v>
      </c>
      <c r="JF13" s="460" t="s">
        <v>73</v>
      </c>
      <c r="JG13" s="461" t="s">
        <v>4</v>
      </c>
      <c r="JH13" s="460" t="s">
        <v>59</v>
      </c>
      <c r="JI13" s="460" t="s">
        <v>73</v>
      </c>
      <c r="JJ13" s="461" t="s">
        <v>4</v>
      </c>
      <c r="JK13" s="460" t="s">
        <v>59</v>
      </c>
      <c r="JL13" s="460" t="s">
        <v>73</v>
      </c>
      <c r="JM13" s="461" t="s">
        <v>4</v>
      </c>
      <c r="JN13" s="460" t="s">
        <v>59</v>
      </c>
      <c r="JO13" s="460" t="s">
        <v>73</v>
      </c>
      <c r="JP13" s="473" t="s">
        <v>4</v>
      </c>
      <c r="JQ13" s="1004"/>
      <c r="JR13" s="1005">
        <f>(IY14*IZ14*JA14)+(JB14*JC14*JD14)+(JE14*JF14*JG14)+(JH14*JI14*JJ14)+(JK14*JL14*JM14)+(JN14*JO14*JP14)</f>
        <v>0</v>
      </c>
      <c r="JS13" s="940"/>
      <c r="JT13" s="1016"/>
      <c r="JV13" s="1049"/>
      <c r="JW13" s="460" t="s">
        <v>59</v>
      </c>
      <c r="JX13" s="460" t="s">
        <v>73</v>
      </c>
      <c r="JY13" s="461" t="s">
        <v>4</v>
      </c>
      <c r="JZ13" s="460" t="s">
        <v>59</v>
      </c>
      <c r="KA13" s="460" t="s">
        <v>73</v>
      </c>
      <c r="KB13" s="461" t="s">
        <v>4</v>
      </c>
      <c r="KC13" s="460" t="s">
        <v>59</v>
      </c>
      <c r="KD13" s="460" t="s">
        <v>73</v>
      </c>
      <c r="KE13" s="461" t="s">
        <v>4</v>
      </c>
      <c r="KF13" s="460" t="s">
        <v>59</v>
      </c>
      <c r="KG13" s="460" t="s">
        <v>73</v>
      </c>
      <c r="KH13" s="461" t="s">
        <v>4</v>
      </c>
      <c r="KI13" s="460" t="s">
        <v>59</v>
      </c>
      <c r="KJ13" s="460" t="s">
        <v>73</v>
      </c>
      <c r="KK13" s="461" t="s">
        <v>4</v>
      </c>
      <c r="KL13" s="460" t="s">
        <v>59</v>
      </c>
      <c r="KM13" s="460" t="s">
        <v>73</v>
      </c>
      <c r="KN13" s="473" t="s">
        <v>4</v>
      </c>
      <c r="KO13" s="1004"/>
      <c r="KP13" s="1005">
        <f>(JW14*JX14*JY14)+(JZ14*KA14*KB14)+(KC14*KD14*KE14)+(KF14*KG14*KH14)+(KI14*KJ14*KK14)+(KL14*KM14*KN14)</f>
        <v>0</v>
      </c>
      <c r="KQ13" s="940"/>
      <c r="KR13" s="1016"/>
      <c r="KT13" s="1065"/>
      <c r="KU13" s="460" t="s">
        <v>59</v>
      </c>
      <c r="KV13" s="460" t="s">
        <v>73</v>
      </c>
      <c r="KW13" s="461" t="s">
        <v>4</v>
      </c>
      <c r="KX13" s="460" t="s">
        <v>59</v>
      </c>
      <c r="KY13" s="460" t="s">
        <v>73</v>
      </c>
      <c r="KZ13" s="461" t="s">
        <v>4</v>
      </c>
      <c r="LA13" s="460" t="s">
        <v>59</v>
      </c>
      <c r="LB13" s="460" t="s">
        <v>73</v>
      </c>
      <c r="LC13" s="461" t="s">
        <v>4</v>
      </c>
      <c r="LD13" s="460" t="s">
        <v>59</v>
      </c>
      <c r="LE13" s="460" t="s">
        <v>73</v>
      </c>
      <c r="LF13" s="461" t="s">
        <v>4</v>
      </c>
      <c r="LG13" s="460" t="s">
        <v>59</v>
      </c>
      <c r="LH13" s="460" t="s">
        <v>73</v>
      </c>
      <c r="LI13" s="461" t="s">
        <v>4</v>
      </c>
      <c r="LJ13" s="460" t="s">
        <v>59</v>
      </c>
      <c r="LK13" s="460" t="s">
        <v>73</v>
      </c>
      <c r="LL13" s="473" t="s">
        <v>4</v>
      </c>
      <c r="LM13" s="1004"/>
      <c r="LN13" s="1005">
        <f>(KU14*KV14*KW14)+(KX14*KY14*KZ14)+(LA14*LB14*LC14)+(LD14*LE14*LF14)+(LG14*LH14*LI14)+(LJ14*LK14*LL14)</f>
        <v>0</v>
      </c>
      <c r="LO13" s="940"/>
      <c r="LP13" s="1016"/>
      <c r="LR13" s="61">
        <v>11</v>
      </c>
      <c r="LS13" s="62" t="str" cm="1">
        <f t="array" ref="LS13">IF(INDEX(S:S, (ROW()-ROW($S$3))*3 + 3) &lt;&gt; "", "✔", "")</f>
        <v>✔</v>
      </c>
      <c r="LT13" s="61">
        <v>11</v>
      </c>
      <c r="LU13" s="62" t="str" cm="1">
        <f t="array" ref="LU13">IF(INDEX(AQ:AQ, (ROW()-ROW($AQ$3))*3 + 3) &lt;&gt; "", "✔", "")</f>
        <v>✔</v>
      </c>
      <c r="LV13" s="61">
        <v>11</v>
      </c>
      <c r="LW13" s="501" t="str" cm="1">
        <f t="array" ref="LW13">IF(INDEX(BO:BO, (ROW()-ROW($BO$3))*3 + 3) &lt;&gt; "", "✔", "")</f>
        <v>✔</v>
      </c>
      <c r="LX13" s="503">
        <v>11</v>
      </c>
      <c r="LY13" s="485" t="str" cm="1">
        <f t="array" ref="LY13">IF(INDEX(CM:CM, (ROW()-ROW($CM$3))*3 + 3) &lt;&gt; "", "✔", "")</f>
        <v/>
      </c>
      <c r="LZ13" s="507">
        <v>11</v>
      </c>
      <c r="MA13" s="485" t="str" cm="1">
        <f t="array" ref="MA13">IF(INDEX(DK:DK, (ROW()-ROW($DK$3))*3 + 3) &lt;&gt; "", "✔", "")</f>
        <v/>
      </c>
      <c r="MB13" s="503">
        <v>11</v>
      </c>
      <c r="MC13" s="485" t="str" cm="1">
        <f t="array" ref="MC13">IF(INDEX(EI:EI, (ROW()-ROW($EI$3))*3 + 3) &lt;&gt; "", "✔", "")</f>
        <v/>
      </c>
      <c r="MD13" s="503">
        <v>11</v>
      </c>
      <c r="ME13" s="485" t="str" cm="1">
        <f t="array" ref="ME13">IF(INDEX(FG:FG, (ROW()-ROW($FG$3))*3 + 3) &lt;&gt; "", "✔", "")</f>
        <v/>
      </c>
      <c r="MF13" s="503">
        <v>11</v>
      </c>
      <c r="MG13" s="485" t="str" cm="1">
        <f t="array" ref="MG13">IF(INDEX(GE:GE, (ROW()-ROW($GE$3))*3 + 3) &lt;&gt; "", "✔", "")</f>
        <v/>
      </c>
      <c r="MH13" s="503">
        <v>11</v>
      </c>
      <c r="MI13" s="485" t="str" cm="1">
        <f t="array" ref="MI13">IF(INDEX(HC:HC, (ROW()-ROW($HC$3))*3 + 3) &lt;&gt; "", "✔", "")</f>
        <v/>
      </c>
      <c r="MJ13" s="503">
        <v>11</v>
      </c>
      <c r="MK13" s="485" t="str" cm="1">
        <f t="array" ref="MK13">IF(INDEX(IA:IA, (ROW()-ROW($IA$3))*3 + 3) &lt;&gt; "", "✔", "")</f>
        <v/>
      </c>
      <c r="ML13" s="503">
        <v>11</v>
      </c>
      <c r="MM13" s="485" t="str" cm="1">
        <f t="array" ref="MM13">IF(INDEX(IY:IY, (ROW()-ROW($IY$3))*3 + 3) &lt;&gt; "", "✔", "")</f>
        <v/>
      </c>
      <c r="MN13" s="503">
        <v>11</v>
      </c>
      <c r="MO13" s="485" t="str" cm="1">
        <f t="array" ref="MO13">IF(INDEX(JW:JW, (ROW()-ROW($JW$3))*3 + 3) &lt;&gt; "", "✔", "")</f>
        <v/>
      </c>
      <c r="MP13" s="503">
        <v>11</v>
      </c>
      <c r="MQ13" s="13" t="str" cm="1">
        <f t="array" ref="MQ13">IF(INDEX(KU:KU, (ROW()-ROW($KU$3))*3 + 3) &lt;&gt; "", "✔", "")</f>
        <v/>
      </c>
    </row>
    <row r="14" spans="1:355" ht="16.5" thickBot="1">
      <c r="A14" s="989"/>
      <c r="B14" s="992"/>
      <c r="C14" s="341" t="s">
        <v>78</v>
      </c>
      <c r="D14" s="341">
        <v>3</v>
      </c>
      <c r="E14" s="341" t="s">
        <v>384</v>
      </c>
      <c r="F14" s="359"/>
      <c r="G14" s="359"/>
      <c r="H14" s="359"/>
      <c r="I14" s="360"/>
      <c r="J14" s="995"/>
      <c r="K14" s="343">
        <v>1</v>
      </c>
      <c r="L14" s="344">
        <v>0</v>
      </c>
      <c r="M14" s="344">
        <v>3</v>
      </c>
      <c r="N14" s="344">
        <v>3.5</v>
      </c>
      <c r="O14" s="344">
        <f t="shared" si="0"/>
        <v>14</v>
      </c>
      <c r="P14" s="998"/>
      <c r="R14" s="866"/>
      <c r="S14" s="233"/>
      <c r="T14" s="233"/>
      <c r="U14" s="233"/>
      <c r="V14" s="233"/>
      <c r="W14" s="233"/>
      <c r="X14" s="233"/>
      <c r="Y14" s="233"/>
      <c r="Z14" s="233"/>
      <c r="AA14" s="233"/>
      <c r="AB14" s="233"/>
      <c r="AC14" s="233"/>
      <c r="AD14" s="233"/>
      <c r="AE14" s="233"/>
      <c r="AF14" s="233"/>
      <c r="AG14" s="233"/>
      <c r="AH14" s="233"/>
      <c r="AI14" s="233"/>
      <c r="AJ14" s="472"/>
      <c r="AK14" s="1004"/>
      <c r="AL14" s="1002"/>
      <c r="AM14" s="941"/>
      <c r="AN14" s="855"/>
      <c r="AO14" s="118"/>
      <c r="AP14" s="847"/>
      <c r="AQ14" s="229">
        <v>4</v>
      </c>
      <c r="AR14" s="229">
        <f>((12*1)+(8*3))/4</f>
        <v>9</v>
      </c>
      <c r="AS14" s="229">
        <f>((8.5*1)+(16*3))/4</f>
        <v>14.125</v>
      </c>
      <c r="AT14" s="229">
        <v>4</v>
      </c>
      <c r="AU14" s="229">
        <f>((12*2)+(10*2))/4</f>
        <v>11</v>
      </c>
      <c r="AV14" s="126">
        <f>((15*1)+(35*2)+(40*1))/4</f>
        <v>31.25</v>
      </c>
      <c r="AW14" s="229">
        <v>4</v>
      </c>
      <c r="AX14" s="229">
        <f>((12*1)+(8*3))/4</f>
        <v>9</v>
      </c>
      <c r="AY14" s="229">
        <f>((32*1)+(63*3))/4</f>
        <v>55.25</v>
      </c>
      <c r="AZ14" s="229">
        <v>4</v>
      </c>
      <c r="BA14" s="229">
        <f>((10*1)+(20*3))/4</f>
        <v>17.5</v>
      </c>
      <c r="BB14" s="229">
        <f>(1/3)*BL12</f>
        <v>26.233333333333334</v>
      </c>
      <c r="BC14" s="233"/>
      <c r="BD14" s="233"/>
      <c r="BE14" s="233"/>
      <c r="BF14" s="233"/>
      <c r="BG14" s="233"/>
      <c r="BH14" s="472"/>
      <c r="BI14" s="1004"/>
      <c r="BJ14" s="1003"/>
      <c r="BK14" s="941"/>
      <c r="BL14" s="1016"/>
      <c r="BM14" s="118"/>
      <c r="BN14" s="847"/>
      <c r="BO14" s="229">
        <v>4</v>
      </c>
      <c r="BP14" s="126">
        <v>12</v>
      </c>
      <c r="BQ14" s="229">
        <f>((20*1)+(40*3))/4</f>
        <v>35</v>
      </c>
      <c r="BR14" s="229">
        <v>4</v>
      </c>
      <c r="BS14" s="126">
        <f>((12*1)+(6*3))/4</f>
        <v>7.5</v>
      </c>
      <c r="BT14" s="126">
        <f>((20*1)+(45*3))/4</f>
        <v>38.75</v>
      </c>
      <c r="BU14" s="229">
        <v>4</v>
      </c>
      <c r="BV14" s="229">
        <f>((12*4))/4</f>
        <v>12</v>
      </c>
      <c r="BW14" s="229">
        <f>((32*1)+(72*3))/4</f>
        <v>62</v>
      </c>
      <c r="BX14" s="229">
        <v>4</v>
      </c>
      <c r="BY14" s="229">
        <f>((12*1)+(24*3))/4</f>
        <v>21</v>
      </c>
      <c r="BZ14" s="229">
        <f>(1/3)*CJ12</f>
        <v>25.93333333333333</v>
      </c>
      <c r="CA14" s="233"/>
      <c r="CB14" s="233"/>
      <c r="CC14" s="233"/>
      <c r="CD14" s="233"/>
      <c r="CE14" s="233"/>
      <c r="CF14" s="472"/>
      <c r="CG14" s="1004"/>
      <c r="CH14" s="1006"/>
      <c r="CI14" s="941"/>
      <c r="CJ14" s="1016"/>
      <c r="CL14" s="1053"/>
      <c r="CM14" s="494"/>
      <c r="CN14" s="494"/>
      <c r="CO14" s="494"/>
      <c r="CP14" s="494"/>
      <c r="CQ14" s="494"/>
      <c r="CR14" s="494"/>
      <c r="CS14" s="494"/>
      <c r="CT14" s="494"/>
      <c r="CU14" s="494"/>
      <c r="CV14" s="494"/>
      <c r="CW14" s="494"/>
      <c r="CX14" s="494"/>
      <c r="CY14" s="494"/>
      <c r="CZ14" s="494"/>
      <c r="DA14" s="494"/>
      <c r="DB14" s="494"/>
      <c r="DC14" s="494"/>
      <c r="DD14" s="495"/>
      <c r="DE14" s="1058"/>
      <c r="DF14" s="1060"/>
      <c r="DG14" s="1056"/>
      <c r="DH14" s="1057"/>
      <c r="DJ14" s="1066"/>
      <c r="DK14" s="462"/>
      <c r="DL14" s="462"/>
      <c r="DM14" s="462"/>
      <c r="DN14" s="462"/>
      <c r="DO14" s="462"/>
      <c r="DP14" s="462"/>
      <c r="DQ14" s="462"/>
      <c r="DR14" s="462"/>
      <c r="DS14" s="462"/>
      <c r="DT14" s="462"/>
      <c r="DU14" s="462"/>
      <c r="DV14" s="462"/>
      <c r="DW14" s="462"/>
      <c r="DX14" s="462"/>
      <c r="DY14" s="462"/>
      <c r="DZ14" s="462"/>
      <c r="EA14" s="462"/>
      <c r="EB14" s="474"/>
      <c r="EC14" s="1004"/>
      <c r="ED14" s="1006"/>
      <c r="EE14" s="941"/>
      <c r="EF14" s="1016"/>
      <c r="EH14" s="1043"/>
      <c r="EI14" s="462"/>
      <c r="EJ14" s="462"/>
      <c r="EK14" s="462"/>
      <c r="EL14" s="462"/>
      <c r="EM14" s="462"/>
      <c r="EN14" s="462"/>
      <c r="EO14" s="462"/>
      <c r="EP14" s="462"/>
      <c r="EQ14" s="462"/>
      <c r="ER14" s="462"/>
      <c r="ES14" s="462"/>
      <c r="ET14" s="462"/>
      <c r="EU14" s="462"/>
      <c r="EV14" s="462"/>
      <c r="EW14" s="462"/>
      <c r="EX14" s="462"/>
      <c r="EY14" s="462"/>
      <c r="EZ14" s="474"/>
      <c r="FA14" s="1004"/>
      <c r="FB14" s="1006"/>
      <c r="FC14" s="941"/>
      <c r="FD14" s="1016"/>
      <c r="FF14" s="1053"/>
      <c r="FG14" s="494"/>
      <c r="FH14" s="494"/>
      <c r="FI14" s="494"/>
      <c r="FJ14" s="494"/>
      <c r="FK14" s="494"/>
      <c r="FL14" s="494"/>
      <c r="FM14" s="494"/>
      <c r="FN14" s="494"/>
      <c r="FO14" s="494"/>
      <c r="FP14" s="494"/>
      <c r="FQ14" s="494"/>
      <c r="FR14" s="494"/>
      <c r="FS14" s="494"/>
      <c r="FT14" s="494"/>
      <c r="FU14" s="494"/>
      <c r="FV14" s="494"/>
      <c r="FW14" s="494"/>
      <c r="FX14" s="495"/>
      <c r="FY14" s="1071"/>
      <c r="FZ14" s="1073"/>
      <c r="GA14" s="1069"/>
      <c r="GB14" s="1070"/>
      <c r="GD14" s="1076"/>
      <c r="GE14" s="462"/>
      <c r="GF14" s="462"/>
      <c r="GG14" s="462"/>
      <c r="GH14" s="462"/>
      <c r="GI14" s="462"/>
      <c r="GJ14" s="462"/>
      <c r="GK14" s="462"/>
      <c r="GL14" s="462"/>
      <c r="GM14" s="462"/>
      <c r="GN14" s="462"/>
      <c r="GO14" s="462"/>
      <c r="GP14" s="462"/>
      <c r="GQ14" s="462"/>
      <c r="GR14" s="462"/>
      <c r="GS14" s="462"/>
      <c r="GT14" s="462"/>
      <c r="GU14" s="462"/>
      <c r="GV14" s="474"/>
      <c r="GW14" s="1004"/>
      <c r="GX14" s="1006"/>
      <c r="GY14" s="941"/>
      <c r="GZ14" s="1016"/>
      <c r="HB14" s="1050"/>
      <c r="HC14" s="462"/>
      <c r="HD14" s="462"/>
      <c r="HE14" s="462"/>
      <c r="HF14" s="462"/>
      <c r="HG14" s="462"/>
      <c r="HH14" s="462"/>
      <c r="HI14" s="462"/>
      <c r="HJ14" s="462"/>
      <c r="HK14" s="462"/>
      <c r="HL14" s="462"/>
      <c r="HM14" s="462"/>
      <c r="HN14" s="462"/>
      <c r="HO14" s="462"/>
      <c r="HP14" s="462"/>
      <c r="HQ14" s="462"/>
      <c r="HR14" s="462"/>
      <c r="HS14" s="462"/>
      <c r="HT14" s="474"/>
      <c r="HU14" s="1004"/>
      <c r="HV14" s="1006"/>
      <c r="HW14" s="941"/>
      <c r="HX14" s="1016"/>
      <c r="HZ14" s="1063"/>
      <c r="IA14" s="462"/>
      <c r="IB14" s="462"/>
      <c r="IC14" s="462"/>
      <c r="ID14" s="462"/>
      <c r="IE14" s="462"/>
      <c r="IF14" s="462"/>
      <c r="IG14" s="462"/>
      <c r="IH14" s="462"/>
      <c r="II14" s="462"/>
      <c r="IJ14" s="462"/>
      <c r="IK14" s="462"/>
      <c r="IL14" s="462"/>
      <c r="IM14" s="462"/>
      <c r="IN14" s="462"/>
      <c r="IO14" s="462"/>
      <c r="IP14" s="462"/>
      <c r="IQ14" s="462"/>
      <c r="IR14" s="474"/>
      <c r="IS14" s="1004"/>
      <c r="IT14" s="1006"/>
      <c r="IU14" s="941"/>
      <c r="IV14" s="1016"/>
      <c r="IX14" s="1040"/>
      <c r="IY14" s="462"/>
      <c r="IZ14" s="462"/>
      <c r="JA14" s="462"/>
      <c r="JB14" s="462"/>
      <c r="JC14" s="462"/>
      <c r="JD14" s="462"/>
      <c r="JE14" s="462"/>
      <c r="JF14" s="462"/>
      <c r="JG14" s="462"/>
      <c r="JH14" s="462"/>
      <c r="JI14" s="462"/>
      <c r="JJ14" s="462"/>
      <c r="JK14" s="462"/>
      <c r="JL14" s="462"/>
      <c r="JM14" s="462"/>
      <c r="JN14" s="462"/>
      <c r="JO14" s="462"/>
      <c r="JP14" s="474"/>
      <c r="JQ14" s="1004"/>
      <c r="JR14" s="1006"/>
      <c r="JS14" s="941"/>
      <c r="JT14" s="1016"/>
      <c r="JV14" s="1050"/>
      <c r="JW14" s="462"/>
      <c r="JX14" s="462"/>
      <c r="JY14" s="462"/>
      <c r="JZ14" s="462"/>
      <c r="KA14" s="462"/>
      <c r="KB14" s="462"/>
      <c r="KC14" s="462"/>
      <c r="KD14" s="462"/>
      <c r="KE14" s="462"/>
      <c r="KF14" s="462"/>
      <c r="KG14" s="462"/>
      <c r="KH14" s="462"/>
      <c r="KI14" s="462"/>
      <c r="KJ14" s="462"/>
      <c r="KK14" s="462"/>
      <c r="KL14" s="462"/>
      <c r="KM14" s="462"/>
      <c r="KN14" s="474"/>
      <c r="KO14" s="1004"/>
      <c r="KP14" s="1006"/>
      <c r="KQ14" s="941"/>
      <c r="KR14" s="1016"/>
      <c r="KT14" s="1066"/>
      <c r="KU14" s="462"/>
      <c r="KV14" s="462"/>
      <c r="KW14" s="462"/>
      <c r="KX14" s="462"/>
      <c r="KY14" s="462"/>
      <c r="KZ14" s="462"/>
      <c r="LA14" s="462"/>
      <c r="LB14" s="462"/>
      <c r="LC14" s="462"/>
      <c r="LD14" s="462"/>
      <c r="LE14" s="462"/>
      <c r="LF14" s="462"/>
      <c r="LG14" s="462"/>
      <c r="LH14" s="462"/>
      <c r="LI14" s="462"/>
      <c r="LJ14" s="462"/>
      <c r="LK14" s="462"/>
      <c r="LL14" s="474"/>
      <c r="LM14" s="1004"/>
      <c r="LN14" s="1006"/>
      <c r="LO14" s="941"/>
      <c r="LP14" s="1016"/>
      <c r="LR14" s="61">
        <v>12</v>
      </c>
      <c r="LS14" s="62" t="str" cm="1">
        <f t="array" ref="LS14">IF(INDEX(S:S, (ROW()-ROW($S$3))*3 + 3) &lt;&gt; "", "✔", "")</f>
        <v>✔</v>
      </c>
      <c r="LT14" s="61">
        <v>12</v>
      </c>
      <c r="LU14" s="62" t="str" cm="1">
        <f t="array" ref="LU14">IF(INDEX(AQ:AQ, (ROW()-ROW($AQ$3))*3 + 3) &lt;&gt; "", "✔", "")</f>
        <v>✔</v>
      </c>
      <c r="LV14" s="61">
        <v>12</v>
      </c>
      <c r="LW14" s="501" t="str" cm="1">
        <f t="array" ref="LW14">IF(INDEX(BO:BO, (ROW()-ROW($BO$3))*3 + 3) &lt;&gt; "", "✔", "")</f>
        <v>✔</v>
      </c>
      <c r="LX14" s="503">
        <v>12</v>
      </c>
      <c r="LY14" s="485" t="str" cm="1">
        <f t="array" ref="LY14">IF(INDEX(CM:CM, (ROW()-ROW($CM$3))*3 + 3) &lt;&gt; "", "✔", "")</f>
        <v/>
      </c>
      <c r="LZ14" s="507">
        <v>12</v>
      </c>
      <c r="MA14" s="485" t="str" cm="1">
        <f t="array" ref="MA14">IF(INDEX(DK:DK, (ROW()-ROW($DK$3))*3 + 3) &lt;&gt; "", "✔", "")</f>
        <v/>
      </c>
      <c r="MB14" s="503">
        <v>12</v>
      </c>
      <c r="MC14" s="485" t="str" cm="1">
        <f t="array" ref="MC14">IF(INDEX(EI:EI, (ROW()-ROW($EI$3))*3 + 3) &lt;&gt; "", "✔", "")</f>
        <v/>
      </c>
      <c r="MD14" s="503">
        <v>12</v>
      </c>
      <c r="ME14" s="485" t="str" cm="1">
        <f t="array" ref="ME14">IF(INDEX(FG:FG, (ROW()-ROW($FG$3))*3 + 3) &lt;&gt; "", "✔", "")</f>
        <v/>
      </c>
      <c r="MF14" s="503">
        <v>12</v>
      </c>
      <c r="MG14" s="485" t="str" cm="1">
        <f t="array" ref="MG14">IF(INDEX(GE:GE, (ROW()-ROW($GE$3))*3 + 3) &lt;&gt; "", "✔", "")</f>
        <v/>
      </c>
      <c r="MH14" s="503">
        <v>12</v>
      </c>
      <c r="MI14" s="485" t="str" cm="1">
        <f t="array" ref="MI14">IF(INDEX(HC:HC, (ROW()-ROW($HC$3))*3 + 3) &lt;&gt; "", "✔", "")</f>
        <v/>
      </c>
      <c r="MJ14" s="503">
        <v>12</v>
      </c>
      <c r="MK14" s="485" t="str" cm="1">
        <f t="array" ref="MK14">IF(INDEX(IA:IA, (ROW()-ROW($IA$3))*3 + 3) &lt;&gt; "", "✔", "")</f>
        <v/>
      </c>
      <c r="ML14" s="503">
        <v>12</v>
      </c>
      <c r="MM14" s="485" t="str" cm="1">
        <f t="array" ref="MM14">IF(INDEX(IY:IY, (ROW()-ROW($IY$3))*3 + 3) &lt;&gt; "", "✔", "")</f>
        <v/>
      </c>
      <c r="MN14" s="503">
        <v>12</v>
      </c>
      <c r="MO14" s="485" t="str" cm="1">
        <f t="array" ref="MO14">IF(INDEX(JW:JW, (ROW()-ROW($JW$3))*3 + 3) &lt;&gt; "", "✔", "")</f>
        <v/>
      </c>
      <c r="MP14" s="503">
        <v>12</v>
      </c>
      <c r="MQ14" s="13" t="str" cm="1">
        <f t="array" ref="MQ14">IF(INDEX(KU:KU, (ROW()-ROW($KU$3))*3 + 3) &lt;&gt; "", "✔", "")</f>
        <v/>
      </c>
    </row>
    <row r="15" spans="1:355" ht="15.75">
      <c r="A15" s="987" t="s">
        <v>413</v>
      </c>
      <c r="B15" s="990" t="s">
        <v>398</v>
      </c>
      <c r="C15" s="334" t="s">
        <v>67</v>
      </c>
      <c r="D15" s="334">
        <v>3</v>
      </c>
      <c r="E15" s="334" t="s">
        <v>386</v>
      </c>
      <c r="F15" s="334" t="s">
        <v>385</v>
      </c>
      <c r="G15" s="334" t="s">
        <v>380</v>
      </c>
      <c r="H15" s="334">
        <v>3</v>
      </c>
      <c r="I15" s="335" t="s">
        <v>389</v>
      </c>
      <c r="J15" s="993">
        <v>4</v>
      </c>
      <c r="K15" s="336">
        <v>1</v>
      </c>
      <c r="L15" s="337">
        <v>1</v>
      </c>
      <c r="M15" s="337">
        <v>3</v>
      </c>
      <c r="N15" s="337">
        <v>3.5</v>
      </c>
      <c r="O15" s="337">
        <f t="shared" si="0"/>
        <v>17.5</v>
      </c>
      <c r="P15" s="996">
        <f>SUM(O15:O16)</f>
        <v>35</v>
      </c>
      <c r="R15" s="870">
        <v>46027</v>
      </c>
      <c r="S15" s="879" t="s">
        <v>78</v>
      </c>
      <c r="T15" s="880"/>
      <c r="U15" s="881"/>
      <c r="V15" s="882" t="s">
        <v>85</v>
      </c>
      <c r="W15" s="883"/>
      <c r="X15" s="884"/>
      <c r="Y15" s="882" t="s">
        <v>123</v>
      </c>
      <c r="Z15" s="883"/>
      <c r="AA15" s="884"/>
      <c r="AB15" s="890" t="s">
        <v>150</v>
      </c>
      <c r="AC15" s="890"/>
      <c r="AD15" s="890"/>
      <c r="AE15" s="844"/>
      <c r="AF15" s="844"/>
      <c r="AG15" s="844"/>
      <c r="AH15" s="834"/>
      <c r="AI15" s="835"/>
      <c r="AJ15" s="835"/>
      <c r="AK15" s="459" t="s">
        <v>425</v>
      </c>
      <c r="AL15" s="1">
        <f t="shared" ref="AL15" si="13">COUNTA(S15:AJ15)</f>
        <v>4</v>
      </c>
      <c r="AM15" s="939"/>
      <c r="AN15" s="855">
        <v>77.400000000000006</v>
      </c>
      <c r="AO15" s="118"/>
      <c r="AP15" s="873">
        <v>46058</v>
      </c>
      <c r="AQ15" s="973" t="s">
        <v>72</v>
      </c>
      <c r="AR15" s="973"/>
      <c r="AS15" s="973"/>
      <c r="AT15" s="977" t="s">
        <v>102</v>
      </c>
      <c r="AU15" s="977"/>
      <c r="AV15" s="977"/>
      <c r="AW15" s="977" t="s">
        <v>424</v>
      </c>
      <c r="AX15" s="977"/>
      <c r="AY15" s="977"/>
      <c r="AZ15" s="977" t="s">
        <v>380</v>
      </c>
      <c r="BA15" s="977"/>
      <c r="BB15" s="977"/>
      <c r="BC15" s="978" t="s">
        <v>78</v>
      </c>
      <c r="BD15" s="979"/>
      <c r="BE15" s="980"/>
      <c r="BF15" s="834"/>
      <c r="BG15" s="835"/>
      <c r="BH15" s="835"/>
      <c r="BI15" s="459" t="s">
        <v>425</v>
      </c>
      <c r="BJ15" s="482">
        <f t="shared" ref="BJ15" si="14">COUNTA(AQ15:BH15)</f>
        <v>5</v>
      </c>
      <c r="BK15" s="939"/>
      <c r="BL15" s="1016">
        <v>78.8</v>
      </c>
      <c r="BM15" s="118"/>
      <c r="BN15" s="873">
        <v>46086</v>
      </c>
      <c r="BO15" s="973" t="s">
        <v>72</v>
      </c>
      <c r="BP15" s="973"/>
      <c r="BQ15" s="973"/>
      <c r="BR15" s="977" t="s">
        <v>102</v>
      </c>
      <c r="BS15" s="977"/>
      <c r="BT15" s="977"/>
      <c r="BU15" s="977" t="s">
        <v>502</v>
      </c>
      <c r="BV15" s="977"/>
      <c r="BW15" s="977"/>
      <c r="BX15" s="978" t="s">
        <v>133</v>
      </c>
      <c r="BY15" s="979"/>
      <c r="BZ15" s="980"/>
      <c r="CA15" s="834"/>
      <c r="CB15" s="835"/>
      <c r="CC15" s="835"/>
      <c r="CD15" s="834"/>
      <c r="CE15" s="835"/>
      <c r="CF15" s="835"/>
      <c r="CG15" s="459" t="s">
        <v>425</v>
      </c>
      <c r="CH15" s="482">
        <f t="shared" ref="CH15" si="15">COUNTA(BO15:CF15)</f>
        <v>4</v>
      </c>
      <c r="CI15" s="939">
        <v>9</v>
      </c>
      <c r="CJ15" s="1016">
        <v>78.5</v>
      </c>
      <c r="CL15" s="1061">
        <v>46117</v>
      </c>
      <c r="CM15" s="890" t="s">
        <v>131</v>
      </c>
      <c r="CN15" s="890"/>
      <c r="CO15" s="890"/>
      <c r="CP15" s="849" t="s">
        <v>72</v>
      </c>
      <c r="CQ15" s="849"/>
      <c r="CR15" s="849"/>
      <c r="CS15" s="977" t="s">
        <v>756</v>
      </c>
      <c r="CT15" s="977"/>
      <c r="CU15" s="977"/>
      <c r="CV15" s="897" t="s">
        <v>617</v>
      </c>
      <c r="CW15" s="898"/>
      <c r="CX15" s="899"/>
      <c r="CY15" s="890" t="s">
        <v>779</v>
      </c>
      <c r="CZ15" s="890"/>
      <c r="DA15" s="890"/>
      <c r="DB15" s="897" t="s">
        <v>106</v>
      </c>
      <c r="DC15" s="898"/>
      <c r="DD15" s="898"/>
      <c r="DE15" s="459" t="s">
        <v>425</v>
      </c>
      <c r="DF15" s="482">
        <f>COUNTA(CM15:DD15)</f>
        <v>6</v>
      </c>
      <c r="DG15" s="939">
        <v>8</v>
      </c>
      <c r="DH15" s="1016">
        <v>76.25</v>
      </c>
      <c r="DJ15" s="1074">
        <v>46147</v>
      </c>
      <c r="DK15" s="960"/>
      <c r="DL15" s="960"/>
      <c r="DM15" s="960"/>
      <c r="DN15" s="960"/>
      <c r="DO15" s="960"/>
      <c r="DP15" s="960"/>
      <c r="DQ15" s="960"/>
      <c r="DR15" s="960"/>
      <c r="DS15" s="960"/>
      <c r="DT15" s="960"/>
      <c r="DU15" s="960"/>
      <c r="DV15" s="960"/>
      <c r="DW15" s="961"/>
      <c r="DX15" s="962"/>
      <c r="DY15" s="963"/>
      <c r="DZ15" s="961"/>
      <c r="EA15" s="962"/>
      <c r="EB15" s="962"/>
      <c r="EC15" s="459" t="s">
        <v>425</v>
      </c>
      <c r="ED15" s="482">
        <f>COUNTA(DK15:EB15)</f>
        <v>0</v>
      </c>
      <c r="EE15" s="939"/>
      <c r="EF15" s="1016"/>
      <c r="EH15" s="1048">
        <v>46178</v>
      </c>
      <c r="EI15" s="960"/>
      <c r="EJ15" s="960"/>
      <c r="EK15" s="960"/>
      <c r="EL15" s="960"/>
      <c r="EM15" s="960"/>
      <c r="EN15" s="960"/>
      <c r="EO15" s="960"/>
      <c r="EP15" s="960"/>
      <c r="EQ15" s="960"/>
      <c r="ER15" s="960"/>
      <c r="ES15" s="960"/>
      <c r="ET15" s="960"/>
      <c r="EU15" s="961"/>
      <c r="EV15" s="962"/>
      <c r="EW15" s="963"/>
      <c r="EX15" s="961"/>
      <c r="EY15" s="962"/>
      <c r="EZ15" s="962"/>
      <c r="FA15" s="459" t="s">
        <v>425</v>
      </c>
      <c r="FB15" s="482">
        <f>COUNTA(EI15:EZ15)</f>
        <v>0</v>
      </c>
      <c r="FC15" s="939"/>
      <c r="FD15" s="1016"/>
      <c r="FF15" s="1061">
        <v>46208</v>
      </c>
      <c r="FG15" s="960"/>
      <c r="FH15" s="960"/>
      <c r="FI15" s="960"/>
      <c r="FJ15" s="960"/>
      <c r="FK15" s="960"/>
      <c r="FL15" s="960"/>
      <c r="FM15" s="960"/>
      <c r="FN15" s="960"/>
      <c r="FO15" s="960"/>
      <c r="FP15" s="960"/>
      <c r="FQ15" s="960"/>
      <c r="FR15" s="960"/>
      <c r="FS15" s="961"/>
      <c r="FT15" s="962"/>
      <c r="FU15" s="963"/>
      <c r="FV15" s="961"/>
      <c r="FW15" s="962"/>
      <c r="FX15" s="962"/>
      <c r="FY15" s="459" t="s">
        <v>425</v>
      </c>
      <c r="FZ15" s="482">
        <f>COUNTA(FG15:FX15)</f>
        <v>0</v>
      </c>
      <c r="GA15" s="939"/>
      <c r="GB15" s="1016"/>
      <c r="GD15" s="1038">
        <v>46239</v>
      </c>
      <c r="GE15" s="960"/>
      <c r="GF15" s="960"/>
      <c r="GG15" s="960"/>
      <c r="GH15" s="960"/>
      <c r="GI15" s="960"/>
      <c r="GJ15" s="960"/>
      <c r="GK15" s="960"/>
      <c r="GL15" s="960"/>
      <c r="GM15" s="960"/>
      <c r="GN15" s="960"/>
      <c r="GO15" s="960"/>
      <c r="GP15" s="960"/>
      <c r="GQ15" s="961"/>
      <c r="GR15" s="962"/>
      <c r="GS15" s="963"/>
      <c r="GT15" s="961"/>
      <c r="GU15" s="962"/>
      <c r="GV15" s="962"/>
      <c r="GW15" s="459" t="s">
        <v>425</v>
      </c>
      <c r="GX15" s="482">
        <f>COUNTA(GE15:GV15)</f>
        <v>0</v>
      </c>
      <c r="GY15" s="939"/>
      <c r="GZ15" s="1016"/>
      <c r="HB15" s="1051">
        <v>46270</v>
      </c>
      <c r="HC15" s="1023"/>
      <c r="HD15" s="1023"/>
      <c r="HE15" s="1023"/>
      <c r="HF15" s="1023"/>
      <c r="HG15" s="1023"/>
      <c r="HH15" s="1023"/>
      <c r="HI15" s="1023"/>
      <c r="HJ15" s="1023"/>
      <c r="HK15" s="1023"/>
      <c r="HL15" s="1023"/>
      <c r="HM15" s="1023"/>
      <c r="HN15" s="1023"/>
      <c r="HO15" s="1021"/>
      <c r="HP15" s="1022"/>
      <c r="HQ15" s="1024"/>
      <c r="HR15" s="1021"/>
      <c r="HS15" s="1022"/>
      <c r="HT15" s="1022"/>
      <c r="HU15" s="489" t="s">
        <v>425</v>
      </c>
      <c r="HV15" s="496">
        <f>COUNTA(HC15:HT15)</f>
        <v>0</v>
      </c>
      <c r="HW15" s="1067"/>
      <c r="HX15" s="1070"/>
      <c r="HZ15" s="1064">
        <v>46300</v>
      </c>
      <c r="IA15" s="960"/>
      <c r="IB15" s="960"/>
      <c r="IC15" s="960"/>
      <c r="ID15" s="960"/>
      <c r="IE15" s="960"/>
      <c r="IF15" s="960"/>
      <c r="IG15" s="960"/>
      <c r="IH15" s="960"/>
      <c r="II15" s="960"/>
      <c r="IJ15" s="960"/>
      <c r="IK15" s="960"/>
      <c r="IL15" s="960"/>
      <c r="IM15" s="961"/>
      <c r="IN15" s="962"/>
      <c r="IO15" s="963"/>
      <c r="IP15" s="961"/>
      <c r="IQ15" s="962"/>
      <c r="IR15" s="962"/>
      <c r="IS15" s="459" t="s">
        <v>425</v>
      </c>
      <c r="IT15" s="482">
        <f>COUNTA(IA15:IR15)</f>
        <v>0</v>
      </c>
      <c r="IU15" s="939"/>
      <c r="IV15" s="1016"/>
      <c r="IX15" s="1041">
        <v>46331</v>
      </c>
      <c r="IY15" s="960"/>
      <c r="IZ15" s="960"/>
      <c r="JA15" s="960"/>
      <c r="JB15" s="960"/>
      <c r="JC15" s="960"/>
      <c r="JD15" s="960"/>
      <c r="JE15" s="960"/>
      <c r="JF15" s="960"/>
      <c r="JG15" s="960"/>
      <c r="JH15" s="960"/>
      <c r="JI15" s="960"/>
      <c r="JJ15" s="960"/>
      <c r="JK15" s="961"/>
      <c r="JL15" s="962"/>
      <c r="JM15" s="963"/>
      <c r="JN15" s="961"/>
      <c r="JO15" s="962"/>
      <c r="JP15" s="962"/>
      <c r="JQ15" s="459" t="s">
        <v>425</v>
      </c>
      <c r="JR15" s="482">
        <f>COUNTA(IY15:JP15)</f>
        <v>0</v>
      </c>
      <c r="JS15" s="939"/>
      <c r="JT15" s="1016"/>
      <c r="JV15" s="1051">
        <v>46361</v>
      </c>
      <c r="JW15" s="1023"/>
      <c r="JX15" s="1023"/>
      <c r="JY15" s="1023"/>
      <c r="JZ15" s="1023"/>
      <c r="KA15" s="1023"/>
      <c r="KB15" s="1023"/>
      <c r="KC15" s="1023"/>
      <c r="KD15" s="1023"/>
      <c r="KE15" s="1023"/>
      <c r="KF15" s="1023"/>
      <c r="KG15" s="1023"/>
      <c r="KH15" s="1023"/>
      <c r="KI15" s="1021"/>
      <c r="KJ15" s="1022"/>
      <c r="KK15" s="1024"/>
      <c r="KL15" s="1021"/>
      <c r="KM15" s="1022"/>
      <c r="KN15" s="1022"/>
      <c r="KO15" s="489" t="s">
        <v>425</v>
      </c>
      <c r="KP15" s="496">
        <f>COUNTA(JW15:KN15)</f>
        <v>0</v>
      </c>
      <c r="KQ15" s="1067"/>
      <c r="KR15" s="1070"/>
      <c r="KT15" s="1074">
        <v>46392</v>
      </c>
      <c r="KU15" s="960"/>
      <c r="KV15" s="960"/>
      <c r="KW15" s="960"/>
      <c r="KX15" s="960"/>
      <c r="KY15" s="960"/>
      <c r="KZ15" s="960"/>
      <c r="LA15" s="960"/>
      <c r="LB15" s="960"/>
      <c r="LC15" s="960"/>
      <c r="LD15" s="960"/>
      <c r="LE15" s="960"/>
      <c r="LF15" s="960"/>
      <c r="LG15" s="961"/>
      <c r="LH15" s="962"/>
      <c r="LI15" s="963"/>
      <c r="LJ15" s="961"/>
      <c r="LK15" s="962"/>
      <c r="LL15" s="962"/>
      <c r="LM15" s="459" t="s">
        <v>425</v>
      </c>
      <c r="LN15" s="482">
        <f>COUNTA(KU15:LL15)</f>
        <v>0</v>
      </c>
      <c r="LO15" s="939"/>
      <c r="LP15" s="1016"/>
      <c r="LR15" s="61">
        <v>13</v>
      </c>
      <c r="LS15" s="62" t="str" cm="1">
        <f t="array" ref="LS15">IF(INDEX(S:S, (ROW()-ROW($S$3))*3 + 3) &lt;&gt; "", "✔", "")</f>
        <v/>
      </c>
      <c r="LT15" s="61">
        <v>13</v>
      </c>
      <c r="LU15" s="62" t="str" cm="1">
        <f t="array" ref="LU15">IF(INDEX(AQ:AQ, (ROW()-ROW($AQ$3))*3 + 3) &lt;&gt; "", "✔", "")</f>
        <v>✔</v>
      </c>
      <c r="LV15" s="61">
        <v>13</v>
      </c>
      <c r="LW15" s="501" t="str" cm="1">
        <f t="array" ref="LW15">IF(INDEX(BO:BO, (ROW()-ROW($BO$3))*3 + 3) &lt;&gt; "", "✔", "")</f>
        <v>✔</v>
      </c>
      <c r="LX15" s="503">
        <v>13</v>
      </c>
      <c r="LY15" s="485" t="str" cm="1">
        <f t="array" ref="LY15">IF(INDEX(CM:CM, (ROW()-ROW($CM$3))*3 + 3) &lt;&gt; "", "✔", "")</f>
        <v>✔</v>
      </c>
      <c r="LZ15" s="507">
        <v>13</v>
      </c>
      <c r="MA15" s="485" t="str" cm="1">
        <f t="array" ref="MA15">IF(INDEX(DK:DK, (ROW()-ROW($DK$3))*3 + 3) &lt;&gt; "", "✔", "")</f>
        <v/>
      </c>
      <c r="MB15" s="503">
        <v>13</v>
      </c>
      <c r="MC15" s="485" t="str" cm="1">
        <f t="array" ref="MC15">IF(INDEX(EI:EI, (ROW()-ROW($EI$3))*3 + 3) &lt;&gt; "", "✔", "")</f>
        <v/>
      </c>
      <c r="MD15" s="503">
        <v>13</v>
      </c>
      <c r="ME15" s="485" t="str" cm="1">
        <f t="array" ref="ME15">IF(INDEX(FG:FG, (ROW()-ROW($FG$3))*3 + 3) &lt;&gt; "", "✔", "")</f>
        <v/>
      </c>
      <c r="MF15" s="503">
        <v>13</v>
      </c>
      <c r="MG15" s="485" t="str" cm="1">
        <f t="array" ref="MG15">IF(INDEX(GE:GE, (ROW()-ROW($GE$3))*3 + 3) &lt;&gt; "", "✔", "")</f>
        <v/>
      </c>
      <c r="MH15" s="503">
        <v>13</v>
      </c>
      <c r="MI15" s="485" t="str" cm="1">
        <f t="array" ref="MI15">IF(INDEX(HC:HC, (ROW()-ROW($HC$3))*3 + 3) &lt;&gt; "", "✔", "")</f>
        <v/>
      </c>
      <c r="MJ15" s="503">
        <v>13</v>
      </c>
      <c r="MK15" s="485" t="str" cm="1">
        <f t="array" ref="MK15">IF(INDEX(IA:IA, (ROW()-ROW($IA$3))*3 + 3) &lt;&gt; "", "✔", "")</f>
        <v/>
      </c>
      <c r="ML15" s="503">
        <v>13</v>
      </c>
      <c r="MM15" s="485" t="str" cm="1">
        <f t="array" ref="MM15">IF(INDEX(IY:IY, (ROW()-ROW($IY$3))*3 + 3) &lt;&gt; "", "✔", "")</f>
        <v/>
      </c>
      <c r="MN15" s="503">
        <v>13</v>
      </c>
      <c r="MO15" s="485" t="str" cm="1">
        <f t="array" ref="MO15">IF(INDEX(JW:JW, (ROW()-ROW($JW$3))*3 + 3) &lt;&gt; "", "✔", "")</f>
        <v/>
      </c>
      <c r="MP15" s="503">
        <v>13</v>
      </c>
      <c r="MQ15" s="13" t="str" cm="1">
        <f t="array" ref="MQ15">IF(INDEX(KU:KU, (ROW()-ROW($KU$3))*3 + 3) &lt;&gt; "", "✔", "")</f>
        <v/>
      </c>
    </row>
    <row r="16" spans="1:355" ht="16.5" thickBot="1">
      <c r="A16" s="989"/>
      <c r="B16" s="992"/>
      <c r="C16" s="341" t="s">
        <v>99</v>
      </c>
      <c r="D16" s="341">
        <v>3</v>
      </c>
      <c r="E16" s="341" t="s">
        <v>390</v>
      </c>
      <c r="F16" s="341" t="s">
        <v>387</v>
      </c>
      <c r="G16" s="341" t="s">
        <v>391</v>
      </c>
      <c r="H16" s="341">
        <v>3</v>
      </c>
      <c r="I16" s="342" t="s">
        <v>392</v>
      </c>
      <c r="J16" s="995"/>
      <c r="K16" s="343">
        <v>1</v>
      </c>
      <c r="L16" s="344">
        <v>1</v>
      </c>
      <c r="M16" s="344">
        <v>3</v>
      </c>
      <c r="N16" s="344">
        <v>3.5</v>
      </c>
      <c r="O16" s="344">
        <f t="shared" si="0"/>
        <v>17.5</v>
      </c>
      <c r="P16" s="998"/>
      <c r="R16" s="871"/>
      <c r="S16" s="231" t="s">
        <v>59</v>
      </c>
      <c r="T16" s="231" t="s">
        <v>73</v>
      </c>
      <c r="U16" s="102" t="s">
        <v>4</v>
      </c>
      <c r="V16" s="231" t="s">
        <v>59</v>
      </c>
      <c r="W16" s="231" t="s">
        <v>73</v>
      </c>
      <c r="X16" s="102" t="s">
        <v>4</v>
      </c>
      <c r="Y16" s="231" t="s">
        <v>59</v>
      </c>
      <c r="Z16" s="231" t="s">
        <v>73</v>
      </c>
      <c r="AA16" s="102" t="s">
        <v>4</v>
      </c>
      <c r="AB16" s="231" t="s">
        <v>59</v>
      </c>
      <c r="AC16" s="231" t="s">
        <v>73</v>
      </c>
      <c r="AD16" s="102" t="s">
        <v>4</v>
      </c>
      <c r="AE16" s="107"/>
      <c r="AF16" s="107"/>
      <c r="AG16" s="108"/>
      <c r="AH16" s="107"/>
      <c r="AI16" s="107"/>
      <c r="AJ16" s="471"/>
      <c r="AK16" s="1004">
        <v>40</v>
      </c>
      <c r="AL16" s="1002">
        <f t="shared" ref="AL16" si="16">(S17*T17*U17)+(V17*W17*X17)+(Y17*Z17*AA17)+(AB17*AC17*AD17)+(AE17*AF17*AG17)+(AH17*AI17*AJ17)</f>
        <v>4359.49</v>
      </c>
      <c r="AM16" s="940"/>
      <c r="AN16" s="855"/>
      <c r="AO16" s="118"/>
      <c r="AP16" s="874"/>
      <c r="AQ16" s="303" t="s">
        <v>59</v>
      </c>
      <c r="AR16" s="303" t="s">
        <v>73</v>
      </c>
      <c r="AS16" s="304" t="s">
        <v>4</v>
      </c>
      <c r="AT16" s="303" t="s">
        <v>59</v>
      </c>
      <c r="AU16" s="303" t="s">
        <v>73</v>
      </c>
      <c r="AV16" s="304" t="s">
        <v>4</v>
      </c>
      <c r="AW16" s="303" t="s">
        <v>59</v>
      </c>
      <c r="AX16" s="303" t="s">
        <v>73</v>
      </c>
      <c r="AY16" s="304" t="s">
        <v>4</v>
      </c>
      <c r="AZ16" s="303" t="s">
        <v>59</v>
      </c>
      <c r="BA16" s="303" t="s">
        <v>73</v>
      </c>
      <c r="BB16" s="304" t="s">
        <v>4</v>
      </c>
      <c r="BC16" s="303" t="s">
        <v>59</v>
      </c>
      <c r="BD16" s="303" t="s">
        <v>73</v>
      </c>
      <c r="BE16" s="304" t="s">
        <v>4</v>
      </c>
      <c r="BF16" s="107" t="s">
        <v>59</v>
      </c>
      <c r="BG16" s="107" t="s">
        <v>73</v>
      </c>
      <c r="BH16" s="471" t="s">
        <v>4</v>
      </c>
      <c r="BI16" s="1004">
        <v>56</v>
      </c>
      <c r="BJ16" s="1003">
        <f t="shared" ref="BJ16" si="17">(AQ17*AR17*AS17)+(AT17*AU17*AV17)+(AW17*AX17*AY17)+(AZ17*BA17*BB17)+(BC17*BD17*BE17)+(BF17*BG17*BH17)</f>
        <v>6101</v>
      </c>
      <c r="BK16" s="940"/>
      <c r="BL16" s="1016"/>
      <c r="BM16" s="118"/>
      <c r="BN16" s="874"/>
      <c r="BO16" s="303" t="s">
        <v>59</v>
      </c>
      <c r="BP16" s="303" t="s">
        <v>73</v>
      </c>
      <c r="BQ16" s="304" t="s">
        <v>4</v>
      </c>
      <c r="BR16" s="303" t="s">
        <v>59</v>
      </c>
      <c r="BS16" s="303" t="s">
        <v>73</v>
      </c>
      <c r="BT16" s="304" t="s">
        <v>4</v>
      </c>
      <c r="BU16" s="303" t="s">
        <v>59</v>
      </c>
      <c r="BV16" s="303" t="s">
        <v>73</v>
      </c>
      <c r="BW16" s="304" t="s">
        <v>4</v>
      </c>
      <c r="BX16" s="303" t="s">
        <v>59</v>
      </c>
      <c r="BY16" s="303" t="s">
        <v>73</v>
      </c>
      <c r="BZ16" s="304" t="s">
        <v>4</v>
      </c>
      <c r="CA16" s="107" t="s">
        <v>59</v>
      </c>
      <c r="CB16" s="107" t="s">
        <v>73</v>
      </c>
      <c r="CC16" s="471" t="s">
        <v>4</v>
      </c>
      <c r="CD16" s="107" t="s">
        <v>59</v>
      </c>
      <c r="CE16" s="107" t="s">
        <v>73</v>
      </c>
      <c r="CF16" s="471" t="s">
        <v>4</v>
      </c>
      <c r="CG16" s="1004">
        <v>58</v>
      </c>
      <c r="CH16" s="1005">
        <f t="shared" ref="CH16" si="18">(BO17*BP17*BQ17)+(BR17*BS17*BT17)+(BU17*BV17*BW17)+(BX17*BY17*BZ17)+(CA17*CB17*CC17)+(CD17*CE17*CF17)</f>
        <v>4726.8</v>
      </c>
      <c r="CI16" s="940"/>
      <c r="CJ16" s="1016"/>
      <c r="CL16" s="1062"/>
      <c r="CM16" s="231" t="s">
        <v>59</v>
      </c>
      <c r="CN16" s="231" t="s">
        <v>73</v>
      </c>
      <c r="CO16" s="102" t="s">
        <v>4</v>
      </c>
      <c r="CP16" s="231" t="s">
        <v>59</v>
      </c>
      <c r="CQ16" s="231" t="s">
        <v>73</v>
      </c>
      <c r="CR16" s="102" t="s">
        <v>4</v>
      </c>
      <c r="CS16" s="231" t="s">
        <v>59</v>
      </c>
      <c r="CT16" s="231" t="s">
        <v>73</v>
      </c>
      <c r="CU16" s="102" t="s">
        <v>4</v>
      </c>
      <c r="CV16" s="231" t="s">
        <v>59</v>
      </c>
      <c r="CW16" s="231" t="s">
        <v>73</v>
      </c>
      <c r="CX16" s="102" t="s">
        <v>4</v>
      </c>
      <c r="CY16" s="231" t="s">
        <v>59</v>
      </c>
      <c r="CZ16" s="231" t="s">
        <v>73</v>
      </c>
      <c r="DA16" s="102" t="s">
        <v>4</v>
      </c>
      <c r="DB16" s="231" t="s">
        <v>59</v>
      </c>
      <c r="DC16" s="231" t="s">
        <v>73</v>
      </c>
      <c r="DD16" s="476" t="s">
        <v>4</v>
      </c>
      <c r="DE16" s="1004">
        <f>60+58</f>
        <v>118</v>
      </c>
      <c r="DF16" s="1005">
        <f>(CM17*CN17*CO17)+(CP17*CQ17*CR17)+(CS17*CT17*CU17)+(CV17*CW17*CX17)+(CY17*CZ17*DA17)+(DB17*DC17*DD17)</f>
        <v>7184.05</v>
      </c>
      <c r="DG16" s="940"/>
      <c r="DH16" s="1016"/>
      <c r="DJ16" s="1075"/>
      <c r="DK16" s="460" t="s">
        <v>59</v>
      </c>
      <c r="DL16" s="460" t="s">
        <v>73</v>
      </c>
      <c r="DM16" s="461" t="s">
        <v>4</v>
      </c>
      <c r="DN16" s="460" t="s">
        <v>59</v>
      </c>
      <c r="DO16" s="460" t="s">
        <v>73</v>
      </c>
      <c r="DP16" s="461" t="s">
        <v>4</v>
      </c>
      <c r="DQ16" s="460" t="s">
        <v>59</v>
      </c>
      <c r="DR16" s="460" t="s">
        <v>73</v>
      </c>
      <c r="DS16" s="461" t="s">
        <v>4</v>
      </c>
      <c r="DT16" s="460" t="s">
        <v>59</v>
      </c>
      <c r="DU16" s="460" t="s">
        <v>73</v>
      </c>
      <c r="DV16" s="461" t="s">
        <v>4</v>
      </c>
      <c r="DW16" s="460" t="s">
        <v>59</v>
      </c>
      <c r="DX16" s="460" t="s">
        <v>73</v>
      </c>
      <c r="DY16" s="461" t="s">
        <v>4</v>
      </c>
      <c r="DZ16" s="460" t="s">
        <v>59</v>
      </c>
      <c r="EA16" s="460" t="s">
        <v>73</v>
      </c>
      <c r="EB16" s="473" t="s">
        <v>4</v>
      </c>
      <c r="EC16" s="1004"/>
      <c r="ED16" s="1005">
        <f>(DK17*DL17*DM17)+(DN17*DO17*DP17)+(DQ17*DR17*DS17)+(DT17*DU17*DV17)+(DW17*DX17*DY17)+(DZ17*EA17*EB17)</f>
        <v>0</v>
      </c>
      <c r="EE16" s="940"/>
      <c r="EF16" s="1016"/>
      <c r="EH16" s="1049"/>
      <c r="EI16" s="460" t="s">
        <v>59</v>
      </c>
      <c r="EJ16" s="460" t="s">
        <v>73</v>
      </c>
      <c r="EK16" s="461" t="s">
        <v>4</v>
      </c>
      <c r="EL16" s="460" t="s">
        <v>59</v>
      </c>
      <c r="EM16" s="460" t="s">
        <v>73</v>
      </c>
      <c r="EN16" s="461" t="s">
        <v>4</v>
      </c>
      <c r="EO16" s="460" t="s">
        <v>59</v>
      </c>
      <c r="EP16" s="460" t="s">
        <v>73</v>
      </c>
      <c r="EQ16" s="461" t="s">
        <v>4</v>
      </c>
      <c r="ER16" s="460" t="s">
        <v>59</v>
      </c>
      <c r="ES16" s="460" t="s">
        <v>73</v>
      </c>
      <c r="ET16" s="461" t="s">
        <v>4</v>
      </c>
      <c r="EU16" s="460" t="s">
        <v>59</v>
      </c>
      <c r="EV16" s="460" t="s">
        <v>73</v>
      </c>
      <c r="EW16" s="461" t="s">
        <v>4</v>
      </c>
      <c r="EX16" s="460" t="s">
        <v>59</v>
      </c>
      <c r="EY16" s="460" t="s">
        <v>73</v>
      </c>
      <c r="EZ16" s="473" t="s">
        <v>4</v>
      </c>
      <c r="FA16" s="1004"/>
      <c r="FB16" s="1005">
        <f>(EI17*EJ17*EK17)+(EL17*EM17*EN17)+(EO17*EP17*EQ17)+(ER17*ES17*ET17)+(EU17*EV17*EW17)+(EX17*EY17*EZ17)</f>
        <v>0</v>
      </c>
      <c r="FC16" s="940"/>
      <c r="FD16" s="1016"/>
      <c r="FF16" s="1062"/>
      <c r="FG16" s="460" t="s">
        <v>59</v>
      </c>
      <c r="FH16" s="460" t="s">
        <v>73</v>
      </c>
      <c r="FI16" s="461" t="s">
        <v>4</v>
      </c>
      <c r="FJ16" s="460" t="s">
        <v>59</v>
      </c>
      <c r="FK16" s="460" t="s">
        <v>73</v>
      </c>
      <c r="FL16" s="461" t="s">
        <v>4</v>
      </c>
      <c r="FM16" s="460" t="s">
        <v>59</v>
      </c>
      <c r="FN16" s="460" t="s">
        <v>73</v>
      </c>
      <c r="FO16" s="461" t="s">
        <v>4</v>
      </c>
      <c r="FP16" s="460" t="s">
        <v>59</v>
      </c>
      <c r="FQ16" s="460" t="s">
        <v>73</v>
      </c>
      <c r="FR16" s="461" t="s">
        <v>4</v>
      </c>
      <c r="FS16" s="460" t="s">
        <v>59</v>
      </c>
      <c r="FT16" s="460" t="s">
        <v>73</v>
      </c>
      <c r="FU16" s="461" t="s">
        <v>4</v>
      </c>
      <c r="FV16" s="460" t="s">
        <v>59</v>
      </c>
      <c r="FW16" s="460" t="s">
        <v>73</v>
      </c>
      <c r="FX16" s="473" t="s">
        <v>4</v>
      </c>
      <c r="FY16" s="1004"/>
      <c r="FZ16" s="1005">
        <f>(FG17*FH17*FI17)+(FJ17*FK17*FL17)+(FM17*FN17*FO17)+(FP17*FQ17*FR17)+(FS17*FT17*FU17)+(FV17*FW17*FX17)</f>
        <v>0</v>
      </c>
      <c r="GA16" s="940"/>
      <c r="GB16" s="1016"/>
      <c r="GD16" s="1039"/>
      <c r="GE16" s="460" t="s">
        <v>59</v>
      </c>
      <c r="GF16" s="460" t="s">
        <v>73</v>
      </c>
      <c r="GG16" s="461" t="s">
        <v>4</v>
      </c>
      <c r="GH16" s="460" t="s">
        <v>59</v>
      </c>
      <c r="GI16" s="460" t="s">
        <v>73</v>
      </c>
      <c r="GJ16" s="461" t="s">
        <v>4</v>
      </c>
      <c r="GK16" s="460" t="s">
        <v>59</v>
      </c>
      <c r="GL16" s="460" t="s">
        <v>73</v>
      </c>
      <c r="GM16" s="461" t="s">
        <v>4</v>
      </c>
      <c r="GN16" s="460" t="s">
        <v>59</v>
      </c>
      <c r="GO16" s="460" t="s">
        <v>73</v>
      </c>
      <c r="GP16" s="461" t="s">
        <v>4</v>
      </c>
      <c r="GQ16" s="460" t="s">
        <v>59</v>
      </c>
      <c r="GR16" s="460" t="s">
        <v>73</v>
      </c>
      <c r="GS16" s="461" t="s">
        <v>4</v>
      </c>
      <c r="GT16" s="460" t="s">
        <v>59</v>
      </c>
      <c r="GU16" s="460" t="s">
        <v>73</v>
      </c>
      <c r="GV16" s="473" t="s">
        <v>4</v>
      </c>
      <c r="GW16" s="1004"/>
      <c r="GX16" s="1005">
        <f>(GE17*GF17*GG17)+(GH17*GI17*GJ17)+(GK17*GL17*GM17)+(GN17*GO17*GP17)+(GQ17*GR17*GS17)+(GT17*GU17*GV17)</f>
        <v>0</v>
      </c>
      <c r="GY16" s="940"/>
      <c r="GZ16" s="1016"/>
      <c r="HB16" s="1052"/>
      <c r="HC16" s="491" t="s">
        <v>59</v>
      </c>
      <c r="HD16" s="491" t="s">
        <v>73</v>
      </c>
      <c r="HE16" s="492" t="s">
        <v>4</v>
      </c>
      <c r="HF16" s="491" t="s">
        <v>59</v>
      </c>
      <c r="HG16" s="491" t="s">
        <v>73</v>
      </c>
      <c r="HH16" s="492" t="s">
        <v>4</v>
      </c>
      <c r="HI16" s="491" t="s">
        <v>59</v>
      </c>
      <c r="HJ16" s="491" t="s">
        <v>73</v>
      </c>
      <c r="HK16" s="492" t="s">
        <v>4</v>
      </c>
      <c r="HL16" s="491" t="s">
        <v>59</v>
      </c>
      <c r="HM16" s="491" t="s">
        <v>73</v>
      </c>
      <c r="HN16" s="492" t="s">
        <v>4</v>
      </c>
      <c r="HO16" s="491" t="s">
        <v>59</v>
      </c>
      <c r="HP16" s="491" t="s">
        <v>73</v>
      </c>
      <c r="HQ16" s="492" t="s">
        <v>4</v>
      </c>
      <c r="HR16" s="491" t="s">
        <v>59</v>
      </c>
      <c r="HS16" s="491" t="s">
        <v>73</v>
      </c>
      <c r="HT16" s="493" t="s">
        <v>4</v>
      </c>
      <c r="HU16" s="1071"/>
      <c r="HV16" s="1072">
        <f>(HC17*HD17*HE17)+(HF17*HG17*HH17)+(HI17*HJ17*HK17)+(HL17*HM17*HN17)+(HO17*HP17*HQ17)+(HR17*HS17*HT17)</f>
        <v>0</v>
      </c>
      <c r="HW16" s="1068"/>
      <c r="HX16" s="1070"/>
      <c r="HZ16" s="1065"/>
      <c r="IA16" s="460" t="s">
        <v>59</v>
      </c>
      <c r="IB16" s="460" t="s">
        <v>73</v>
      </c>
      <c r="IC16" s="461" t="s">
        <v>4</v>
      </c>
      <c r="ID16" s="460" t="s">
        <v>59</v>
      </c>
      <c r="IE16" s="460" t="s">
        <v>73</v>
      </c>
      <c r="IF16" s="461" t="s">
        <v>4</v>
      </c>
      <c r="IG16" s="460" t="s">
        <v>59</v>
      </c>
      <c r="IH16" s="460" t="s">
        <v>73</v>
      </c>
      <c r="II16" s="461" t="s">
        <v>4</v>
      </c>
      <c r="IJ16" s="460" t="s">
        <v>59</v>
      </c>
      <c r="IK16" s="460" t="s">
        <v>73</v>
      </c>
      <c r="IL16" s="461" t="s">
        <v>4</v>
      </c>
      <c r="IM16" s="460" t="s">
        <v>59</v>
      </c>
      <c r="IN16" s="460" t="s">
        <v>73</v>
      </c>
      <c r="IO16" s="461" t="s">
        <v>4</v>
      </c>
      <c r="IP16" s="460" t="s">
        <v>59</v>
      </c>
      <c r="IQ16" s="460" t="s">
        <v>73</v>
      </c>
      <c r="IR16" s="473" t="s">
        <v>4</v>
      </c>
      <c r="IS16" s="1004"/>
      <c r="IT16" s="1005">
        <f>(IA17*IB17*IC17)+(ID17*IE17*IF17)+(IG17*IH17*II17)+(IJ17*IK17*IL17)+(IM17*IN17*IO17)+(IP17*IQ17*IR17)</f>
        <v>0</v>
      </c>
      <c r="IU16" s="940"/>
      <c r="IV16" s="1016"/>
      <c r="IX16" s="1042"/>
      <c r="IY16" s="460" t="s">
        <v>59</v>
      </c>
      <c r="IZ16" s="460" t="s">
        <v>73</v>
      </c>
      <c r="JA16" s="461" t="s">
        <v>4</v>
      </c>
      <c r="JB16" s="460" t="s">
        <v>59</v>
      </c>
      <c r="JC16" s="460" t="s">
        <v>73</v>
      </c>
      <c r="JD16" s="461" t="s">
        <v>4</v>
      </c>
      <c r="JE16" s="460" t="s">
        <v>59</v>
      </c>
      <c r="JF16" s="460" t="s">
        <v>73</v>
      </c>
      <c r="JG16" s="461" t="s">
        <v>4</v>
      </c>
      <c r="JH16" s="460" t="s">
        <v>59</v>
      </c>
      <c r="JI16" s="460" t="s">
        <v>73</v>
      </c>
      <c r="JJ16" s="461" t="s">
        <v>4</v>
      </c>
      <c r="JK16" s="460" t="s">
        <v>59</v>
      </c>
      <c r="JL16" s="460" t="s">
        <v>73</v>
      </c>
      <c r="JM16" s="461" t="s">
        <v>4</v>
      </c>
      <c r="JN16" s="460" t="s">
        <v>59</v>
      </c>
      <c r="JO16" s="460" t="s">
        <v>73</v>
      </c>
      <c r="JP16" s="473" t="s">
        <v>4</v>
      </c>
      <c r="JQ16" s="1004"/>
      <c r="JR16" s="1005">
        <f>(IY17*IZ17*JA17)+(JB17*JC17*JD17)+(JE17*JF17*JG17)+(JH17*JI17*JJ17)+(JK17*JL17*JM17)+(JN17*JO17*JP17)</f>
        <v>0</v>
      </c>
      <c r="JS16" s="940"/>
      <c r="JT16" s="1016"/>
      <c r="JV16" s="1052"/>
      <c r="JW16" s="491" t="s">
        <v>59</v>
      </c>
      <c r="JX16" s="491" t="s">
        <v>73</v>
      </c>
      <c r="JY16" s="492" t="s">
        <v>4</v>
      </c>
      <c r="JZ16" s="491" t="s">
        <v>59</v>
      </c>
      <c r="KA16" s="491" t="s">
        <v>73</v>
      </c>
      <c r="KB16" s="492" t="s">
        <v>4</v>
      </c>
      <c r="KC16" s="491" t="s">
        <v>59</v>
      </c>
      <c r="KD16" s="491" t="s">
        <v>73</v>
      </c>
      <c r="KE16" s="492" t="s">
        <v>4</v>
      </c>
      <c r="KF16" s="491" t="s">
        <v>59</v>
      </c>
      <c r="KG16" s="491" t="s">
        <v>73</v>
      </c>
      <c r="KH16" s="492" t="s">
        <v>4</v>
      </c>
      <c r="KI16" s="491" t="s">
        <v>59</v>
      </c>
      <c r="KJ16" s="491" t="s">
        <v>73</v>
      </c>
      <c r="KK16" s="492" t="s">
        <v>4</v>
      </c>
      <c r="KL16" s="491" t="s">
        <v>59</v>
      </c>
      <c r="KM16" s="491" t="s">
        <v>73</v>
      </c>
      <c r="KN16" s="493" t="s">
        <v>4</v>
      </c>
      <c r="KO16" s="1071"/>
      <c r="KP16" s="1072">
        <f>(JW17*JX17*JY17)+(JZ17*KA17*KB17)+(KC17*KD17*KE17)+(KF17*KG17*KH17)+(KI17*KJ17*KK17)+(KL17*KM17*KN17)</f>
        <v>0</v>
      </c>
      <c r="KQ16" s="1068"/>
      <c r="KR16" s="1070"/>
      <c r="KT16" s="1075"/>
      <c r="KU16" s="460" t="s">
        <v>59</v>
      </c>
      <c r="KV16" s="460" t="s">
        <v>73</v>
      </c>
      <c r="KW16" s="461" t="s">
        <v>4</v>
      </c>
      <c r="KX16" s="460" t="s">
        <v>59</v>
      </c>
      <c r="KY16" s="460" t="s">
        <v>73</v>
      </c>
      <c r="KZ16" s="461" t="s">
        <v>4</v>
      </c>
      <c r="LA16" s="460" t="s">
        <v>59</v>
      </c>
      <c r="LB16" s="460" t="s">
        <v>73</v>
      </c>
      <c r="LC16" s="461" t="s">
        <v>4</v>
      </c>
      <c r="LD16" s="460" t="s">
        <v>59</v>
      </c>
      <c r="LE16" s="460" t="s">
        <v>73</v>
      </c>
      <c r="LF16" s="461" t="s">
        <v>4</v>
      </c>
      <c r="LG16" s="460" t="s">
        <v>59</v>
      </c>
      <c r="LH16" s="460" t="s">
        <v>73</v>
      </c>
      <c r="LI16" s="461" t="s">
        <v>4</v>
      </c>
      <c r="LJ16" s="460" t="s">
        <v>59</v>
      </c>
      <c r="LK16" s="460" t="s">
        <v>73</v>
      </c>
      <c r="LL16" s="473" t="s">
        <v>4</v>
      </c>
      <c r="LM16" s="1004"/>
      <c r="LN16" s="1005">
        <f>(KU17*KV17*KW17)+(KX17*KY17*KZ17)+(LA17*LB17*LC17)+(LD17*LE17*LF17)+(LG17*LH17*LI17)+(LJ17*LK17*LL17)</f>
        <v>0</v>
      </c>
      <c r="LO16" s="940"/>
      <c r="LP16" s="1016"/>
      <c r="LR16" s="61">
        <v>14</v>
      </c>
      <c r="LS16" s="62" t="str" cm="1">
        <f t="array" ref="LS16">IF(INDEX(S:S, (ROW()-ROW($S$3))*3 + 3) &lt;&gt; "", "✔", "")</f>
        <v>✔</v>
      </c>
      <c r="LT16" s="61">
        <v>14</v>
      </c>
      <c r="LU16" s="62" t="str" cm="1">
        <f t="array" ref="LU16">IF(INDEX(AQ:AQ, (ROW()-ROW($AQ$3))*3 + 3) &lt;&gt; "", "✔", "")</f>
        <v/>
      </c>
      <c r="LV16" s="61">
        <v>14</v>
      </c>
      <c r="LW16" s="501" t="str" cm="1">
        <f t="array" ref="LW16">IF(INDEX(BO:BO, (ROW()-ROW($BO$3))*3 + 3) &lt;&gt; "", "✔", "")</f>
        <v/>
      </c>
      <c r="LX16" s="503">
        <v>14</v>
      </c>
      <c r="LY16" s="485" t="str" cm="1">
        <f t="array" ref="LY16">IF(INDEX(CM:CM, (ROW()-ROW($CM$3))*3 + 3) &lt;&gt; "", "✔", "")</f>
        <v/>
      </c>
      <c r="LZ16" s="507">
        <v>14</v>
      </c>
      <c r="MA16" s="485" t="str" cm="1">
        <f t="array" ref="MA16">IF(INDEX(DK:DK, (ROW()-ROW($DK$3))*3 + 3) &lt;&gt; "", "✔", "")</f>
        <v/>
      </c>
      <c r="MB16" s="503">
        <v>14</v>
      </c>
      <c r="MC16" s="485" t="str" cm="1">
        <f t="array" ref="MC16">IF(INDEX(EI:EI, (ROW()-ROW($EI$3))*3 + 3) &lt;&gt; "", "✔", "")</f>
        <v/>
      </c>
      <c r="MD16" s="503">
        <v>14</v>
      </c>
      <c r="ME16" s="485" t="str" cm="1">
        <f t="array" ref="ME16">IF(INDEX(FG:FG, (ROW()-ROW($FG$3))*3 + 3) &lt;&gt; "", "✔", "")</f>
        <v/>
      </c>
      <c r="MF16" s="503">
        <v>14</v>
      </c>
      <c r="MG16" s="485" t="str" cm="1">
        <f t="array" ref="MG16">IF(INDEX(GE:GE, (ROW()-ROW($GE$3))*3 + 3) &lt;&gt; "", "✔", "")</f>
        <v/>
      </c>
      <c r="MH16" s="503">
        <v>14</v>
      </c>
      <c r="MI16" s="485" t="str" cm="1">
        <f t="array" ref="MI16">IF(INDEX(HC:HC, (ROW()-ROW($HC$3))*3 + 3) &lt;&gt; "", "✔", "")</f>
        <v/>
      </c>
      <c r="MJ16" s="503">
        <v>14</v>
      </c>
      <c r="MK16" s="485" t="str" cm="1">
        <f t="array" ref="MK16">IF(INDEX(IA:IA, (ROW()-ROW($IA$3))*3 + 3) &lt;&gt; "", "✔", "")</f>
        <v/>
      </c>
      <c r="ML16" s="503">
        <v>14</v>
      </c>
      <c r="MM16" s="485" t="str" cm="1">
        <f t="array" ref="MM16">IF(INDEX(IY:IY, (ROW()-ROW($IY$3))*3 + 3) &lt;&gt; "", "✔", "")</f>
        <v/>
      </c>
      <c r="MN16" s="503">
        <v>14</v>
      </c>
      <c r="MO16" s="485" t="str" cm="1">
        <f t="array" ref="MO16">IF(INDEX(JW:JW, (ROW()-ROW($JW$3))*3 + 3) &lt;&gt; "", "✔", "")</f>
        <v/>
      </c>
      <c r="MP16" s="503">
        <v>14</v>
      </c>
      <c r="MQ16" s="13" t="str" cm="1">
        <f t="array" ref="MQ16">IF(INDEX(KU:KU, (ROW()-ROW($KU$3))*3 + 3) &lt;&gt; "", "✔", "")</f>
        <v/>
      </c>
    </row>
    <row r="17" spans="1:355" ht="16.5" thickBot="1">
      <c r="A17" s="345" t="s">
        <v>405</v>
      </c>
      <c r="B17" s="346" t="s">
        <v>406</v>
      </c>
      <c r="C17" s="352"/>
      <c r="D17" s="352"/>
      <c r="E17" s="352"/>
      <c r="F17" s="352"/>
      <c r="G17" s="352"/>
      <c r="H17" s="352"/>
      <c r="I17" s="353"/>
      <c r="J17" s="348">
        <v>0</v>
      </c>
      <c r="K17" s="349">
        <v>0</v>
      </c>
      <c r="L17" s="350">
        <v>0</v>
      </c>
      <c r="M17" s="350">
        <v>0</v>
      </c>
      <c r="N17" s="350">
        <v>0</v>
      </c>
      <c r="O17" s="350">
        <f t="shared" si="0"/>
        <v>0</v>
      </c>
      <c r="P17" s="351">
        <v>0</v>
      </c>
      <c r="R17" s="872"/>
      <c r="S17" s="229">
        <v>3</v>
      </c>
      <c r="T17" s="229">
        <f>((12*2)+(6*1))/3</f>
        <v>10</v>
      </c>
      <c r="U17" s="229">
        <f>((17.5*2)+(20*1))/3</f>
        <v>18.333333333333332</v>
      </c>
      <c r="V17" s="229">
        <v>3</v>
      </c>
      <c r="W17" s="229">
        <f>((30*1)+(34*1)+(40*1))/3</f>
        <v>34.666666666666664</v>
      </c>
      <c r="X17" s="229">
        <f>AN15*(1.2/3)</f>
        <v>30.96</v>
      </c>
      <c r="Y17" s="229">
        <v>2</v>
      </c>
      <c r="Z17" s="229">
        <v>8</v>
      </c>
      <c r="AA17" s="229">
        <v>24.9</v>
      </c>
      <c r="AB17" s="229">
        <v>4</v>
      </c>
      <c r="AC17" s="126">
        <f>((10*1)+(8*1)+(12*1))/4</f>
        <v>7.5</v>
      </c>
      <c r="AD17" s="229">
        <f>((3.5*1)+(8.5*1)+(13.5*1))/4</f>
        <v>6.375</v>
      </c>
      <c r="AE17" s="233"/>
      <c r="AF17" s="233"/>
      <c r="AG17" s="233"/>
      <c r="AH17" s="233"/>
      <c r="AI17" s="233"/>
      <c r="AJ17" s="472"/>
      <c r="AK17" s="1004"/>
      <c r="AL17" s="1002"/>
      <c r="AM17" s="941"/>
      <c r="AN17" s="855"/>
      <c r="AO17" s="118"/>
      <c r="AP17" s="875"/>
      <c r="AQ17" s="305">
        <v>4</v>
      </c>
      <c r="AR17" s="305">
        <f>((12*3)+(6*1))/4</f>
        <v>10.5</v>
      </c>
      <c r="AS17" s="305">
        <f>((27*1)+(54*2)+(59*1))/4</f>
        <v>48.5</v>
      </c>
      <c r="AT17" s="305">
        <v>4</v>
      </c>
      <c r="AU17" s="305">
        <f>((12*3)+(6*1))/4</f>
        <v>10.5</v>
      </c>
      <c r="AV17" s="306">
        <f>((9.1*1)+(18.1*2)+(20.1*1))/4</f>
        <v>16.350000000000001</v>
      </c>
      <c r="AW17" s="305">
        <v>4</v>
      </c>
      <c r="AX17" s="306">
        <v>16</v>
      </c>
      <c r="AY17" s="305">
        <f>((12.5*1)+(25*3))/4</f>
        <v>21.875</v>
      </c>
      <c r="AZ17" s="305">
        <v>4</v>
      </c>
      <c r="BA17" s="305">
        <v>12</v>
      </c>
      <c r="BB17" s="305">
        <f>((15.9*1)+(34*3))/4</f>
        <v>29.475000000000001</v>
      </c>
      <c r="BC17" s="305">
        <v>4</v>
      </c>
      <c r="BD17" s="305">
        <f>((12*1)+(8*3))/4</f>
        <v>9</v>
      </c>
      <c r="BE17" s="305">
        <f>((10*1)+(17.5*3))/4</f>
        <v>15.625</v>
      </c>
      <c r="BF17" s="233"/>
      <c r="BG17" s="233"/>
      <c r="BH17" s="472"/>
      <c r="BI17" s="1004"/>
      <c r="BJ17" s="1003"/>
      <c r="BK17" s="941"/>
      <c r="BL17" s="1016"/>
      <c r="BM17" s="118"/>
      <c r="BN17" s="875"/>
      <c r="BO17" s="305">
        <v>4</v>
      </c>
      <c r="BP17" s="305">
        <f>((12*1)+(10*3))/4</f>
        <v>10.5</v>
      </c>
      <c r="BQ17" s="305">
        <f>((32*1)+(59*3))/4</f>
        <v>52.25</v>
      </c>
      <c r="BR17" s="305">
        <v>4</v>
      </c>
      <c r="BS17" s="306">
        <f>((12*4))/4</f>
        <v>12</v>
      </c>
      <c r="BT17" s="305">
        <f>((11.3*1)+(20.4*3))/4</f>
        <v>18.125</v>
      </c>
      <c r="BU17" s="305">
        <v>4</v>
      </c>
      <c r="BV17" s="306">
        <f>((12*4))/4</f>
        <v>12</v>
      </c>
      <c r="BW17" s="306">
        <f>((15.9*1)+(34*3))/4</f>
        <v>29.475000000000001</v>
      </c>
      <c r="BX17" s="305">
        <v>2</v>
      </c>
      <c r="BY17" s="305">
        <f>((12*1)+(8*3))/4</f>
        <v>9</v>
      </c>
      <c r="BZ17" s="305">
        <f>((10*1)+(17.5*1))/2</f>
        <v>13.75</v>
      </c>
      <c r="CA17" s="233"/>
      <c r="CB17" s="233"/>
      <c r="CC17" s="472"/>
      <c r="CD17" s="233"/>
      <c r="CE17" s="233"/>
      <c r="CF17" s="472"/>
      <c r="CG17" s="1004"/>
      <c r="CH17" s="1006"/>
      <c r="CI17" s="941"/>
      <c r="CJ17" s="1016"/>
      <c r="CL17" s="1063"/>
      <c r="CM17" s="229">
        <v>4</v>
      </c>
      <c r="CN17" s="229">
        <f>((12*1)+(8*1)+(9*2))/4</f>
        <v>9.5</v>
      </c>
      <c r="CO17" s="229">
        <f>((20*1)+(45*3))/4</f>
        <v>38.75</v>
      </c>
      <c r="CP17" s="229">
        <v>4</v>
      </c>
      <c r="CQ17" s="229">
        <f>((12*1)+(8*3))/4</f>
        <v>9</v>
      </c>
      <c r="CR17" s="229">
        <f>((27*1)+(63*3))/4</f>
        <v>54</v>
      </c>
      <c r="CS17" s="229">
        <v>4</v>
      </c>
      <c r="CT17" s="126">
        <f>((12*1)+(8*1)+(18*2))/4</f>
        <v>14</v>
      </c>
      <c r="CU17" s="229">
        <f>((12.5*1)+(27.5*3))/4</f>
        <v>23.75</v>
      </c>
      <c r="CV17" s="229">
        <v>4</v>
      </c>
      <c r="CW17" s="126">
        <f>((12*1)+(10*3))/4</f>
        <v>10.5</v>
      </c>
      <c r="CX17" s="229">
        <f>((9.1*1)+(18*3))/4</f>
        <v>15.775</v>
      </c>
      <c r="CY17" s="229">
        <v>4</v>
      </c>
      <c r="CZ17" s="229">
        <f>((12*1)+(10*2)+(8*1))/4</f>
        <v>10</v>
      </c>
      <c r="DA17" s="229">
        <f>((20*1)+(35*3))/4</f>
        <v>31.25</v>
      </c>
      <c r="DB17" s="229">
        <v>4</v>
      </c>
      <c r="DC17" s="229">
        <f>((12*1)+(10*2)+(8*1))/4</f>
        <v>10</v>
      </c>
      <c r="DD17" s="229">
        <f>((7.5*1)+(15*3))/4</f>
        <v>13.125</v>
      </c>
      <c r="DE17" s="1004"/>
      <c r="DF17" s="1006"/>
      <c r="DG17" s="941"/>
      <c r="DH17" s="1016"/>
      <c r="DJ17" s="1076"/>
      <c r="DK17" s="462"/>
      <c r="DL17" s="462"/>
      <c r="DM17" s="462"/>
      <c r="DN17" s="462"/>
      <c r="DO17" s="462"/>
      <c r="DP17" s="462"/>
      <c r="DQ17" s="462"/>
      <c r="DR17" s="462"/>
      <c r="DS17" s="462"/>
      <c r="DT17" s="462"/>
      <c r="DU17" s="462"/>
      <c r="DV17" s="462"/>
      <c r="DW17" s="462"/>
      <c r="DX17" s="462"/>
      <c r="DY17" s="462"/>
      <c r="DZ17" s="462"/>
      <c r="EA17" s="462"/>
      <c r="EB17" s="475"/>
      <c r="EC17" s="1004"/>
      <c r="ED17" s="1006"/>
      <c r="EE17" s="941"/>
      <c r="EF17" s="1016"/>
      <c r="EH17" s="1050"/>
      <c r="EI17" s="462"/>
      <c r="EJ17" s="462"/>
      <c r="EK17" s="462"/>
      <c r="EL17" s="462"/>
      <c r="EM17" s="462"/>
      <c r="EN17" s="462"/>
      <c r="EO17" s="462"/>
      <c r="EP17" s="462"/>
      <c r="EQ17" s="462"/>
      <c r="ER17" s="462"/>
      <c r="ES17" s="462"/>
      <c r="ET17" s="462"/>
      <c r="EU17" s="462"/>
      <c r="EV17" s="462"/>
      <c r="EW17" s="462"/>
      <c r="EX17" s="462"/>
      <c r="EY17" s="462"/>
      <c r="EZ17" s="475"/>
      <c r="FA17" s="1004"/>
      <c r="FB17" s="1006"/>
      <c r="FC17" s="941"/>
      <c r="FD17" s="1016"/>
      <c r="FF17" s="1063"/>
      <c r="FG17" s="462"/>
      <c r="FH17" s="462"/>
      <c r="FI17" s="462"/>
      <c r="FJ17" s="462"/>
      <c r="FK17" s="462"/>
      <c r="FL17" s="462"/>
      <c r="FM17" s="462"/>
      <c r="FN17" s="462"/>
      <c r="FO17" s="462"/>
      <c r="FP17" s="462"/>
      <c r="FQ17" s="462"/>
      <c r="FR17" s="462"/>
      <c r="FS17" s="462"/>
      <c r="FT17" s="462"/>
      <c r="FU17" s="462"/>
      <c r="FV17" s="462"/>
      <c r="FW17" s="462"/>
      <c r="FX17" s="475"/>
      <c r="FY17" s="1004"/>
      <c r="FZ17" s="1006"/>
      <c r="GA17" s="941"/>
      <c r="GB17" s="1016"/>
      <c r="GD17" s="1040"/>
      <c r="GE17" s="462"/>
      <c r="GF17" s="462"/>
      <c r="GG17" s="462"/>
      <c r="GH17" s="462"/>
      <c r="GI17" s="462"/>
      <c r="GJ17" s="462"/>
      <c r="GK17" s="462"/>
      <c r="GL17" s="462"/>
      <c r="GM17" s="462"/>
      <c r="GN17" s="462"/>
      <c r="GO17" s="462"/>
      <c r="GP17" s="462"/>
      <c r="GQ17" s="462"/>
      <c r="GR17" s="462"/>
      <c r="GS17" s="462"/>
      <c r="GT17" s="462"/>
      <c r="GU17" s="462"/>
      <c r="GV17" s="475"/>
      <c r="GW17" s="1004"/>
      <c r="GX17" s="1006"/>
      <c r="GY17" s="941"/>
      <c r="GZ17" s="1016"/>
      <c r="HB17" s="1053"/>
      <c r="HC17" s="494"/>
      <c r="HD17" s="494"/>
      <c r="HE17" s="494"/>
      <c r="HF17" s="494"/>
      <c r="HG17" s="494"/>
      <c r="HH17" s="494"/>
      <c r="HI17" s="494"/>
      <c r="HJ17" s="494"/>
      <c r="HK17" s="494"/>
      <c r="HL17" s="494"/>
      <c r="HM17" s="494"/>
      <c r="HN17" s="494"/>
      <c r="HO17" s="494"/>
      <c r="HP17" s="494"/>
      <c r="HQ17" s="494"/>
      <c r="HR17" s="494"/>
      <c r="HS17" s="494"/>
      <c r="HT17" s="497"/>
      <c r="HU17" s="1071"/>
      <c r="HV17" s="1073"/>
      <c r="HW17" s="1069"/>
      <c r="HX17" s="1070"/>
      <c r="HZ17" s="1066"/>
      <c r="IA17" s="462"/>
      <c r="IB17" s="462"/>
      <c r="IC17" s="462"/>
      <c r="ID17" s="462"/>
      <c r="IE17" s="462"/>
      <c r="IF17" s="462"/>
      <c r="IG17" s="462"/>
      <c r="IH17" s="462"/>
      <c r="II17" s="462"/>
      <c r="IJ17" s="462"/>
      <c r="IK17" s="462"/>
      <c r="IL17" s="462"/>
      <c r="IM17" s="462"/>
      <c r="IN17" s="462"/>
      <c r="IO17" s="462"/>
      <c r="IP17" s="462"/>
      <c r="IQ17" s="462"/>
      <c r="IR17" s="475"/>
      <c r="IS17" s="1004"/>
      <c r="IT17" s="1006"/>
      <c r="IU17" s="941"/>
      <c r="IV17" s="1016"/>
      <c r="IX17" s="1043"/>
      <c r="IY17" s="462"/>
      <c r="IZ17" s="462"/>
      <c r="JA17" s="462"/>
      <c r="JB17" s="462"/>
      <c r="JC17" s="462"/>
      <c r="JD17" s="462"/>
      <c r="JE17" s="462"/>
      <c r="JF17" s="462"/>
      <c r="JG17" s="462"/>
      <c r="JH17" s="462"/>
      <c r="JI17" s="462"/>
      <c r="JJ17" s="462"/>
      <c r="JK17" s="462"/>
      <c r="JL17" s="462"/>
      <c r="JM17" s="462"/>
      <c r="JN17" s="462"/>
      <c r="JO17" s="462"/>
      <c r="JP17" s="475"/>
      <c r="JQ17" s="1004"/>
      <c r="JR17" s="1006"/>
      <c r="JS17" s="941"/>
      <c r="JT17" s="1016"/>
      <c r="JV17" s="1053"/>
      <c r="JW17" s="494"/>
      <c r="JX17" s="494"/>
      <c r="JY17" s="494"/>
      <c r="JZ17" s="494"/>
      <c r="KA17" s="494"/>
      <c r="KB17" s="494"/>
      <c r="KC17" s="494"/>
      <c r="KD17" s="494"/>
      <c r="KE17" s="494"/>
      <c r="KF17" s="494"/>
      <c r="KG17" s="494"/>
      <c r="KH17" s="494"/>
      <c r="KI17" s="494"/>
      <c r="KJ17" s="494"/>
      <c r="KK17" s="494"/>
      <c r="KL17" s="494"/>
      <c r="KM17" s="494"/>
      <c r="KN17" s="497"/>
      <c r="KO17" s="1071"/>
      <c r="KP17" s="1073"/>
      <c r="KQ17" s="1069"/>
      <c r="KR17" s="1070"/>
      <c r="KT17" s="1076"/>
      <c r="KU17" s="462"/>
      <c r="KV17" s="462"/>
      <c r="KW17" s="462"/>
      <c r="KX17" s="462"/>
      <c r="KY17" s="462"/>
      <c r="KZ17" s="462"/>
      <c r="LA17" s="462"/>
      <c r="LB17" s="462"/>
      <c r="LC17" s="462"/>
      <c r="LD17" s="462"/>
      <c r="LE17" s="462"/>
      <c r="LF17" s="462"/>
      <c r="LG17" s="462"/>
      <c r="LH17" s="462"/>
      <c r="LI17" s="462"/>
      <c r="LJ17" s="462"/>
      <c r="LK17" s="462"/>
      <c r="LL17" s="475"/>
      <c r="LM17" s="1004"/>
      <c r="LN17" s="1006"/>
      <c r="LO17" s="941"/>
      <c r="LP17" s="1016"/>
      <c r="LR17" s="61">
        <v>15</v>
      </c>
      <c r="LS17" s="62" t="str" cm="1">
        <f t="array" ref="LS17">IF(INDEX(S:S, (ROW()-ROW($S$3))*3 + 3) &lt;&gt; "", "✔", "")</f>
        <v>✔</v>
      </c>
      <c r="LT17" s="61">
        <v>15</v>
      </c>
      <c r="LU17" s="62" t="str" cm="1">
        <f t="array" ref="LU17">IF(INDEX(AQ:AQ, (ROW()-ROW($AQ$3))*3 + 3) &lt;&gt; "", "✔", "")</f>
        <v>✔</v>
      </c>
      <c r="LV17" s="61">
        <v>15</v>
      </c>
      <c r="LW17" s="501" t="str" cm="1">
        <f t="array" ref="LW17">IF(INDEX(BO:BO, (ROW()-ROW($BO$3))*3 + 3) &lt;&gt; "", "✔", "")</f>
        <v>✔</v>
      </c>
      <c r="LX17" s="503">
        <v>15</v>
      </c>
      <c r="LY17" s="485" t="str" cm="1">
        <f t="array" ref="LY17">IF(INDEX(CM:CM, (ROW()-ROW($CM$3))*3 + 3) &lt;&gt; "", "✔", "")</f>
        <v/>
      </c>
      <c r="LZ17" s="507">
        <v>15</v>
      </c>
      <c r="MA17" s="485" t="str" cm="1">
        <f t="array" ref="MA17">IF(INDEX(DK:DK, (ROW()-ROW($DK$3))*3 + 3) &lt;&gt; "", "✔", "")</f>
        <v/>
      </c>
      <c r="MB17" s="503">
        <v>15</v>
      </c>
      <c r="MC17" s="485" t="str" cm="1">
        <f t="array" ref="MC17">IF(INDEX(EI:EI, (ROW()-ROW($EI$3))*3 + 3) &lt;&gt; "", "✔", "")</f>
        <v/>
      </c>
      <c r="MD17" s="503">
        <v>15</v>
      </c>
      <c r="ME17" s="485" t="str" cm="1">
        <f t="array" ref="ME17">IF(INDEX(FG:FG, (ROW()-ROW($FG$3))*3 + 3) &lt;&gt; "", "✔", "")</f>
        <v/>
      </c>
      <c r="MF17" s="503">
        <v>15</v>
      </c>
      <c r="MG17" s="485" t="str" cm="1">
        <f t="array" ref="MG17">IF(INDEX(GE:GE, (ROW()-ROW($GE$3))*3 + 3) &lt;&gt; "", "✔", "")</f>
        <v/>
      </c>
      <c r="MH17" s="503">
        <v>15</v>
      </c>
      <c r="MI17" s="485" t="str" cm="1">
        <f t="array" ref="MI17">IF(INDEX(HC:HC, (ROW()-ROW($HC$3))*3 + 3) &lt;&gt; "", "✔", "")</f>
        <v/>
      </c>
      <c r="MJ17" s="503">
        <v>15</v>
      </c>
      <c r="MK17" s="485" t="str" cm="1">
        <f t="array" ref="MK17">IF(INDEX(IA:IA, (ROW()-ROW($IA$3))*3 + 3) &lt;&gt; "", "✔", "")</f>
        <v/>
      </c>
      <c r="ML17" s="503">
        <v>15</v>
      </c>
      <c r="MM17" s="485" t="str" cm="1">
        <f t="array" ref="MM17">IF(INDEX(IY:IY, (ROW()-ROW($IY$3))*3 + 3) &lt;&gt; "", "✔", "")</f>
        <v/>
      </c>
      <c r="MN17" s="503">
        <v>15</v>
      </c>
      <c r="MO17" s="485" t="str" cm="1">
        <f t="array" ref="MO17">IF(INDEX(JW:JW, (ROW()-ROW($JW$3))*3 + 3) &lt;&gt; "", "✔", "")</f>
        <v/>
      </c>
      <c r="MP17" s="503">
        <v>15</v>
      </c>
      <c r="MQ17" s="13" t="str" cm="1">
        <f t="array" ref="MQ17">IF(INDEX(KU:KU, (ROW()-ROW($KU$3))*3 + 3) &lt;&gt; "", "✔", "")</f>
        <v/>
      </c>
    </row>
    <row r="18" spans="1:355" ht="15">
      <c r="R18" s="856">
        <v>46028</v>
      </c>
      <c r="S18" s="848" t="s">
        <v>70</v>
      </c>
      <c r="T18" s="848"/>
      <c r="U18" s="848"/>
      <c r="V18" s="859"/>
      <c r="W18" s="859"/>
      <c r="X18" s="859"/>
      <c r="Y18" s="834"/>
      <c r="Z18" s="835"/>
      <c r="AA18" s="836"/>
      <c r="AB18" s="867"/>
      <c r="AC18" s="868"/>
      <c r="AD18" s="869"/>
      <c r="AE18" s="834"/>
      <c r="AF18" s="835"/>
      <c r="AG18" s="836"/>
      <c r="AH18" s="834"/>
      <c r="AI18" s="835"/>
      <c r="AJ18" s="835"/>
      <c r="AK18" s="459" t="s">
        <v>425</v>
      </c>
      <c r="AL18" s="1">
        <f t="shared" ref="AL18" si="19">COUNTA(S18:AJ18)</f>
        <v>1</v>
      </c>
      <c r="AM18" s="939"/>
      <c r="AN18" s="855">
        <v>77.400000000000006</v>
      </c>
      <c r="AO18" s="118"/>
      <c r="AP18" s="876">
        <v>46059</v>
      </c>
      <c r="AQ18" s="849" t="s">
        <v>434</v>
      </c>
      <c r="AR18" s="849"/>
      <c r="AS18" s="849"/>
      <c r="AT18" s="848" t="s">
        <v>68</v>
      </c>
      <c r="AU18" s="848"/>
      <c r="AV18" s="848"/>
      <c r="AW18" s="848" t="s">
        <v>380</v>
      </c>
      <c r="AX18" s="848"/>
      <c r="AY18" s="848"/>
      <c r="AZ18" s="848" t="s">
        <v>391</v>
      </c>
      <c r="BA18" s="848"/>
      <c r="BB18" s="848"/>
      <c r="BC18" s="834"/>
      <c r="BD18" s="835"/>
      <c r="BE18" s="836"/>
      <c r="BF18" s="834"/>
      <c r="BG18" s="835"/>
      <c r="BH18" s="835"/>
      <c r="BI18" s="459" t="s">
        <v>425</v>
      </c>
      <c r="BJ18" s="482">
        <f t="shared" ref="BJ18" si="20">COUNTA(AQ18:BH18)</f>
        <v>4</v>
      </c>
      <c r="BK18" s="939"/>
      <c r="BL18" s="1016">
        <v>79</v>
      </c>
      <c r="BM18" s="118"/>
      <c r="BN18" s="876">
        <v>46087</v>
      </c>
      <c r="BO18" s="844"/>
      <c r="BP18" s="844"/>
      <c r="BQ18" s="844"/>
      <c r="BR18" s="844"/>
      <c r="BS18" s="844"/>
      <c r="BT18" s="844"/>
      <c r="BU18" s="844"/>
      <c r="BV18" s="844"/>
      <c r="BW18" s="844"/>
      <c r="BX18" s="844"/>
      <c r="BY18" s="844"/>
      <c r="BZ18" s="844"/>
      <c r="CA18" s="834"/>
      <c r="CB18" s="835"/>
      <c r="CC18" s="836"/>
      <c r="CD18" s="834"/>
      <c r="CE18" s="835"/>
      <c r="CF18" s="835"/>
      <c r="CG18" s="459" t="s">
        <v>425</v>
      </c>
      <c r="CH18" s="482">
        <f t="shared" ref="CH18" si="21">COUNTA(BO18:CF18)</f>
        <v>0</v>
      </c>
      <c r="CI18" s="939">
        <v>0</v>
      </c>
      <c r="CJ18" s="1016">
        <f>CJ15</f>
        <v>78.5</v>
      </c>
      <c r="CL18" s="1064">
        <v>46118</v>
      </c>
      <c r="CM18" s="848" t="s">
        <v>70</v>
      </c>
      <c r="CN18" s="848"/>
      <c r="CO18" s="848"/>
      <c r="CP18" s="859"/>
      <c r="CQ18" s="859"/>
      <c r="CR18" s="859"/>
      <c r="CS18" s="834"/>
      <c r="CT18" s="835"/>
      <c r="CU18" s="836"/>
      <c r="CV18" s="867"/>
      <c r="CW18" s="868"/>
      <c r="CX18" s="869"/>
      <c r="CY18" s="834"/>
      <c r="CZ18" s="835"/>
      <c r="DA18" s="836"/>
      <c r="DB18" s="834"/>
      <c r="DC18" s="835"/>
      <c r="DD18" s="835"/>
      <c r="DE18" s="459" t="s">
        <v>425</v>
      </c>
      <c r="DF18" s="482">
        <f>COUNTA(CM18:DD18)</f>
        <v>1</v>
      </c>
      <c r="DG18" s="939">
        <v>5</v>
      </c>
      <c r="DH18" s="1016">
        <v>77.400000000000006</v>
      </c>
      <c r="DJ18" s="1038">
        <v>46148</v>
      </c>
      <c r="DK18" s="960"/>
      <c r="DL18" s="960"/>
      <c r="DM18" s="960"/>
      <c r="DN18" s="960"/>
      <c r="DO18" s="960"/>
      <c r="DP18" s="960"/>
      <c r="DQ18" s="960"/>
      <c r="DR18" s="960"/>
      <c r="DS18" s="960"/>
      <c r="DT18" s="960"/>
      <c r="DU18" s="960"/>
      <c r="DV18" s="960"/>
      <c r="DW18" s="961"/>
      <c r="DX18" s="962"/>
      <c r="DY18" s="963"/>
      <c r="DZ18" s="961"/>
      <c r="EA18" s="962"/>
      <c r="EB18" s="962"/>
      <c r="EC18" s="459" t="s">
        <v>425</v>
      </c>
      <c r="ED18" s="482">
        <f>COUNTA(DK18:EB18)</f>
        <v>0</v>
      </c>
      <c r="EE18" s="939"/>
      <c r="EF18" s="1016"/>
      <c r="EH18" s="1051">
        <v>46179</v>
      </c>
      <c r="EI18" s="1023"/>
      <c r="EJ18" s="1023"/>
      <c r="EK18" s="1023"/>
      <c r="EL18" s="1023"/>
      <c r="EM18" s="1023"/>
      <c r="EN18" s="1023"/>
      <c r="EO18" s="1023"/>
      <c r="EP18" s="1023"/>
      <c r="EQ18" s="1023"/>
      <c r="ER18" s="1023"/>
      <c r="ES18" s="1023"/>
      <c r="ET18" s="1023"/>
      <c r="EU18" s="1021"/>
      <c r="EV18" s="1022"/>
      <c r="EW18" s="1024"/>
      <c r="EX18" s="1021"/>
      <c r="EY18" s="1022"/>
      <c r="EZ18" s="1022"/>
      <c r="FA18" s="489" t="s">
        <v>425</v>
      </c>
      <c r="FB18" s="496">
        <f>COUNTA(EI18:EZ18)</f>
        <v>0</v>
      </c>
      <c r="FC18" s="1067"/>
      <c r="FD18" s="1070"/>
      <c r="FF18" s="1064">
        <v>46209</v>
      </c>
      <c r="FG18" s="960"/>
      <c r="FH18" s="960"/>
      <c r="FI18" s="960"/>
      <c r="FJ18" s="960"/>
      <c r="FK18" s="960"/>
      <c r="FL18" s="960"/>
      <c r="FM18" s="960"/>
      <c r="FN18" s="960"/>
      <c r="FO18" s="960"/>
      <c r="FP18" s="960"/>
      <c r="FQ18" s="960"/>
      <c r="FR18" s="960"/>
      <c r="FS18" s="961"/>
      <c r="FT18" s="962"/>
      <c r="FU18" s="963"/>
      <c r="FV18" s="961"/>
      <c r="FW18" s="962"/>
      <c r="FX18" s="962"/>
      <c r="FY18" s="459" t="s">
        <v>425</v>
      </c>
      <c r="FZ18" s="482">
        <f>COUNTA(FG18:FX18)</f>
        <v>0</v>
      </c>
      <c r="GA18" s="939"/>
      <c r="GB18" s="1016"/>
      <c r="GD18" s="1041">
        <v>46240</v>
      </c>
      <c r="GE18" s="960"/>
      <c r="GF18" s="960"/>
      <c r="GG18" s="960"/>
      <c r="GH18" s="960"/>
      <c r="GI18" s="960"/>
      <c r="GJ18" s="960"/>
      <c r="GK18" s="960"/>
      <c r="GL18" s="960"/>
      <c r="GM18" s="960"/>
      <c r="GN18" s="960"/>
      <c r="GO18" s="960"/>
      <c r="GP18" s="960"/>
      <c r="GQ18" s="961"/>
      <c r="GR18" s="962"/>
      <c r="GS18" s="963"/>
      <c r="GT18" s="961"/>
      <c r="GU18" s="962"/>
      <c r="GV18" s="962"/>
      <c r="GW18" s="459" t="s">
        <v>425</v>
      </c>
      <c r="GX18" s="482">
        <f>COUNTA(GE18:GV18)</f>
        <v>0</v>
      </c>
      <c r="GY18" s="939"/>
      <c r="GZ18" s="1016"/>
      <c r="HB18" s="1061">
        <v>46271</v>
      </c>
      <c r="HC18" s="960"/>
      <c r="HD18" s="960"/>
      <c r="HE18" s="960"/>
      <c r="HF18" s="960"/>
      <c r="HG18" s="960"/>
      <c r="HH18" s="960"/>
      <c r="HI18" s="960"/>
      <c r="HJ18" s="960"/>
      <c r="HK18" s="960"/>
      <c r="HL18" s="960"/>
      <c r="HM18" s="960"/>
      <c r="HN18" s="960"/>
      <c r="HO18" s="961"/>
      <c r="HP18" s="962"/>
      <c r="HQ18" s="963"/>
      <c r="HR18" s="961"/>
      <c r="HS18" s="962"/>
      <c r="HT18" s="962"/>
      <c r="HU18" s="459" t="s">
        <v>425</v>
      </c>
      <c r="HV18" s="482">
        <f>COUNTA(HC18:HT18)</f>
        <v>0</v>
      </c>
      <c r="HW18" s="939"/>
      <c r="HX18" s="1016"/>
      <c r="HZ18" s="1074">
        <v>46301</v>
      </c>
      <c r="IA18" s="960"/>
      <c r="IB18" s="960"/>
      <c r="IC18" s="960"/>
      <c r="ID18" s="960"/>
      <c r="IE18" s="960"/>
      <c r="IF18" s="960"/>
      <c r="IG18" s="960"/>
      <c r="IH18" s="960"/>
      <c r="II18" s="960"/>
      <c r="IJ18" s="960"/>
      <c r="IK18" s="960"/>
      <c r="IL18" s="960"/>
      <c r="IM18" s="961"/>
      <c r="IN18" s="962"/>
      <c r="IO18" s="963"/>
      <c r="IP18" s="961"/>
      <c r="IQ18" s="962"/>
      <c r="IR18" s="962"/>
      <c r="IS18" s="459" t="s">
        <v>425</v>
      </c>
      <c r="IT18" s="482">
        <f>COUNTA(IA18:IR18)</f>
        <v>0</v>
      </c>
      <c r="IU18" s="939"/>
      <c r="IV18" s="1016"/>
      <c r="IX18" s="1048">
        <v>46332</v>
      </c>
      <c r="IY18" s="960"/>
      <c r="IZ18" s="960"/>
      <c r="JA18" s="960"/>
      <c r="JB18" s="960"/>
      <c r="JC18" s="960"/>
      <c r="JD18" s="960"/>
      <c r="JE18" s="960"/>
      <c r="JF18" s="960"/>
      <c r="JG18" s="960"/>
      <c r="JH18" s="960"/>
      <c r="JI18" s="960"/>
      <c r="JJ18" s="960"/>
      <c r="JK18" s="961"/>
      <c r="JL18" s="962"/>
      <c r="JM18" s="963"/>
      <c r="JN18" s="961"/>
      <c r="JO18" s="962"/>
      <c r="JP18" s="962"/>
      <c r="JQ18" s="459" t="s">
        <v>425</v>
      </c>
      <c r="JR18" s="482">
        <f>COUNTA(IY18:JP18)</f>
        <v>0</v>
      </c>
      <c r="JS18" s="939"/>
      <c r="JT18" s="1016"/>
      <c r="JV18" s="1061">
        <v>46362</v>
      </c>
      <c r="JW18" s="960"/>
      <c r="JX18" s="960"/>
      <c r="JY18" s="960"/>
      <c r="JZ18" s="960"/>
      <c r="KA18" s="960"/>
      <c r="KB18" s="960"/>
      <c r="KC18" s="960"/>
      <c r="KD18" s="960"/>
      <c r="KE18" s="960"/>
      <c r="KF18" s="960"/>
      <c r="KG18" s="960"/>
      <c r="KH18" s="960"/>
      <c r="KI18" s="961"/>
      <c r="KJ18" s="962"/>
      <c r="KK18" s="963"/>
      <c r="KL18" s="961"/>
      <c r="KM18" s="962"/>
      <c r="KN18" s="962"/>
      <c r="KO18" s="459" t="s">
        <v>425</v>
      </c>
      <c r="KP18" s="482">
        <f>COUNTA(JW18:KN18)</f>
        <v>0</v>
      </c>
      <c r="KQ18" s="939"/>
      <c r="KR18" s="1016"/>
      <c r="KT18" s="1038">
        <v>46393</v>
      </c>
      <c r="KU18" s="960"/>
      <c r="KV18" s="960"/>
      <c r="KW18" s="960"/>
      <c r="KX18" s="960"/>
      <c r="KY18" s="960"/>
      <c r="KZ18" s="960"/>
      <c r="LA18" s="960"/>
      <c r="LB18" s="960"/>
      <c r="LC18" s="960"/>
      <c r="LD18" s="960"/>
      <c r="LE18" s="960"/>
      <c r="LF18" s="960"/>
      <c r="LG18" s="961"/>
      <c r="LH18" s="962"/>
      <c r="LI18" s="963"/>
      <c r="LJ18" s="961"/>
      <c r="LK18" s="962"/>
      <c r="LL18" s="962"/>
      <c r="LM18" s="459" t="s">
        <v>425</v>
      </c>
      <c r="LN18" s="482">
        <f>COUNTA(KU18:LL18)</f>
        <v>0</v>
      </c>
      <c r="LO18" s="939"/>
      <c r="LP18" s="1016"/>
      <c r="LR18" s="61">
        <v>16</v>
      </c>
      <c r="LS18" s="62" t="str" cm="1">
        <f t="array" ref="LS18">IF(INDEX(S:S, (ROW()-ROW($S$3))*3 + 3) &lt;&gt; "", "✔", "")</f>
        <v>✔</v>
      </c>
      <c r="LT18" s="61">
        <v>16</v>
      </c>
      <c r="LU18" s="62" t="str" cm="1">
        <f t="array" ref="LU18">IF(INDEX(AQ:AQ, (ROW()-ROW($AQ$3))*3 + 3) &lt;&gt; "", "✔", "")</f>
        <v>✔</v>
      </c>
      <c r="LV18" s="61">
        <v>16</v>
      </c>
      <c r="LW18" s="501" t="str" cm="1">
        <f t="array" ref="LW18">IF(INDEX(BO:BO, (ROW()-ROW($BO$3))*3 + 3) &lt;&gt; "", "✔", "")</f>
        <v>✔</v>
      </c>
      <c r="LX18" s="503">
        <v>16</v>
      </c>
      <c r="LY18" s="485" t="str" cm="1">
        <f t="array" ref="LY18">IF(INDEX(CM:CM, (ROW()-ROW($CM$3))*3 + 3) &lt;&gt; "", "✔", "")</f>
        <v/>
      </c>
      <c r="LZ18" s="507">
        <v>16</v>
      </c>
      <c r="MA18" s="485" t="str" cm="1">
        <f t="array" ref="MA18">IF(INDEX(DK:DK, (ROW()-ROW($DK$3))*3 + 3) &lt;&gt; "", "✔", "")</f>
        <v/>
      </c>
      <c r="MB18" s="503">
        <v>16</v>
      </c>
      <c r="MC18" s="485" t="str" cm="1">
        <f t="array" ref="MC18">IF(INDEX(EI:EI, (ROW()-ROW($EI$3))*3 + 3) &lt;&gt; "", "✔", "")</f>
        <v/>
      </c>
      <c r="MD18" s="503">
        <v>16</v>
      </c>
      <c r="ME18" s="485" t="str" cm="1">
        <f t="array" ref="ME18">IF(INDEX(FG:FG, (ROW()-ROW($FG$3))*3 + 3) &lt;&gt; "", "✔", "")</f>
        <v/>
      </c>
      <c r="MF18" s="503">
        <v>16</v>
      </c>
      <c r="MG18" s="485" t="str" cm="1">
        <f t="array" ref="MG18">IF(INDEX(GE:GE, (ROW()-ROW($GE$3))*3 + 3) &lt;&gt; "", "✔", "")</f>
        <v/>
      </c>
      <c r="MH18" s="503">
        <v>16</v>
      </c>
      <c r="MI18" s="485" t="str" cm="1">
        <f t="array" ref="MI18">IF(INDEX(HC:HC, (ROW()-ROW($HC$3))*3 + 3) &lt;&gt; "", "✔", "")</f>
        <v/>
      </c>
      <c r="MJ18" s="503">
        <v>16</v>
      </c>
      <c r="MK18" s="485" t="str" cm="1">
        <f t="array" ref="MK18">IF(INDEX(IA:IA, (ROW()-ROW($IA$3))*3 + 3) &lt;&gt; "", "✔", "")</f>
        <v/>
      </c>
      <c r="ML18" s="503">
        <v>16</v>
      </c>
      <c r="MM18" s="485" t="str" cm="1">
        <f t="array" ref="MM18">IF(INDEX(IY:IY, (ROW()-ROW($IY$3))*3 + 3) &lt;&gt; "", "✔", "")</f>
        <v/>
      </c>
      <c r="MN18" s="503">
        <v>16</v>
      </c>
      <c r="MO18" s="485" t="str" cm="1">
        <f t="array" ref="MO18">IF(INDEX(JW:JW, (ROW()-ROW($JW$3))*3 + 3) &lt;&gt; "", "✔", "")</f>
        <v/>
      </c>
      <c r="MP18" s="503">
        <v>16</v>
      </c>
      <c r="MQ18" s="13" t="str" cm="1">
        <f t="array" ref="MQ18">IF(INDEX(KU:KU, (ROW()-ROW($KU$3))*3 + 3) &lt;&gt; "", "✔", "")</f>
        <v/>
      </c>
    </row>
    <row r="19" spans="1:355" ht="18">
      <c r="A19" s="967" t="s">
        <v>546</v>
      </c>
      <c r="B19" s="729"/>
      <c r="C19" s="729"/>
      <c r="D19" s="729"/>
      <c r="E19" s="729"/>
      <c r="F19" s="729"/>
      <c r="G19" s="729"/>
      <c r="H19" s="729"/>
      <c r="I19" s="729"/>
      <c r="R19" s="857"/>
      <c r="S19" s="231" t="s">
        <v>59</v>
      </c>
      <c r="T19" s="231" t="s">
        <v>73</v>
      </c>
      <c r="U19" s="102" t="s">
        <v>4</v>
      </c>
      <c r="V19" s="107" t="s">
        <v>59</v>
      </c>
      <c r="W19" s="107" t="s">
        <v>73</v>
      </c>
      <c r="X19" s="108" t="s">
        <v>4</v>
      </c>
      <c r="Y19" s="107" t="s">
        <v>59</v>
      </c>
      <c r="Z19" s="107" t="s">
        <v>73</v>
      </c>
      <c r="AA19" s="108" t="s">
        <v>4</v>
      </c>
      <c r="AB19" s="107" t="s">
        <v>59</v>
      </c>
      <c r="AC19" s="107" t="s">
        <v>73</v>
      </c>
      <c r="AD19" s="108" t="s">
        <v>4</v>
      </c>
      <c r="AE19" s="107" t="s">
        <v>59</v>
      </c>
      <c r="AF19" s="107" t="s">
        <v>73</v>
      </c>
      <c r="AG19" s="108" t="s">
        <v>4</v>
      </c>
      <c r="AH19" s="107" t="s">
        <v>59</v>
      </c>
      <c r="AI19" s="107" t="s">
        <v>73</v>
      </c>
      <c r="AJ19" s="471" t="s">
        <v>4</v>
      </c>
      <c r="AK19" s="1004">
        <v>40</v>
      </c>
      <c r="AL19" s="1002">
        <f t="shared" ref="AL19" si="22">(S20*T20*U20)+(V20*W20*X20)+(Y20*Z20*AA20)+(AB20*AC20*AD20)+(AE20*AF20*AG20)+(AH20*AI20*AJ20)</f>
        <v>3096</v>
      </c>
      <c r="AM19" s="940"/>
      <c r="AN19" s="855"/>
      <c r="AO19" s="118"/>
      <c r="AP19" s="877"/>
      <c r="AQ19" s="231" t="s">
        <v>59</v>
      </c>
      <c r="AR19" s="231" t="s">
        <v>73</v>
      </c>
      <c r="AS19" s="102" t="s">
        <v>4</v>
      </c>
      <c r="AT19" s="231" t="s">
        <v>59</v>
      </c>
      <c r="AU19" s="231" t="s">
        <v>73</v>
      </c>
      <c r="AV19" s="102" t="s">
        <v>4</v>
      </c>
      <c r="AW19" s="231" t="s">
        <v>59</v>
      </c>
      <c r="AX19" s="231" t="s">
        <v>73</v>
      </c>
      <c r="AY19" s="102" t="s">
        <v>4</v>
      </c>
      <c r="AZ19" s="231" t="s">
        <v>59</v>
      </c>
      <c r="BA19" s="231" t="s">
        <v>73</v>
      </c>
      <c r="BB19" s="102" t="s">
        <v>4</v>
      </c>
      <c r="BC19" s="107" t="s">
        <v>59</v>
      </c>
      <c r="BD19" s="107" t="s">
        <v>73</v>
      </c>
      <c r="BE19" s="108" t="s">
        <v>4</v>
      </c>
      <c r="BF19" s="107" t="s">
        <v>59</v>
      </c>
      <c r="BG19" s="107" t="s">
        <v>73</v>
      </c>
      <c r="BH19" s="471" t="s">
        <v>4</v>
      </c>
      <c r="BI19" s="1004">
        <v>50</v>
      </c>
      <c r="BJ19" s="1003">
        <f t="shared" ref="BJ19" si="23">(AQ20*AR20*AS20)+(AT20*AU20*AV20)+(AW20*AX20*AY20)+(AZ20*BA20*BB20)+(BC20*BD20*BE20)+(BF20*BG20*BH20)</f>
        <v>5366.9222222222215</v>
      </c>
      <c r="BK19" s="940"/>
      <c r="BL19" s="1016"/>
      <c r="BM19" s="118"/>
      <c r="BN19" s="877"/>
      <c r="BO19" s="107"/>
      <c r="BP19" s="107"/>
      <c r="BQ19" s="108"/>
      <c r="BR19" s="107"/>
      <c r="BS19" s="107"/>
      <c r="BT19" s="108"/>
      <c r="BU19" s="107"/>
      <c r="BV19" s="107"/>
      <c r="BW19" s="108"/>
      <c r="BX19" s="107"/>
      <c r="BY19" s="107"/>
      <c r="BZ19" s="108"/>
      <c r="CA19" s="107"/>
      <c r="CB19" s="107"/>
      <c r="CC19" s="108"/>
      <c r="CD19" s="107"/>
      <c r="CE19" s="107"/>
      <c r="CF19" s="471"/>
      <c r="CG19" s="1004">
        <v>0</v>
      </c>
      <c r="CH19" s="1005">
        <f t="shared" ref="CH19" si="24">(BO20*BP20*BQ20)+(BR20*BS20*BT20)+(BU20*BV20*BW20)+(BX20*BY20*BZ20)+(CA20*CB20*CC20)+(CD20*CE20*CF20)</f>
        <v>0</v>
      </c>
      <c r="CI19" s="940"/>
      <c r="CJ19" s="1016"/>
      <c r="CL19" s="1065"/>
      <c r="CM19" s="231" t="s">
        <v>59</v>
      </c>
      <c r="CN19" s="231" t="s">
        <v>73</v>
      </c>
      <c r="CO19" s="102" t="s">
        <v>4</v>
      </c>
      <c r="CP19" s="107" t="s">
        <v>59</v>
      </c>
      <c r="CQ19" s="107" t="s">
        <v>73</v>
      </c>
      <c r="CR19" s="108" t="s">
        <v>4</v>
      </c>
      <c r="CS19" s="107" t="s">
        <v>59</v>
      </c>
      <c r="CT19" s="107" t="s">
        <v>73</v>
      </c>
      <c r="CU19" s="108" t="s">
        <v>4</v>
      </c>
      <c r="CV19" s="107" t="s">
        <v>59</v>
      </c>
      <c r="CW19" s="107" t="s">
        <v>73</v>
      </c>
      <c r="CX19" s="108" t="s">
        <v>4</v>
      </c>
      <c r="CY19" s="107" t="s">
        <v>59</v>
      </c>
      <c r="CZ19" s="107" t="s">
        <v>73</v>
      </c>
      <c r="DA19" s="108" t="s">
        <v>4</v>
      </c>
      <c r="DB19" s="107" t="s">
        <v>59</v>
      </c>
      <c r="DC19" s="107" t="s">
        <v>73</v>
      </c>
      <c r="DD19" s="471" t="s">
        <v>4</v>
      </c>
      <c r="DE19" s="1004">
        <f>47</f>
        <v>47</v>
      </c>
      <c r="DF19" s="1005">
        <f>(CM20*CN20*CO20)+(CP20*CQ20*CR20)+(CS20*CT20*CU20)+(CV20*CW20*CX20)+(CY20*CZ20*DA20)+(DB20*DC20*DD20)</f>
        <v>3637.8</v>
      </c>
      <c r="DG19" s="940"/>
      <c r="DH19" s="1016"/>
      <c r="DJ19" s="1039"/>
      <c r="DK19" s="460" t="s">
        <v>59</v>
      </c>
      <c r="DL19" s="460" t="s">
        <v>73</v>
      </c>
      <c r="DM19" s="461" t="s">
        <v>4</v>
      </c>
      <c r="DN19" s="460" t="s">
        <v>59</v>
      </c>
      <c r="DO19" s="460" t="s">
        <v>73</v>
      </c>
      <c r="DP19" s="461" t="s">
        <v>4</v>
      </c>
      <c r="DQ19" s="460" t="s">
        <v>59</v>
      </c>
      <c r="DR19" s="460" t="s">
        <v>73</v>
      </c>
      <c r="DS19" s="461" t="s">
        <v>4</v>
      </c>
      <c r="DT19" s="460" t="s">
        <v>59</v>
      </c>
      <c r="DU19" s="460" t="s">
        <v>73</v>
      </c>
      <c r="DV19" s="461" t="s">
        <v>4</v>
      </c>
      <c r="DW19" s="460" t="s">
        <v>59</v>
      </c>
      <c r="DX19" s="460" t="s">
        <v>73</v>
      </c>
      <c r="DY19" s="461" t="s">
        <v>4</v>
      </c>
      <c r="DZ19" s="460" t="s">
        <v>59</v>
      </c>
      <c r="EA19" s="460" t="s">
        <v>73</v>
      </c>
      <c r="EB19" s="473" t="s">
        <v>4</v>
      </c>
      <c r="EC19" s="1004"/>
      <c r="ED19" s="1005">
        <f>(DK20*DL20*DM20)+(DN20*DO20*DP20)+(DQ20*DR20*DS20)+(DT20*DU20*DV20)+(DW20*DX20*DY20)+(DZ20*EA20*EB20)</f>
        <v>0</v>
      </c>
      <c r="EE19" s="940"/>
      <c r="EF19" s="1016"/>
      <c r="EH19" s="1052"/>
      <c r="EI19" s="491" t="s">
        <v>59</v>
      </c>
      <c r="EJ19" s="491" t="s">
        <v>73</v>
      </c>
      <c r="EK19" s="492" t="s">
        <v>4</v>
      </c>
      <c r="EL19" s="491" t="s">
        <v>59</v>
      </c>
      <c r="EM19" s="491" t="s">
        <v>73</v>
      </c>
      <c r="EN19" s="492" t="s">
        <v>4</v>
      </c>
      <c r="EO19" s="491" t="s">
        <v>59</v>
      </c>
      <c r="EP19" s="491" t="s">
        <v>73</v>
      </c>
      <c r="EQ19" s="492" t="s">
        <v>4</v>
      </c>
      <c r="ER19" s="491" t="s">
        <v>59</v>
      </c>
      <c r="ES19" s="491" t="s">
        <v>73</v>
      </c>
      <c r="ET19" s="492" t="s">
        <v>4</v>
      </c>
      <c r="EU19" s="491" t="s">
        <v>59</v>
      </c>
      <c r="EV19" s="491" t="s">
        <v>73</v>
      </c>
      <c r="EW19" s="492" t="s">
        <v>4</v>
      </c>
      <c r="EX19" s="491" t="s">
        <v>59</v>
      </c>
      <c r="EY19" s="491" t="s">
        <v>73</v>
      </c>
      <c r="EZ19" s="493" t="s">
        <v>4</v>
      </c>
      <c r="FA19" s="1071"/>
      <c r="FB19" s="1072">
        <f>(EI20*EJ20*EK20)+(EL20*EM20*EN20)+(EO20*EP20*EQ20)+(ER20*ES20*ET20)+(EU20*EV20*EW20)+(EX20*EY20*EZ20)</f>
        <v>0</v>
      </c>
      <c r="FC19" s="1068"/>
      <c r="FD19" s="1070"/>
      <c r="FF19" s="1065"/>
      <c r="FG19" s="460" t="s">
        <v>59</v>
      </c>
      <c r="FH19" s="460" t="s">
        <v>73</v>
      </c>
      <c r="FI19" s="461" t="s">
        <v>4</v>
      </c>
      <c r="FJ19" s="460" t="s">
        <v>59</v>
      </c>
      <c r="FK19" s="460" t="s">
        <v>73</v>
      </c>
      <c r="FL19" s="461" t="s">
        <v>4</v>
      </c>
      <c r="FM19" s="460" t="s">
        <v>59</v>
      </c>
      <c r="FN19" s="460" t="s">
        <v>73</v>
      </c>
      <c r="FO19" s="461" t="s">
        <v>4</v>
      </c>
      <c r="FP19" s="460" t="s">
        <v>59</v>
      </c>
      <c r="FQ19" s="460" t="s">
        <v>73</v>
      </c>
      <c r="FR19" s="461" t="s">
        <v>4</v>
      </c>
      <c r="FS19" s="460" t="s">
        <v>59</v>
      </c>
      <c r="FT19" s="460" t="s">
        <v>73</v>
      </c>
      <c r="FU19" s="461" t="s">
        <v>4</v>
      </c>
      <c r="FV19" s="460" t="s">
        <v>59</v>
      </c>
      <c r="FW19" s="460" t="s">
        <v>73</v>
      </c>
      <c r="FX19" s="473" t="s">
        <v>4</v>
      </c>
      <c r="FY19" s="1004"/>
      <c r="FZ19" s="1005">
        <f>(FG20*FH20*FI20)+(FJ20*FK20*FL20)+(FM20*FN20*FO20)+(FP20*FQ20*FR20)+(FS20*FT20*FU20)+(FV20*FW20*FX20)</f>
        <v>0</v>
      </c>
      <c r="GA19" s="940"/>
      <c r="GB19" s="1016"/>
      <c r="GD19" s="1042"/>
      <c r="GE19" s="460" t="s">
        <v>59</v>
      </c>
      <c r="GF19" s="460" t="s">
        <v>73</v>
      </c>
      <c r="GG19" s="461" t="s">
        <v>4</v>
      </c>
      <c r="GH19" s="460" t="s">
        <v>59</v>
      </c>
      <c r="GI19" s="460" t="s">
        <v>73</v>
      </c>
      <c r="GJ19" s="461" t="s">
        <v>4</v>
      </c>
      <c r="GK19" s="460" t="s">
        <v>59</v>
      </c>
      <c r="GL19" s="460" t="s">
        <v>73</v>
      </c>
      <c r="GM19" s="461" t="s">
        <v>4</v>
      </c>
      <c r="GN19" s="460" t="s">
        <v>59</v>
      </c>
      <c r="GO19" s="460" t="s">
        <v>73</v>
      </c>
      <c r="GP19" s="461" t="s">
        <v>4</v>
      </c>
      <c r="GQ19" s="460" t="s">
        <v>59</v>
      </c>
      <c r="GR19" s="460" t="s">
        <v>73</v>
      </c>
      <c r="GS19" s="461" t="s">
        <v>4</v>
      </c>
      <c r="GT19" s="460" t="s">
        <v>59</v>
      </c>
      <c r="GU19" s="460" t="s">
        <v>73</v>
      </c>
      <c r="GV19" s="473" t="s">
        <v>4</v>
      </c>
      <c r="GW19" s="1004"/>
      <c r="GX19" s="1005">
        <f>(GE20*GF20*GG20)+(GH20*GI20*GJ20)+(GK20*GL20*GM20)+(GN20*GO20*GP20)+(GQ20*GR20*GS20)+(GT20*GU20*GV20)</f>
        <v>0</v>
      </c>
      <c r="GY19" s="940"/>
      <c r="GZ19" s="1016"/>
      <c r="HB19" s="1062"/>
      <c r="HC19" s="460" t="s">
        <v>59</v>
      </c>
      <c r="HD19" s="460" t="s">
        <v>73</v>
      </c>
      <c r="HE19" s="461" t="s">
        <v>4</v>
      </c>
      <c r="HF19" s="460" t="s">
        <v>59</v>
      </c>
      <c r="HG19" s="460" t="s">
        <v>73</v>
      </c>
      <c r="HH19" s="461" t="s">
        <v>4</v>
      </c>
      <c r="HI19" s="460" t="s">
        <v>59</v>
      </c>
      <c r="HJ19" s="460" t="s">
        <v>73</v>
      </c>
      <c r="HK19" s="461" t="s">
        <v>4</v>
      </c>
      <c r="HL19" s="460" t="s">
        <v>59</v>
      </c>
      <c r="HM19" s="460" t="s">
        <v>73</v>
      </c>
      <c r="HN19" s="461" t="s">
        <v>4</v>
      </c>
      <c r="HO19" s="460" t="s">
        <v>59</v>
      </c>
      <c r="HP19" s="460" t="s">
        <v>73</v>
      </c>
      <c r="HQ19" s="461" t="s">
        <v>4</v>
      </c>
      <c r="HR19" s="460" t="s">
        <v>59</v>
      </c>
      <c r="HS19" s="460" t="s">
        <v>73</v>
      </c>
      <c r="HT19" s="473" t="s">
        <v>4</v>
      </c>
      <c r="HU19" s="1004"/>
      <c r="HV19" s="1005">
        <f>(HC20*HD20*HE20)+(HF20*HG20*HH20)+(HI20*HJ20*HK20)+(HL20*HM20*HN20)+(HO20*HP20*HQ20)+(HR20*HS20*HT20)</f>
        <v>0</v>
      </c>
      <c r="HW19" s="940"/>
      <c r="HX19" s="1016"/>
      <c r="HZ19" s="1075"/>
      <c r="IA19" s="460" t="s">
        <v>59</v>
      </c>
      <c r="IB19" s="460" t="s">
        <v>73</v>
      </c>
      <c r="IC19" s="461" t="s">
        <v>4</v>
      </c>
      <c r="ID19" s="460" t="s">
        <v>59</v>
      </c>
      <c r="IE19" s="460" t="s">
        <v>73</v>
      </c>
      <c r="IF19" s="461" t="s">
        <v>4</v>
      </c>
      <c r="IG19" s="460" t="s">
        <v>59</v>
      </c>
      <c r="IH19" s="460" t="s">
        <v>73</v>
      </c>
      <c r="II19" s="461" t="s">
        <v>4</v>
      </c>
      <c r="IJ19" s="460" t="s">
        <v>59</v>
      </c>
      <c r="IK19" s="460" t="s">
        <v>73</v>
      </c>
      <c r="IL19" s="461" t="s">
        <v>4</v>
      </c>
      <c r="IM19" s="460" t="s">
        <v>59</v>
      </c>
      <c r="IN19" s="460" t="s">
        <v>73</v>
      </c>
      <c r="IO19" s="461" t="s">
        <v>4</v>
      </c>
      <c r="IP19" s="460" t="s">
        <v>59</v>
      </c>
      <c r="IQ19" s="460" t="s">
        <v>73</v>
      </c>
      <c r="IR19" s="473" t="s">
        <v>4</v>
      </c>
      <c r="IS19" s="1004"/>
      <c r="IT19" s="1005">
        <f>(IA20*IB20*IC20)+(ID20*IE20*IF20)+(IG20*IH20*II20)+(IJ20*IK20*IL20)+(IM20*IN20*IO20)+(IP20*IQ20*IR20)</f>
        <v>0</v>
      </c>
      <c r="IU19" s="940"/>
      <c r="IV19" s="1016"/>
      <c r="IX19" s="1049"/>
      <c r="IY19" s="460" t="s">
        <v>59</v>
      </c>
      <c r="IZ19" s="460" t="s">
        <v>73</v>
      </c>
      <c r="JA19" s="461" t="s">
        <v>4</v>
      </c>
      <c r="JB19" s="460" t="s">
        <v>59</v>
      </c>
      <c r="JC19" s="460" t="s">
        <v>73</v>
      </c>
      <c r="JD19" s="461" t="s">
        <v>4</v>
      </c>
      <c r="JE19" s="460" t="s">
        <v>59</v>
      </c>
      <c r="JF19" s="460" t="s">
        <v>73</v>
      </c>
      <c r="JG19" s="461" t="s">
        <v>4</v>
      </c>
      <c r="JH19" s="460" t="s">
        <v>59</v>
      </c>
      <c r="JI19" s="460" t="s">
        <v>73</v>
      </c>
      <c r="JJ19" s="461" t="s">
        <v>4</v>
      </c>
      <c r="JK19" s="460" t="s">
        <v>59</v>
      </c>
      <c r="JL19" s="460" t="s">
        <v>73</v>
      </c>
      <c r="JM19" s="461" t="s">
        <v>4</v>
      </c>
      <c r="JN19" s="460" t="s">
        <v>59</v>
      </c>
      <c r="JO19" s="460" t="s">
        <v>73</v>
      </c>
      <c r="JP19" s="473" t="s">
        <v>4</v>
      </c>
      <c r="JQ19" s="1004"/>
      <c r="JR19" s="1005">
        <f>(IY20*IZ20*JA20)+(JB20*JC20*JD20)+(JE20*JF20*JG20)+(JH20*JI20*JJ20)+(JK20*JL20*JM20)+(JN20*JO20*JP20)</f>
        <v>0</v>
      </c>
      <c r="JS19" s="940"/>
      <c r="JT19" s="1016"/>
      <c r="JV19" s="1062"/>
      <c r="JW19" s="460" t="s">
        <v>59</v>
      </c>
      <c r="JX19" s="460" t="s">
        <v>73</v>
      </c>
      <c r="JY19" s="461" t="s">
        <v>4</v>
      </c>
      <c r="JZ19" s="460" t="s">
        <v>59</v>
      </c>
      <c r="KA19" s="460" t="s">
        <v>73</v>
      </c>
      <c r="KB19" s="461" t="s">
        <v>4</v>
      </c>
      <c r="KC19" s="460" t="s">
        <v>59</v>
      </c>
      <c r="KD19" s="460" t="s">
        <v>73</v>
      </c>
      <c r="KE19" s="461" t="s">
        <v>4</v>
      </c>
      <c r="KF19" s="460" t="s">
        <v>59</v>
      </c>
      <c r="KG19" s="460" t="s">
        <v>73</v>
      </c>
      <c r="KH19" s="461" t="s">
        <v>4</v>
      </c>
      <c r="KI19" s="460" t="s">
        <v>59</v>
      </c>
      <c r="KJ19" s="460" t="s">
        <v>73</v>
      </c>
      <c r="KK19" s="461" t="s">
        <v>4</v>
      </c>
      <c r="KL19" s="460" t="s">
        <v>59</v>
      </c>
      <c r="KM19" s="460" t="s">
        <v>73</v>
      </c>
      <c r="KN19" s="473" t="s">
        <v>4</v>
      </c>
      <c r="KO19" s="1004"/>
      <c r="KP19" s="1005">
        <f>(JW20*JX20*JY20)+(JZ20*KA20*KB20)+(KC20*KD20*KE20)+(KF20*KG20*KH20)+(KI20*KJ20*KK20)+(KL20*KM20*KN20)</f>
        <v>0</v>
      </c>
      <c r="KQ19" s="940"/>
      <c r="KR19" s="1016"/>
      <c r="KT19" s="1039"/>
      <c r="KU19" s="460" t="s">
        <v>59</v>
      </c>
      <c r="KV19" s="460" t="s">
        <v>73</v>
      </c>
      <c r="KW19" s="461" t="s">
        <v>4</v>
      </c>
      <c r="KX19" s="460" t="s">
        <v>59</v>
      </c>
      <c r="KY19" s="460" t="s">
        <v>73</v>
      </c>
      <c r="KZ19" s="461" t="s">
        <v>4</v>
      </c>
      <c r="LA19" s="460" t="s">
        <v>59</v>
      </c>
      <c r="LB19" s="460" t="s">
        <v>73</v>
      </c>
      <c r="LC19" s="461" t="s">
        <v>4</v>
      </c>
      <c r="LD19" s="460" t="s">
        <v>59</v>
      </c>
      <c r="LE19" s="460" t="s">
        <v>73</v>
      </c>
      <c r="LF19" s="461" t="s">
        <v>4</v>
      </c>
      <c r="LG19" s="460" t="s">
        <v>59</v>
      </c>
      <c r="LH19" s="460" t="s">
        <v>73</v>
      </c>
      <c r="LI19" s="461" t="s">
        <v>4</v>
      </c>
      <c r="LJ19" s="460" t="s">
        <v>59</v>
      </c>
      <c r="LK19" s="460" t="s">
        <v>73</v>
      </c>
      <c r="LL19" s="473" t="s">
        <v>4</v>
      </c>
      <c r="LM19" s="1004"/>
      <c r="LN19" s="1005">
        <f>(KU20*KV20*KW20)+(KX20*KY20*KZ20)+(LA20*LB20*LC20)+(LD20*LE20*LF20)+(LG20*LH20*LI20)+(LJ20*LK20*LL20)</f>
        <v>0</v>
      </c>
      <c r="LO19" s="940"/>
      <c r="LP19" s="1016"/>
      <c r="LR19" s="61">
        <v>17</v>
      </c>
      <c r="LS19" s="62" t="str" cm="1">
        <f t="array" ref="LS19">IF(INDEX(S:S, (ROW()-ROW($S$3))*3 + 3) &lt;&gt; "", "✔", "")</f>
        <v/>
      </c>
      <c r="LT19" s="61">
        <v>17</v>
      </c>
      <c r="LU19" s="62" t="str" cm="1">
        <f t="array" ref="LU19">IF(INDEX(AQ:AQ, (ROW()-ROW($AQ$3))*3 + 3) &lt;&gt; "", "✔", "")</f>
        <v>✔</v>
      </c>
      <c r="LV19" s="61">
        <v>17</v>
      </c>
      <c r="LW19" s="501" t="str" cm="1">
        <f t="array" ref="LW19">IF(INDEX(BO:BO, (ROW()-ROW($BO$3))*3 + 3) &lt;&gt; "", "✔", "")</f>
        <v>✔</v>
      </c>
      <c r="LX19" s="503">
        <v>17</v>
      </c>
      <c r="LY19" s="485" t="str" cm="1">
        <f t="array" ref="LY19">IF(INDEX(CM:CM, (ROW()-ROW($CM$3))*3 + 3) &lt;&gt; "", "✔", "")</f>
        <v>✔</v>
      </c>
      <c r="LZ19" s="507">
        <v>17</v>
      </c>
      <c r="MA19" s="485" t="str" cm="1">
        <f t="array" ref="MA19">IF(INDEX(DK:DK, (ROW()-ROW($DK$3))*3 + 3) &lt;&gt; "", "✔", "")</f>
        <v/>
      </c>
      <c r="MB19" s="503">
        <v>17</v>
      </c>
      <c r="MC19" s="485" t="str" cm="1">
        <f t="array" ref="MC19">IF(INDEX(EI:EI, (ROW()-ROW($EI$3))*3 + 3) &lt;&gt; "", "✔", "")</f>
        <v/>
      </c>
      <c r="MD19" s="503">
        <v>17</v>
      </c>
      <c r="ME19" s="485" t="str" cm="1">
        <f t="array" ref="ME19">IF(INDEX(FG:FG, (ROW()-ROW($FG$3))*3 + 3) &lt;&gt; "", "✔", "")</f>
        <v/>
      </c>
      <c r="MF19" s="503">
        <v>17</v>
      </c>
      <c r="MG19" s="485" t="str" cm="1">
        <f t="array" ref="MG19">IF(INDEX(GE:GE, (ROW()-ROW($GE$3))*3 + 3) &lt;&gt; "", "✔", "")</f>
        <v/>
      </c>
      <c r="MH19" s="503">
        <v>17</v>
      </c>
      <c r="MI19" s="485" t="str" cm="1">
        <f t="array" ref="MI19">IF(INDEX(HC:HC, (ROW()-ROW($HC$3))*3 + 3) &lt;&gt; "", "✔", "")</f>
        <v/>
      </c>
      <c r="MJ19" s="503">
        <v>17</v>
      </c>
      <c r="MK19" s="485" t="str" cm="1">
        <f t="array" ref="MK19">IF(INDEX(IA:IA, (ROW()-ROW($IA$3))*3 + 3) &lt;&gt; "", "✔", "")</f>
        <v/>
      </c>
      <c r="ML19" s="503">
        <v>17</v>
      </c>
      <c r="MM19" s="485" t="str" cm="1">
        <f t="array" ref="MM19">IF(INDEX(IY:IY, (ROW()-ROW($IY$3))*3 + 3) &lt;&gt; "", "✔", "")</f>
        <v/>
      </c>
      <c r="MN19" s="503">
        <v>17</v>
      </c>
      <c r="MO19" s="485" t="str" cm="1">
        <f t="array" ref="MO19">IF(INDEX(JW:JW, (ROW()-ROW($JW$3))*3 + 3) &lt;&gt; "", "✔", "")</f>
        <v/>
      </c>
      <c r="MP19" s="503">
        <v>17</v>
      </c>
      <c r="MQ19" s="13" t="str" cm="1">
        <f t="array" ref="MQ19">IF(INDEX(KU:KU, (ROW()-ROW($KU$3))*3 + 3) &lt;&gt; "", "✔", "")</f>
        <v/>
      </c>
    </row>
    <row r="20" spans="1:355" ht="15">
      <c r="A20" s="968" t="s">
        <v>547</v>
      </c>
      <c r="B20" s="729"/>
      <c r="C20" s="729"/>
      <c r="D20" s="729"/>
      <c r="E20" s="729"/>
      <c r="F20" s="729"/>
      <c r="G20" s="729"/>
      <c r="H20" s="729"/>
      <c r="I20" s="729"/>
      <c r="R20" s="858"/>
      <c r="S20" s="229">
        <v>1</v>
      </c>
      <c r="T20" s="126">
        <v>40</v>
      </c>
      <c r="U20" s="229">
        <f>AN18</f>
        <v>77.400000000000006</v>
      </c>
      <c r="V20" s="233"/>
      <c r="W20" s="233"/>
      <c r="X20" s="233"/>
      <c r="Y20" s="233"/>
      <c r="Z20" s="233"/>
      <c r="AA20" s="233"/>
      <c r="AB20" s="233"/>
      <c r="AC20" s="233"/>
      <c r="AD20" s="233"/>
      <c r="AE20" s="233"/>
      <c r="AF20" s="233"/>
      <c r="AG20" s="233"/>
      <c r="AH20" s="233"/>
      <c r="AI20" s="233"/>
      <c r="AJ20" s="472"/>
      <c r="AK20" s="1004"/>
      <c r="AL20" s="1002"/>
      <c r="AM20" s="941"/>
      <c r="AN20" s="855"/>
      <c r="AO20" s="118"/>
      <c r="AP20" s="878"/>
      <c r="AQ20" s="229">
        <v>4</v>
      </c>
      <c r="AR20" s="229">
        <f>((12*1)+(10*3))/4</f>
        <v>10.5</v>
      </c>
      <c r="AS20" s="229">
        <f>((12.5*1)+(25*3))/4</f>
        <v>21.875</v>
      </c>
      <c r="AT20" s="229">
        <v>4</v>
      </c>
      <c r="AU20" s="126">
        <v>12</v>
      </c>
      <c r="AV20" s="229">
        <f>((32*1)+(63*3))/4</f>
        <v>55.25</v>
      </c>
      <c r="AW20" s="229">
        <v>4</v>
      </c>
      <c r="AX20" s="126">
        <f>((12*1)+(14*3))/4</f>
        <v>13.5</v>
      </c>
      <c r="AY20" s="229">
        <f>((15.9*1)+(34*3))/4</f>
        <v>29.475000000000001</v>
      </c>
      <c r="AZ20" s="229">
        <v>4</v>
      </c>
      <c r="BA20" s="126">
        <f>((((0.35/0.3)*0.5)*1)+(((1.1/1)*1)*3))/4</f>
        <v>0.97083333333333344</v>
      </c>
      <c r="BB20" s="229">
        <f>BL18*(2/3)</f>
        <v>52.666666666666664</v>
      </c>
      <c r="BC20" s="233"/>
      <c r="BD20" s="233"/>
      <c r="BE20" s="233"/>
      <c r="BF20" s="233"/>
      <c r="BG20" s="233"/>
      <c r="BH20" s="472"/>
      <c r="BI20" s="1004"/>
      <c r="BJ20" s="1003"/>
      <c r="BK20" s="941"/>
      <c r="BL20" s="1016"/>
      <c r="BM20" s="118"/>
      <c r="BN20" s="878"/>
      <c r="BO20" s="233"/>
      <c r="BP20" s="233"/>
      <c r="BQ20" s="233"/>
      <c r="BR20" s="233"/>
      <c r="BS20" s="233"/>
      <c r="BT20" s="233"/>
      <c r="BU20" s="233"/>
      <c r="BV20" s="233"/>
      <c r="BW20" s="233"/>
      <c r="BX20" s="233"/>
      <c r="BY20" s="233"/>
      <c r="BZ20" s="233"/>
      <c r="CA20" s="233"/>
      <c r="CB20" s="233"/>
      <c r="CC20" s="233"/>
      <c r="CD20" s="233"/>
      <c r="CE20" s="233"/>
      <c r="CF20" s="477"/>
      <c r="CG20" s="1004"/>
      <c r="CH20" s="1006"/>
      <c r="CI20" s="941"/>
      <c r="CJ20" s="1016"/>
      <c r="CL20" s="1066"/>
      <c r="CM20" s="229">
        <v>1</v>
      </c>
      <c r="CN20" s="229">
        <f>DE19</f>
        <v>47</v>
      </c>
      <c r="CO20" s="229">
        <f>DH18</f>
        <v>77.400000000000006</v>
      </c>
      <c r="CP20" s="233"/>
      <c r="CQ20" s="233"/>
      <c r="CR20" s="233"/>
      <c r="CS20" s="233"/>
      <c r="CT20" s="233"/>
      <c r="CU20" s="233"/>
      <c r="CV20" s="233"/>
      <c r="CW20" s="233"/>
      <c r="CX20" s="233"/>
      <c r="CY20" s="233"/>
      <c r="CZ20" s="233"/>
      <c r="DA20" s="233"/>
      <c r="DB20" s="233"/>
      <c r="DC20" s="233"/>
      <c r="DD20" s="472"/>
      <c r="DE20" s="1004"/>
      <c r="DF20" s="1006"/>
      <c r="DG20" s="941"/>
      <c r="DH20" s="1016"/>
      <c r="DJ20" s="1040"/>
      <c r="DK20" s="462"/>
      <c r="DL20" s="462"/>
      <c r="DM20" s="462"/>
      <c r="DN20" s="462"/>
      <c r="DO20" s="462"/>
      <c r="DP20" s="462"/>
      <c r="DQ20" s="462"/>
      <c r="DR20" s="462"/>
      <c r="DS20" s="462"/>
      <c r="DT20" s="462"/>
      <c r="DU20" s="462"/>
      <c r="DV20" s="462"/>
      <c r="DW20" s="462"/>
      <c r="DX20" s="462"/>
      <c r="DY20" s="462"/>
      <c r="DZ20" s="462"/>
      <c r="EA20" s="462"/>
      <c r="EB20" s="474"/>
      <c r="EC20" s="1004"/>
      <c r="ED20" s="1006"/>
      <c r="EE20" s="941"/>
      <c r="EF20" s="1016"/>
      <c r="EH20" s="1053"/>
      <c r="EI20" s="494"/>
      <c r="EJ20" s="494"/>
      <c r="EK20" s="494"/>
      <c r="EL20" s="494"/>
      <c r="EM20" s="494"/>
      <c r="EN20" s="494"/>
      <c r="EO20" s="494"/>
      <c r="EP20" s="494"/>
      <c r="EQ20" s="494"/>
      <c r="ER20" s="494"/>
      <c r="ES20" s="494"/>
      <c r="ET20" s="494"/>
      <c r="EU20" s="494"/>
      <c r="EV20" s="494"/>
      <c r="EW20" s="494"/>
      <c r="EX20" s="494"/>
      <c r="EY20" s="494"/>
      <c r="EZ20" s="495"/>
      <c r="FA20" s="1071"/>
      <c r="FB20" s="1073"/>
      <c r="FC20" s="1069"/>
      <c r="FD20" s="1070"/>
      <c r="FF20" s="1066"/>
      <c r="FG20" s="462"/>
      <c r="FH20" s="462"/>
      <c r="FI20" s="462"/>
      <c r="FJ20" s="462"/>
      <c r="FK20" s="462"/>
      <c r="FL20" s="462"/>
      <c r="FM20" s="462"/>
      <c r="FN20" s="462"/>
      <c r="FO20" s="462"/>
      <c r="FP20" s="462"/>
      <c r="FQ20" s="462"/>
      <c r="FR20" s="462"/>
      <c r="FS20" s="462"/>
      <c r="FT20" s="462"/>
      <c r="FU20" s="462"/>
      <c r="FV20" s="462"/>
      <c r="FW20" s="462"/>
      <c r="FX20" s="474"/>
      <c r="FY20" s="1004"/>
      <c r="FZ20" s="1006"/>
      <c r="GA20" s="941"/>
      <c r="GB20" s="1016"/>
      <c r="GD20" s="1043"/>
      <c r="GE20" s="462"/>
      <c r="GF20" s="462"/>
      <c r="GG20" s="462"/>
      <c r="GH20" s="462"/>
      <c r="GI20" s="462"/>
      <c r="GJ20" s="462"/>
      <c r="GK20" s="462"/>
      <c r="GL20" s="462"/>
      <c r="GM20" s="462"/>
      <c r="GN20" s="462"/>
      <c r="GO20" s="462"/>
      <c r="GP20" s="462"/>
      <c r="GQ20" s="462"/>
      <c r="GR20" s="462"/>
      <c r="GS20" s="462"/>
      <c r="GT20" s="462"/>
      <c r="GU20" s="462"/>
      <c r="GV20" s="474"/>
      <c r="GW20" s="1004"/>
      <c r="GX20" s="1006"/>
      <c r="GY20" s="941"/>
      <c r="GZ20" s="1016"/>
      <c r="HB20" s="1063"/>
      <c r="HC20" s="462"/>
      <c r="HD20" s="462"/>
      <c r="HE20" s="462"/>
      <c r="HF20" s="462"/>
      <c r="HG20" s="462"/>
      <c r="HH20" s="462"/>
      <c r="HI20" s="462"/>
      <c r="HJ20" s="462"/>
      <c r="HK20" s="462"/>
      <c r="HL20" s="462"/>
      <c r="HM20" s="462"/>
      <c r="HN20" s="462"/>
      <c r="HO20" s="462"/>
      <c r="HP20" s="462"/>
      <c r="HQ20" s="462"/>
      <c r="HR20" s="462"/>
      <c r="HS20" s="462"/>
      <c r="HT20" s="474"/>
      <c r="HU20" s="1004"/>
      <c r="HV20" s="1006"/>
      <c r="HW20" s="941"/>
      <c r="HX20" s="1016"/>
      <c r="HZ20" s="1076"/>
      <c r="IA20" s="462"/>
      <c r="IB20" s="462"/>
      <c r="IC20" s="462"/>
      <c r="ID20" s="462"/>
      <c r="IE20" s="462"/>
      <c r="IF20" s="462"/>
      <c r="IG20" s="462"/>
      <c r="IH20" s="462"/>
      <c r="II20" s="462"/>
      <c r="IJ20" s="462"/>
      <c r="IK20" s="462"/>
      <c r="IL20" s="462"/>
      <c r="IM20" s="462"/>
      <c r="IN20" s="462"/>
      <c r="IO20" s="462"/>
      <c r="IP20" s="462"/>
      <c r="IQ20" s="462"/>
      <c r="IR20" s="474"/>
      <c r="IS20" s="1004"/>
      <c r="IT20" s="1006"/>
      <c r="IU20" s="941"/>
      <c r="IV20" s="1016"/>
      <c r="IX20" s="1050"/>
      <c r="IY20" s="462"/>
      <c r="IZ20" s="462"/>
      <c r="JA20" s="462"/>
      <c r="JB20" s="462"/>
      <c r="JC20" s="462"/>
      <c r="JD20" s="462"/>
      <c r="JE20" s="462"/>
      <c r="JF20" s="462"/>
      <c r="JG20" s="462"/>
      <c r="JH20" s="462"/>
      <c r="JI20" s="462"/>
      <c r="JJ20" s="462"/>
      <c r="JK20" s="462"/>
      <c r="JL20" s="462"/>
      <c r="JM20" s="462"/>
      <c r="JN20" s="462"/>
      <c r="JO20" s="462"/>
      <c r="JP20" s="474"/>
      <c r="JQ20" s="1004"/>
      <c r="JR20" s="1006"/>
      <c r="JS20" s="941"/>
      <c r="JT20" s="1016"/>
      <c r="JV20" s="1063"/>
      <c r="JW20" s="462"/>
      <c r="JX20" s="462"/>
      <c r="JY20" s="462"/>
      <c r="JZ20" s="462"/>
      <c r="KA20" s="462"/>
      <c r="KB20" s="462"/>
      <c r="KC20" s="462"/>
      <c r="KD20" s="462"/>
      <c r="KE20" s="462"/>
      <c r="KF20" s="462"/>
      <c r="KG20" s="462"/>
      <c r="KH20" s="462"/>
      <c r="KI20" s="462"/>
      <c r="KJ20" s="462"/>
      <c r="KK20" s="462"/>
      <c r="KL20" s="462"/>
      <c r="KM20" s="462"/>
      <c r="KN20" s="474"/>
      <c r="KO20" s="1004"/>
      <c r="KP20" s="1006"/>
      <c r="KQ20" s="941"/>
      <c r="KR20" s="1016"/>
      <c r="KT20" s="1040"/>
      <c r="KU20" s="462"/>
      <c r="KV20" s="462"/>
      <c r="KW20" s="462"/>
      <c r="KX20" s="462"/>
      <c r="KY20" s="462"/>
      <c r="KZ20" s="462"/>
      <c r="LA20" s="462"/>
      <c r="LB20" s="462"/>
      <c r="LC20" s="462"/>
      <c r="LD20" s="462"/>
      <c r="LE20" s="462"/>
      <c r="LF20" s="462"/>
      <c r="LG20" s="462"/>
      <c r="LH20" s="462"/>
      <c r="LI20" s="462"/>
      <c r="LJ20" s="462"/>
      <c r="LK20" s="462"/>
      <c r="LL20" s="474"/>
      <c r="LM20" s="1004"/>
      <c r="LN20" s="1006"/>
      <c r="LO20" s="941"/>
      <c r="LP20" s="1016"/>
      <c r="LR20" s="61">
        <v>18</v>
      </c>
      <c r="LS20" s="62" t="str" cm="1">
        <f t="array" ref="LS20">IF(INDEX(S:S, (ROW()-ROW($S$3))*3 + 3) &lt;&gt; "", "✔", "")</f>
        <v>✔</v>
      </c>
      <c r="LT20" s="61">
        <v>18</v>
      </c>
      <c r="LU20" s="62" t="str" cm="1">
        <f t="array" ref="LU20">IF(INDEX(AQ:AQ, (ROW()-ROW($AQ$3))*3 + 3) &lt;&gt; "", "✔", "")</f>
        <v>✔</v>
      </c>
      <c r="LV20" s="61">
        <v>18</v>
      </c>
      <c r="LW20" s="501" t="str" cm="1">
        <f t="array" ref="LW20">IF(INDEX(BO:BO, (ROW()-ROW($BO$3))*3 + 3) &lt;&gt; "", "✔", "")</f>
        <v>✔</v>
      </c>
      <c r="LX20" s="503">
        <v>18</v>
      </c>
      <c r="LY20" s="485" t="str" cm="1">
        <f t="array" ref="LY20">IF(INDEX(CM:CM, (ROW()-ROW($CM$3))*3 + 3) &lt;&gt; "", "✔", "")</f>
        <v/>
      </c>
      <c r="LZ20" s="507">
        <v>18</v>
      </c>
      <c r="MA20" s="485" t="str" cm="1">
        <f t="array" ref="MA20">IF(INDEX(DK:DK, (ROW()-ROW($DK$3))*3 + 3) &lt;&gt; "", "✔", "")</f>
        <v/>
      </c>
      <c r="MB20" s="503">
        <v>18</v>
      </c>
      <c r="MC20" s="485" t="str" cm="1">
        <f t="array" ref="MC20">IF(INDEX(EI:EI, (ROW()-ROW($EI$3))*3 + 3) &lt;&gt; "", "✔", "")</f>
        <v/>
      </c>
      <c r="MD20" s="503">
        <v>18</v>
      </c>
      <c r="ME20" s="485" t="str" cm="1">
        <f t="array" ref="ME20">IF(INDEX(FG:FG, (ROW()-ROW($FG$3))*3 + 3) &lt;&gt; "", "✔", "")</f>
        <v/>
      </c>
      <c r="MF20" s="503">
        <v>18</v>
      </c>
      <c r="MG20" s="485" t="str" cm="1">
        <f t="array" ref="MG20">IF(INDEX(GE:GE, (ROW()-ROW($GE$3))*3 + 3) &lt;&gt; "", "✔", "")</f>
        <v/>
      </c>
      <c r="MH20" s="503">
        <v>18</v>
      </c>
      <c r="MI20" s="485" t="str" cm="1">
        <f t="array" ref="MI20">IF(INDEX(HC:HC, (ROW()-ROW($HC$3))*3 + 3) &lt;&gt; "", "✔", "")</f>
        <v/>
      </c>
      <c r="MJ20" s="503">
        <v>18</v>
      </c>
      <c r="MK20" s="485" t="str" cm="1">
        <f t="array" ref="MK20">IF(INDEX(IA:IA, (ROW()-ROW($IA$3))*3 + 3) &lt;&gt; "", "✔", "")</f>
        <v/>
      </c>
      <c r="ML20" s="503">
        <v>18</v>
      </c>
      <c r="MM20" s="485" t="str" cm="1">
        <f t="array" ref="MM20">IF(INDEX(IY:IY, (ROW()-ROW($IY$3))*3 + 3) &lt;&gt; "", "✔", "")</f>
        <v/>
      </c>
      <c r="MN20" s="503">
        <v>18</v>
      </c>
      <c r="MO20" s="485" t="str" cm="1">
        <f t="array" ref="MO20">IF(INDEX(JW:JW, (ROW()-ROW($JW$3))*3 + 3) &lt;&gt; "", "✔", "")</f>
        <v/>
      </c>
      <c r="MP20" s="503">
        <v>18</v>
      </c>
      <c r="MQ20" s="13" t="str" cm="1">
        <f t="array" ref="MQ20">IF(INDEX(KU:KU, (ROW()-ROW($KU$3))*3 + 3) &lt;&gt; "", "✔", "")</f>
        <v/>
      </c>
    </row>
    <row r="21" spans="1:355" ht="15">
      <c r="A21"/>
      <c r="B21"/>
      <c r="C21"/>
      <c r="D21"/>
      <c r="E21"/>
      <c r="F21"/>
      <c r="G21"/>
      <c r="H21"/>
      <c r="I21"/>
      <c r="R21" s="845">
        <v>46029</v>
      </c>
      <c r="S21" s="848" t="s">
        <v>89</v>
      </c>
      <c r="T21" s="848"/>
      <c r="U21" s="848"/>
      <c r="V21" s="848" t="s">
        <v>115</v>
      </c>
      <c r="W21" s="848"/>
      <c r="X21" s="848"/>
      <c r="Y21" s="886" t="s">
        <v>112</v>
      </c>
      <c r="Z21" s="886"/>
      <c r="AA21" s="886"/>
      <c r="AB21" s="849" t="s">
        <v>114</v>
      </c>
      <c r="AC21" s="849"/>
      <c r="AD21" s="849"/>
      <c r="AE21" s="861"/>
      <c r="AF21" s="862"/>
      <c r="AG21" s="863"/>
      <c r="AH21" s="834"/>
      <c r="AI21" s="835"/>
      <c r="AJ21" s="835"/>
      <c r="AK21" s="459" t="s">
        <v>425</v>
      </c>
      <c r="AL21" s="1">
        <f t="shared" ref="AL21" si="25">COUNTA(S21:AJ21)</f>
        <v>4</v>
      </c>
      <c r="AM21" s="939"/>
      <c r="AN21" s="855">
        <v>77.099999999999994</v>
      </c>
      <c r="AO21" s="118"/>
      <c r="AP21" s="840">
        <v>46060</v>
      </c>
      <c r="AQ21" s="1023"/>
      <c r="AR21" s="1023"/>
      <c r="AS21" s="1023"/>
      <c r="AT21" s="1023"/>
      <c r="AU21" s="1023"/>
      <c r="AV21" s="1023"/>
      <c r="AW21" s="1023"/>
      <c r="AX21" s="1023"/>
      <c r="AY21" s="1023"/>
      <c r="AZ21" s="1023"/>
      <c r="BA21" s="1023"/>
      <c r="BB21" s="1023"/>
      <c r="BC21" s="1021"/>
      <c r="BD21" s="1022"/>
      <c r="BE21" s="1024"/>
      <c r="BF21" s="1021"/>
      <c r="BG21" s="1022"/>
      <c r="BH21" s="1022"/>
      <c r="BI21" s="459" t="s">
        <v>425</v>
      </c>
      <c r="BJ21" s="482">
        <f t="shared" ref="BJ21" si="26">COUNTA(AQ21:BH21)</f>
        <v>0</v>
      </c>
      <c r="BK21" s="939"/>
      <c r="BL21" s="1016">
        <f>BL18</f>
        <v>79</v>
      </c>
      <c r="BM21" s="118"/>
      <c r="BN21" s="840">
        <v>46088</v>
      </c>
      <c r="BO21" s="1029" t="s">
        <v>379</v>
      </c>
      <c r="BP21" s="1029"/>
      <c r="BQ21" s="1029"/>
      <c r="BR21" s="1023" t="s">
        <v>68</v>
      </c>
      <c r="BS21" s="1023"/>
      <c r="BT21" s="1023"/>
      <c r="BU21" s="1029" t="s">
        <v>789</v>
      </c>
      <c r="BV21" s="1029"/>
      <c r="BW21" s="1029"/>
      <c r="BX21" s="1023" t="s">
        <v>391</v>
      </c>
      <c r="BY21" s="1023"/>
      <c r="BZ21" s="1023"/>
      <c r="CA21" s="1026" t="s">
        <v>617</v>
      </c>
      <c r="CB21" s="1027"/>
      <c r="CC21" s="1028"/>
      <c r="CD21" s="1021"/>
      <c r="CE21" s="1022"/>
      <c r="CF21" s="1022"/>
      <c r="CG21" s="459" t="s">
        <v>425</v>
      </c>
      <c r="CH21" s="482">
        <f t="shared" ref="CH21" si="27">COUNTA(BO21:CF21)</f>
        <v>5</v>
      </c>
      <c r="CI21" s="939">
        <v>7</v>
      </c>
      <c r="CJ21" s="1016">
        <v>76.8</v>
      </c>
      <c r="CL21" s="1074">
        <v>46119</v>
      </c>
      <c r="CM21" s="848" t="s">
        <v>89</v>
      </c>
      <c r="CN21" s="848"/>
      <c r="CO21" s="848"/>
      <c r="CP21" s="977" t="s">
        <v>380</v>
      </c>
      <c r="CQ21" s="977"/>
      <c r="CR21" s="977"/>
      <c r="CS21" s="848" t="s">
        <v>115</v>
      </c>
      <c r="CT21" s="848"/>
      <c r="CU21" s="848"/>
      <c r="CV21" s="849" t="s">
        <v>114</v>
      </c>
      <c r="CW21" s="849"/>
      <c r="CX21" s="849"/>
      <c r="CY21" s="848" t="s">
        <v>129</v>
      </c>
      <c r="CZ21" s="848"/>
      <c r="DA21" s="848"/>
      <c r="DB21" s="834"/>
      <c r="DC21" s="835"/>
      <c r="DD21" s="835"/>
      <c r="DE21" s="459" t="s">
        <v>425</v>
      </c>
      <c r="DF21" s="482">
        <f>COUNTA(CM21:DD21)</f>
        <v>5</v>
      </c>
      <c r="DG21" s="939">
        <v>7.5</v>
      </c>
      <c r="DH21" s="1016">
        <v>77.900000000000006</v>
      </c>
      <c r="DJ21" s="1041">
        <v>46149</v>
      </c>
      <c r="DK21" s="960"/>
      <c r="DL21" s="960"/>
      <c r="DM21" s="960"/>
      <c r="DN21" s="960"/>
      <c r="DO21" s="960"/>
      <c r="DP21" s="960"/>
      <c r="DQ21" s="960"/>
      <c r="DR21" s="960"/>
      <c r="DS21" s="960"/>
      <c r="DT21" s="960"/>
      <c r="DU21" s="960"/>
      <c r="DV21" s="960"/>
      <c r="DW21" s="961"/>
      <c r="DX21" s="962"/>
      <c r="DY21" s="963"/>
      <c r="DZ21" s="961"/>
      <c r="EA21" s="962"/>
      <c r="EB21" s="962"/>
      <c r="EC21" s="459" t="s">
        <v>425</v>
      </c>
      <c r="ED21" s="482">
        <f>COUNTA(DK21:EB21)</f>
        <v>0</v>
      </c>
      <c r="EE21" s="939"/>
      <c r="EF21" s="1016"/>
      <c r="EH21" s="1061">
        <v>46180</v>
      </c>
      <c r="EI21" s="960"/>
      <c r="EJ21" s="960"/>
      <c r="EK21" s="960"/>
      <c r="EL21" s="960"/>
      <c r="EM21" s="960"/>
      <c r="EN21" s="960"/>
      <c r="EO21" s="960"/>
      <c r="EP21" s="960"/>
      <c r="EQ21" s="960"/>
      <c r="ER21" s="960"/>
      <c r="ES21" s="960"/>
      <c r="ET21" s="960"/>
      <c r="EU21" s="961"/>
      <c r="EV21" s="962"/>
      <c r="EW21" s="963"/>
      <c r="EX21" s="961"/>
      <c r="EY21" s="962"/>
      <c r="EZ21" s="962"/>
      <c r="FA21" s="459" t="s">
        <v>425</v>
      </c>
      <c r="FB21" s="482">
        <f>COUNTA(EI21:EZ21)</f>
        <v>0</v>
      </c>
      <c r="FC21" s="939"/>
      <c r="FD21" s="1016"/>
      <c r="FF21" s="1074">
        <v>46210</v>
      </c>
      <c r="FG21" s="960"/>
      <c r="FH21" s="960"/>
      <c r="FI21" s="960"/>
      <c r="FJ21" s="960"/>
      <c r="FK21" s="960"/>
      <c r="FL21" s="960"/>
      <c r="FM21" s="960"/>
      <c r="FN21" s="960"/>
      <c r="FO21" s="960"/>
      <c r="FP21" s="960"/>
      <c r="FQ21" s="960"/>
      <c r="FR21" s="960"/>
      <c r="FS21" s="961"/>
      <c r="FT21" s="962"/>
      <c r="FU21" s="963"/>
      <c r="FV21" s="961"/>
      <c r="FW21" s="962"/>
      <c r="FX21" s="962"/>
      <c r="FY21" s="459" t="s">
        <v>425</v>
      </c>
      <c r="FZ21" s="482">
        <f>COUNTA(FG21:FX21)</f>
        <v>0</v>
      </c>
      <c r="GA21" s="939"/>
      <c r="GB21" s="1016"/>
      <c r="GD21" s="1048">
        <v>46241</v>
      </c>
      <c r="GE21" s="960"/>
      <c r="GF21" s="960"/>
      <c r="GG21" s="960"/>
      <c r="GH21" s="960"/>
      <c r="GI21" s="960"/>
      <c r="GJ21" s="960"/>
      <c r="GK21" s="960"/>
      <c r="GL21" s="960"/>
      <c r="GM21" s="960"/>
      <c r="GN21" s="960"/>
      <c r="GO21" s="960"/>
      <c r="GP21" s="960"/>
      <c r="GQ21" s="961"/>
      <c r="GR21" s="962"/>
      <c r="GS21" s="963"/>
      <c r="GT21" s="961"/>
      <c r="GU21" s="962"/>
      <c r="GV21" s="962"/>
      <c r="GW21" s="459" t="s">
        <v>425</v>
      </c>
      <c r="GX21" s="482">
        <f>COUNTA(GE21:GV21)</f>
        <v>0</v>
      </c>
      <c r="GY21" s="939"/>
      <c r="GZ21" s="1016"/>
      <c r="HB21" s="1064">
        <v>46272</v>
      </c>
      <c r="HC21" s="960"/>
      <c r="HD21" s="960"/>
      <c r="HE21" s="960"/>
      <c r="HF21" s="960"/>
      <c r="HG21" s="960"/>
      <c r="HH21" s="960"/>
      <c r="HI21" s="960"/>
      <c r="HJ21" s="960"/>
      <c r="HK21" s="960"/>
      <c r="HL21" s="960"/>
      <c r="HM21" s="960"/>
      <c r="HN21" s="960"/>
      <c r="HO21" s="961"/>
      <c r="HP21" s="962"/>
      <c r="HQ21" s="963"/>
      <c r="HR21" s="961"/>
      <c r="HS21" s="962"/>
      <c r="HT21" s="962"/>
      <c r="HU21" s="459" t="s">
        <v>425</v>
      </c>
      <c r="HV21" s="482">
        <f>COUNTA(HC21:HT21)</f>
        <v>0</v>
      </c>
      <c r="HW21" s="939"/>
      <c r="HX21" s="1016"/>
      <c r="HZ21" s="1038">
        <v>46302</v>
      </c>
      <c r="IA21" s="960"/>
      <c r="IB21" s="960"/>
      <c r="IC21" s="960"/>
      <c r="ID21" s="960"/>
      <c r="IE21" s="960"/>
      <c r="IF21" s="960"/>
      <c r="IG21" s="960"/>
      <c r="IH21" s="960"/>
      <c r="II21" s="960"/>
      <c r="IJ21" s="960"/>
      <c r="IK21" s="960"/>
      <c r="IL21" s="960"/>
      <c r="IM21" s="961"/>
      <c r="IN21" s="962"/>
      <c r="IO21" s="963"/>
      <c r="IP21" s="961"/>
      <c r="IQ21" s="962"/>
      <c r="IR21" s="962"/>
      <c r="IS21" s="459" t="s">
        <v>425</v>
      </c>
      <c r="IT21" s="482">
        <f>COUNTA(IA21:IR21)</f>
        <v>0</v>
      </c>
      <c r="IU21" s="939"/>
      <c r="IV21" s="1016"/>
      <c r="IX21" s="1051">
        <v>46333</v>
      </c>
      <c r="IY21" s="1023"/>
      <c r="IZ21" s="1023"/>
      <c r="JA21" s="1023"/>
      <c r="JB21" s="1023"/>
      <c r="JC21" s="1023"/>
      <c r="JD21" s="1023"/>
      <c r="JE21" s="1023"/>
      <c r="JF21" s="1023"/>
      <c r="JG21" s="1023"/>
      <c r="JH21" s="1023"/>
      <c r="JI21" s="1023"/>
      <c r="JJ21" s="1023"/>
      <c r="JK21" s="1021"/>
      <c r="JL21" s="1022"/>
      <c r="JM21" s="1024"/>
      <c r="JN21" s="1021"/>
      <c r="JO21" s="1022"/>
      <c r="JP21" s="1022"/>
      <c r="JQ21" s="489" t="s">
        <v>425</v>
      </c>
      <c r="JR21" s="496">
        <f>COUNTA(IY21:JP21)</f>
        <v>0</v>
      </c>
      <c r="JS21" s="1067"/>
      <c r="JT21" s="1070"/>
      <c r="JV21" s="1064">
        <v>46363</v>
      </c>
      <c r="JW21" s="960"/>
      <c r="JX21" s="960"/>
      <c r="JY21" s="960"/>
      <c r="JZ21" s="960"/>
      <c r="KA21" s="960"/>
      <c r="KB21" s="960"/>
      <c r="KC21" s="960"/>
      <c r="KD21" s="960"/>
      <c r="KE21" s="960"/>
      <c r="KF21" s="960"/>
      <c r="KG21" s="960"/>
      <c r="KH21" s="960"/>
      <c r="KI21" s="961"/>
      <c r="KJ21" s="962"/>
      <c r="KK21" s="963"/>
      <c r="KL21" s="961"/>
      <c r="KM21" s="962"/>
      <c r="KN21" s="962"/>
      <c r="KO21" s="459" t="s">
        <v>425</v>
      </c>
      <c r="KP21" s="482">
        <f>COUNTA(JW21:KN21)</f>
        <v>0</v>
      </c>
      <c r="KQ21" s="939"/>
      <c r="KR21" s="1016"/>
      <c r="KT21" s="1041">
        <v>46394</v>
      </c>
      <c r="KU21" s="960"/>
      <c r="KV21" s="960"/>
      <c r="KW21" s="960"/>
      <c r="KX21" s="960"/>
      <c r="KY21" s="960"/>
      <c r="KZ21" s="960"/>
      <c r="LA21" s="960"/>
      <c r="LB21" s="960"/>
      <c r="LC21" s="960"/>
      <c r="LD21" s="960"/>
      <c r="LE21" s="960"/>
      <c r="LF21" s="960"/>
      <c r="LG21" s="961"/>
      <c r="LH21" s="962"/>
      <c r="LI21" s="963"/>
      <c r="LJ21" s="961"/>
      <c r="LK21" s="962"/>
      <c r="LL21" s="962"/>
      <c r="LM21" s="459" t="s">
        <v>425</v>
      </c>
      <c r="LN21" s="482">
        <f>COUNTA(KU21:LL21)</f>
        <v>0</v>
      </c>
      <c r="LO21" s="939"/>
      <c r="LP21" s="1016"/>
      <c r="LR21" s="61">
        <v>19</v>
      </c>
      <c r="LS21" s="62" t="str" cm="1">
        <f t="array" ref="LS21">IF(INDEX(S:S, (ROW()-ROW($S$3))*3 + 3) &lt;&gt; "", "✔", "")</f>
        <v>✔</v>
      </c>
      <c r="LT21" s="61">
        <v>19</v>
      </c>
      <c r="LU21" s="62" t="str" cm="1">
        <f t="array" ref="LU21">IF(INDEX(AQ:AQ, (ROW()-ROW($AQ$3))*3 + 3) &lt;&gt; "", "✔", "")</f>
        <v>✔</v>
      </c>
      <c r="LV21" s="61">
        <v>19</v>
      </c>
      <c r="LW21" s="501" t="str" cm="1">
        <f t="array" ref="LW21">IF(INDEX(BO:BO, (ROW()-ROW($BO$3))*3 + 3) &lt;&gt; "", "✔", "")</f>
        <v/>
      </c>
      <c r="LX21" s="503">
        <v>19</v>
      </c>
      <c r="LY21" s="485" t="str" cm="1">
        <f t="array" ref="LY21">IF(INDEX(CM:CM, (ROW()-ROW($CM$3))*3 + 3) &lt;&gt; "", "✔", "")</f>
        <v/>
      </c>
      <c r="LZ21" s="507">
        <v>19</v>
      </c>
      <c r="MA21" s="485" t="str" cm="1">
        <f t="array" ref="MA21">IF(INDEX(DK:DK, (ROW()-ROW($DK$3))*3 + 3) &lt;&gt; "", "✔", "")</f>
        <v/>
      </c>
      <c r="MB21" s="503">
        <v>19</v>
      </c>
      <c r="MC21" s="485" t="str" cm="1">
        <f t="array" ref="MC21">IF(INDEX(EI:EI, (ROW()-ROW($EI$3))*3 + 3) &lt;&gt; "", "✔", "")</f>
        <v/>
      </c>
      <c r="MD21" s="503">
        <v>19</v>
      </c>
      <c r="ME21" s="485" t="str" cm="1">
        <f t="array" ref="ME21">IF(INDEX(FG:FG, (ROW()-ROW($FG$3))*3 + 3) &lt;&gt; "", "✔", "")</f>
        <v/>
      </c>
      <c r="MF21" s="503">
        <v>19</v>
      </c>
      <c r="MG21" s="485" t="str" cm="1">
        <f t="array" ref="MG21">IF(INDEX(GE:GE, (ROW()-ROW($GE$3))*3 + 3) &lt;&gt; "", "✔", "")</f>
        <v/>
      </c>
      <c r="MH21" s="503">
        <v>19</v>
      </c>
      <c r="MI21" s="485" t="str" cm="1">
        <f t="array" ref="MI21">IF(INDEX(HC:HC, (ROW()-ROW($HC$3))*3 + 3) &lt;&gt; "", "✔", "")</f>
        <v/>
      </c>
      <c r="MJ21" s="503">
        <v>19</v>
      </c>
      <c r="MK21" s="485" t="str" cm="1">
        <f t="array" ref="MK21">IF(INDEX(IA:IA, (ROW()-ROW($IA$3))*3 + 3) &lt;&gt; "", "✔", "")</f>
        <v/>
      </c>
      <c r="ML21" s="503">
        <v>19</v>
      </c>
      <c r="MM21" s="485" t="str" cm="1">
        <f t="array" ref="MM21">IF(INDEX(IY:IY, (ROW()-ROW($IY$3))*3 + 3) &lt;&gt; "", "✔", "")</f>
        <v/>
      </c>
      <c r="MN21" s="503">
        <v>19</v>
      </c>
      <c r="MO21" s="485" t="str" cm="1">
        <f t="array" ref="MO21">IF(INDEX(JW:JW, (ROW()-ROW($JW$3))*3 + 3) &lt;&gt; "", "✔", "")</f>
        <v/>
      </c>
      <c r="MP21" s="503">
        <v>19</v>
      </c>
      <c r="MQ21" s="13" t="str" cm="1">
        <f t="array" ref="MQ21">IF(INDEX(KU:KU, (ROW()-ROW($KU$3))*3 + 3) &lt;&gt; "", "✔", "")</f>
        <v/>
      </c>
    </row>
    <row r="22" spans="1:355" ht="15">
      <c r="A22" s="456" t="s">
        <v>56</v>
      </c>
      <c r="B22" s="456" t="s">
        <v>393</v>
      </c>
      <c r="C22" s="456" t="s">
        <v>58</v>
      </c>
      <c r="D22" s="456" t="s">
        <v>548</v>
      </c>
      <c r="E22" s="456" t="s">
        <v>6</v>
      </c>
      <c r="F22" s="456" t="s">
        <v>549</v>
      </c>
      <c r="G22" s="456" t="s">
        <v>550</v>
      </c>
      <c r="H22" s="456" t="s">
        <v>551</v>
      </c>
      <c r="I22" s="456" t="s">
        <v>173</v>
      </c>
      <c r="R22" s="846"/>
      <c r="S22" s="231" t="s">
        <v>59</v>
      </c>
      <c r="T22" s="231" t="s">
        <v>73</v>
      </c>
      <c r="U22" s="102" t="s">
        <v>4</v>
      </c>
      <c r="V22" s="231" t="s">
        <v>59</v>
      </c>
      <c r="W22" s="231" t="s">
        <v>73</v>
      </c>
      <c r="X22" s="102" t="s">
        <v>4</v>
      </c>
      <c r="Y22" s="231" t="s">
        <v>59</v>
      </c>
      <c r="Z22" s="231" t="s">
        <v>73</v>
      </c>
      <c r="AA22" s="102" t="s">
        <v>4</v>
      </c>
      <c r="AB22" s="231" t="s">
        <v>59</v>
      </c>
      <c r="AC22" s="231" t="s">
        <v>73</v>
      </c>
      <c r="AD22" s="102" t="s">
        <v>4</v>
      </c>
      <c r="AE22" s="107" t="s">
        <v>59</v>
      </c>
      <c r="AF22" s="107" t="s">
        <v>73</v>
      </c>
      <c r="AG22" s="108" t="s">
        <v>4</v>
      </c>
      <c r="AH22" s="107" t="s">
        <v>59</v>
      </c>
      <c r="AI22" s="107" t="s">
        <v>73</v>
      </c>
      <c r="AJ22" s="471" t="s">
        <v>4</v>
      </c>
      <c r="AK22" s="1004">
        <v>46</v>
      </c>
      <c r="AL22" s="1002">
        <f t="shared" ref="AL22" si="28">(S23*T23*U23)+(V23*W23*X23)+(Y23*Z23*AA23)+(AB23*AC23*AD23)+(AE23*AF23*AG23)+(AH23*AI23*AJ23)</f>
        <v>3201.5</v>
      </c>
      <c r="AM22" s="940"/>
      <c r="AN22" s="855"/>
      <c r="AO22" s="118"/>
      <c r="AP22" s="841"/>
      <c r="AQ22" s="491" t="s">
        <v>59</v>
      </c>
      <c r="AR22" s="491" t="s">
        <v>73</v>
      </c>
      <c r="AS22" s="492" t="s">
        <v>4</v>
      </c>
      <c r="AT22" s="491" t="s">
        <v>59</v>
      </c>
      <c r="AU22" s="491" t="s">
        <v>73</v>
      </c>
      <c r="AV22" s="492" t="s">
        <v>4</v>
      </c>
      <c r="AW22" s="491" t="s">
        <v>59</v>
      </c>
      <c r="AX22" s="491" t="s">
        <v>73</v>
      </c>
      <c r="AY22" s="492" t="s">
        <v>4</v>
      </c>
      <c r="AZ22" s="491" t="s">
        <v>59</v>
      </c>
      <c r="BA22" s="491" t="s">
        <v>73</v>
      </c>
      <c r="BB22" s="492" t="s">
        <v>4</v>
      </c>
      <c r="BC22" s="491" t="s">
        <v>59</v>
      </c>
      <c r="BD22" s="491" t="s">
        <v>73</v>
      </c>
      <c r="BE22" s="492" t="s">
        <v>4</v>
      </c>
      <c r="BF22" s="491" t="s">
        <v>59</v>
      </c>
      <c r="BG22" s="491" t="s">
        <v>73</v>
      </c>
      <c r="BH22" s="493" t="s">
        <v>4</v>
      </c>
      <c r="BI22" s="1004">
        <v>0</v>
      </c>
      <c r="BJ22" s="1003">
        <f t="shared" ref="BJ22" si="29">(AQ23*AR23*AS23)+(AT23*AU23*AV23)+(AW23*AX23*AY23)+(AZ23*BA23*BB23)+(BC23*BD23*BE23)+(BF23*BG23*BH23)</f>
        <v>0</v>
      </c>
      <c r="BK22" s="940"/>
      <c r="BL22" s="1016"/>
      <c r="BM22" s="118"/>
      <c r="BN22" s="841"/>
      <c r="BO22" s="491" t="s">
        <v>59</v>
      </c>
      <c r="BP22" s="491" t="s">
        <v>73</v>
      </c>
      <c r="BQ22" s="492" t="s">
        <v>4</v>
      </c>
      <c r="BR22" s="491" t="s">
        <v>59</v>
      </c>
      <c r="BS22" s="491" t="s">
        <v>73</v>
      </c>
      <c r="BT22" s="492" t="s">
        <v>4</v>
      </c>
      <c r="BU22" s="491" t="s">
        <v>59</v>
      </c>
      <c r="BV22" s="491" t="s">
        <v>73</v>
      </c>
      <c r="BW22" s="492" t="s">
        <v>4</v>
      </c>
      <c r="BX22" s="491" t="s">
        <v>59</v>
      </c>
      <c r="BY22" s="491" t="s">
        <v>73</v>
      </c>
      <c r="BZ22" s="492" t="s">
        <v>4</v>
      </c>
      <c r="CA22" s="491" t="s">
        <v>59</v>
      </c>
      <c r="CB22" s="491" t="s">
        <v>73</v>
      </c>
      <c r="CC22" s="492" t="s">
        <v>4</v>
      </c>
      <c r="CD22" s="491" t="s">
        <v>59</v>
      </c>
      <c r="CE22" s="491" t="s">
        <v>73</v>
      </c>
      <c r="CF22" s="493" t="s">
        <v>4</v>
      </c>
      <c r="CG22" s="1004">
        <f>60+39</f>
        <v>99</v>
      </c>
      <c r="CH22" s="1005">
        <f t="shared" ref="CH22" si="30">(BO23*BP23*BQ23)+(BR23*BS23*BT23)+(BU23*BV23*BW23)+(BX23*BY23*BZ23)+(CA23*CB23*CC23)+(CD23*CE23*CF23)</f>
        <v>6435.3666666666668</v>
      </c>
      <c r="CI22" s="940"/>
      <c r="CJ22" s="1016"/>
      <c r="CL22" s="1075"/>
      <c r="CM22" s="231" t="s">
        <v>59</v>
      </c>
      <c r="CN22" s="231" t="s">
        <v>73</v>
      </c>
      <c r="CO22" s="102" t="s">
        <v>4</v>
      </c>
      <c r="CP22" s="303" t="s">
        <v>59</v>
      </c>
      <c r="CQ22" s="303" t="s">
        <v>73</v>
      </c>
      <c r="CR22" s="304" t="s">
        <v>4</v>
      </c>
      <c r="CS22" s="231" t="s">
        <v>59</v>
      </c>
      <c r="CT22" s="231" t="s">
        <v>73</v>
      </c>
      <c r="CU22" s="102" t="s">
        <v>4</v>
      </c>
      <c r="CV22" s="231" t="s">
        <v>59</v>
      </c>
      <c r="CW22" s="231" t="s">
        <v>73</v>
      </c>
      <c r="CX22" s="102" t="s">
        <v>4</v>
      </c>
      <c r="CY22" s="231" t="s">
        <v>59</v>
      </c>
      <c r="CZ22" s="231" t="s">
        <v>73</v>
      </c>
      <c r="DA22" s="102" t="s">
        <v>4</v>
      </c>
      <c r="DB22" s="107" t="s">
        <v>59</v>
      </c>
      <c r="DC22" s="107" t="s">
        <v>73</v>
      </c>
      <c r="DD22" s="471" t="s">
        <v>4</v>
      </c>
      <c r="DE22" s="1004">
        <f>55</f>
        <v>55</v>
      </c>
      <c r="DF22" s="1005">
        <f>(CM23*CN23*CO23)+(CP23*CQ23*CR23)+(CS23*CT23*CU23)+(CV23*CW23*CX23)+(CY23*CZ23*DA23)+(DB23*DC23*DD23)</f>
        <v>6252.75</v>
      </c>
      <c r="DG22" s="940"/>
      <c r="DH22" s="1016"/>
      <c r="DJ22" s="1042"/>
      <c r="DK22" s="460" t="s">
        <v>59</v>
      </c>
      <c r="DL22" s="460" t="s">
        <v>73</v>
      </c>
      <c r="DM22" s="461" t="s">
        <v>4</v>
      </c>
      <c r="DN22" s="460" t="s">
        <v>59</v>
      </c>
      <c r="DO22" s="460" t="s">
        <v>73</v>
      </c>
      <c r="DP22" s="461" t="s">
        <v>4</v>
      </c>
      <c r="DQ22" s="460" t="s">
        <v>59</v>
      </c>
      <c r="DR22" s="460" t="s">
        <v>73</v>
      </c>
      <c r="DS22" s="461" t="s">
        <v>4</v>
      </c>
      <c r="DT22" s="460" t="s">
        <v>59</v>
      </c>
      <c r="DU22" s="460" t="s">
        <v>73</v>
      </c>
      <c r="DV22" s="461" t="s">
        <v>4</v>
      </c>
      <c r="DW22" s="460" t="s">
        <v>59</v>
      </c>
      <c r="DX22" s="460" t="s">
        <v>73</v>
      </c>
      <c r="DY22" s="461" t="s">
        <v>4</v>
      </c>
      <c r="DZ22" s="460" t="s">
        <v>59</v>
      </c>
      <c r="EA22" s="460" t="s">
        <v>73</v>
      </c>
      <c r="EB22" s="473" t="s">
        <v>4</v>
      </c>
      <c r="EC22" s="1004"/>
      <c r="ED22" s="1005">
        <f>(DK23*DL23*DM23)+(DN23*DO23*DP23)+(DQ23*DR23*DS23)+(DT23*DU23*DV23)+(DW23*DX23*DY23)+(DZ23*EA23*EB23)</f>
        <v>0</v>
      </c>
      <c r="EE22" s="940"/>
      <c r="EF22" s="1016"/>
      <c r="EH22" s="1062"/>
      <c r="EI22" s="460" t="s">
        <v>59</v>
      </c>
      <c r="EJ22" s="460" t="s">
        <v>73</v>
      </c>
      <c r="EK22" s="461" t="s">
        <v>4</v>
      </c>
      <c r="EL22" s="460" t="s">
        <v>59</v>
      </c>
      <c r="EM22" s="460" t="s">
        <v>73</v>
      </c>
      <c r="EN22" s="461" t="s">
        <v>4</v>
      </c>
      <c r="EO22" s="460" t="s">
        <v>59</v>
      </c>
      <c r="EP22" s="460" t="s">
        <v>73</v>
      </c>
      <c r="EQ22" s="461" t="s">
        <v>4</v>
      </c>
      <c r="ER22" s="460" t="s">
        <v>59</v>
      </c>
      <c r="ES22" s="460" t="s">
        <v>73</v>
      </c>
      <c r="ET22" s="461" t="s">
        <v>4</v>
      </c>
      <c r="EU22" s="460" t="s">
        <v>59</v>
      </c>
      <c r="EV22" s="460" t="s">
        <v>73</v>
      </c>
      <c r="EW22" s="461" t="s">
        <v>4</v>
      </c>
      <c r="EX22" s="460" t="s">
        <v>59</v>
      </c>
      <c r="EY22" s="460" t="s">
        <v>73</v>
      </c>
      <c r="EZ22" s="473" t="s">
        <v>4</v>
      </c>
      <c r="FA22" s="1004"/>
      <c r="FB22" s="1005">
        <f>(EI23*EJ23*EK23)+(EL23*EM23*EN23)+(EO23*EP23*EQ23)+(ER23*ES23*ET23)+(EU23*EV23*EW23)+(EX23*EY23*EZ23)</f>
        <v>0</v>
      </c>
      <c r="FC22" s="940"/>
      <c r="FD22" s="1016"/>
      <c r="FF22" s="1075"/>
      <c r="FG22" s="460" t="s">
        <v>59</v>
      </c>
      <c r="FH22" s="460" t="s">
        <v>73</v>
      </c>
      <c r="FI22" s="461" t="s">
        <v>4</v>
      </c>
      <c r="FJ22" s="460" t="s">
        <v>59</v>
      </c>
      <c r="FK22" s="460" t="s">
        <v>73</v>
      </c>
      <c r="FL22" s="461" t="s">
        <v>4</v>
      </c>
      <c r="FM22" s="460" t="s">
        <v>59</v>
      </c>
      <c r="FN22" s="460" t="s">
        <v>73</v>
      </c>
      <c r="FO22" s="461" t="s">
        <v>4</v>
      </c>
      <c r="FP22" s="460" t="s">
        <v>59</v>
      </c>
      <c r="FQ22" s="460" t="s">
        <v>73</v>
      </c>
      <c r="FR22" s="461" t="s">
        <v>4</v>
      </c>
      <c r="FS22" s="460" t="s">
        <v>59</v>
      </c>
      <c r="FT22" s="460" t="s">
        <v>73</v>
      </c>
      <c r="FU22" s="461" t="s">
        <v>4</v>
      </c>
      <c r="FV22" s="460" t="s">
        <v>59</v>
      </c>
      <c r="FW22" s="460" t="s">
        <v>73</v>
      </c>
      <c r="FX22" s="473" t="s">
        <v>4</v>
      </c>
      <c r="FY22" s="1004"/>
      <c r="FZ22" s="1005">
        <f>(FG23*FH23*FI23)+(FJ23*FK23*FL23)+(FM23*FN23*FO23)+(FP23*FQ23*FR23)+(FS23*FT23*FU23)+(FV23*FW23*FX23)</f>
        <v>0</v>
      </c>
      <c r="GA22" s="940"/>
      <c r="GB22" s="1016"/>
      <c r="GD22" s="1049"/>
      <c r="GE22" s="460" t="s">
        <v>59</v>
      </c>
      <c r="GF22" s="460" t="s">
        <v>73</v>
      </c>
      <c r="GG22" s="461" t="s">
        <v>4</v>
      </c>
      <c r="GH22" s="460" t="s">
        <v>59</v>
      </c>
      <c r="GI22" s="460" t="s">
        <v>73</v>
      </c>
      <c r="GJ22" s="461" t="s">
        <v>4</v>
      </c>
      <c r="GK22" s="460" t="s">
        <v>59</v>
      </c>
      <c r="GL22" s="460" t="s">
        <v>73</v>
      </c>
      <c r="GM22" s="461" t="s">
        <v>4</v>
      </c>
      <c r="GN22" s="460" t="s">
        <v>59</v>
      </c>
      <c r="GO22" s="460" t="s">
        <v>73</v>
      </c>
      <c r="GP22" s="461" t="s">
        <v>4</v>
      </c>
      <c r="GQ22" s="460" t="s">
        <v>59</v>
      </c>
      <c r="GR22" s="460" t="s">
        <v>73</v>
      </c>
      <c r="GS22" s="461" t="s">
        <v>4</v>
      </c>
      <c r="GT22" s="460" t="s">
        <v>59</v>
      </c>
      <c r="GU22" s="460" t="s">
        <v>73</v>
      </c>
      <c r="GV22" s="473" t="s">
        <v>4</v>
      </c>
      <c r="GW22" s="1004"/>
      <c r="GX22" s="1005">
        <f>(GE23*GF23*GG23)+(GH23*GI23*GJ23)+(GK23*GL23*GM23)+(GN23*GO23*GP23)+(GQ23*GR23*GS23)+(GT23*GU23*GV23)</f>
        <v>0</v>
      </c>
      <c r="GY22" s="940"/>
      <c r="GZ22" s="1016"/>
      <c r="HB22" s="1065"/>
      <c r="HC22" s="460" t="s">
        <v>59</v>
      </c>
      <c r="HD22" s="460" t="s">
        <v>73</v>
      </c>
      <c r="HE22" s="461" t="s">
        <v>4</v>
      </c>
      <c r="HF22" s="460" t="s">
        <v>59</v>
      </c>
      <c r="HG22" s="460" t="s">
        <v>73</v>
      </c>
      <c r="HH22" s="461" t="s">
        <v>4</v>
      </c>
      <c r="HI22" s="460" t="s">
        <v>59</v>
      </c>
      <c r="HJ22" s="460" t="s">
        <v>73</v>
      </c>
      <c r="HK22" s="461" t="s">
        <v>4</v>
      </c>
      <c r="HL22" s="460" t="s">
        <v>59</v>
      </c>
      <c r="HM22" s="460" t="s">
        <v>73</v>
      </c>
      <c r="HN22" s="461" t="s">
        <v>4</v>
      </c>
      <c r="HO22" s="460" t="s">
        <v>59</v>
      </c>
      <c r="HP22" s="460" t="s">
        <v>73</v>
      </c>
      <c r="HQ22" s="461" t="s">
        <v>4</v>
      </c>
      <c r="HR22" s="460" t="s">
        <v>59</v>
      </c>
      <c r="HS22" s="460" t="s">
        <v>73</v>
      </c>
      <c r="HT22" s="473" t="s">
        <v>4</v>
      </c>
      <c r="HU22" s="1004"/>
      <c r="HV22" s="1005">
        <f>(HC23*HD23*HE23)+(HF23*HG23*HH23)+(HI23*HJ23*HK23)+(HL23*HM23*HN23)+(HO23*HP23*HQ23)+(HR23*HS23*HT23)</f>
        <v>0</v>
      </c>
      <c r="HW22" s="940"/>
      <c r="HX22" s="1016"/>
      <c r="HZ22" s="1039"/>
      <c r="IA22" s="460" t="s">
        <v>59</v>
      </c>
      <c r="IB22" s="460" t="s">
        <v>73</v>
      </c>
      <c r="IC22" s="461" t="s">
        <v>4</v>
      </c>
      <c r="ID22" s="460" t="s">
        <v>59</v>
      </c>
      <c r="IE22" s="460" t="s">
        <v>73</v>
      </c>
      <c r="IF22" s="461" t="s">
        <v>4</v>
      </c>
      <c r="IG22" s="460" t="s">
        <v>59</v>
      </c>
      <c r="IH22" s="460" t="s">
        <v>73</v>
      </c>
      <c r="II22" s="461" t="s">
        <v>4</v>
      </c>
      <c r="IJ22" s="460" t="s">
        <v>59</v>
      </c>
      <c r="IK22" s="460" t="s">
        <v>73</v>
      </c>
      <c r="IL22" s="461" t="s">
        <v>4</v>
      </c>
      <c r="IM22" s="460" t="s">
        <v>59</v>
      </c>
      <c r="IN22" s="460" t="s">
        <v>73</v>
      </c>
      <c r="IO22" s="461" t="s">
        <v>4</v>
      </c>
      <c r="IP22" s="460" t="s">
        <v>59</v>
      </c>
      <c r="IQ22" s="460" t="s">
        <v>73</v>
      </c>
      <c r="IR22" s="473" t="s">
        <v>4</v>
      </c>
      <c r="IS22" s="1004"/>
      <c r="IT22" s="1005">
        <f>(IA23*IB23*IC23)+(ID23*IE23*IF23)+(IG23*IH23*II23)+(IJ23*IK23*IL23)+(IM23*IN23*IO23)+(IP23*IQ23*IR23)</f>
        <v>0</v>
      </c>
      <c r="IU22" s="940"/>
      <c r="IV22" s="1016"/>
      <c r="IX22" s="1052"/>
      <c r="IY22" s="491" t="s">
        <v>59</v>
      </c>
      <c r="IZ22" s="491" t="s">
        <v>73</v>
      </c>
      <c r="JA22" s="492" t="s">
        <v>4</v>
      </c>
      <c r="JB22" s="491" t="s">
        <v>59</v>
      </c>
      <c r="JC22" s="491" t="s">
        <v>73</v>
      </c>
      <c r="JD22" s="492" t="s">
        <v>4</v>
      </c>
      <c r="JE22" s="491" t="s">
        <v>59</v>
      </c>
      <c r="JF22" s="491" t="s">
        <v>73</v>
      </c>
      <c r="JG22" s="492" t="s">
        <v>4</v>
      </c>
      <c r="JH22" s="491" t="s">
        <v>59</v>
      </c>
      <c r="JI22" s="491" t="s">
        <v>73</v>
      </c>
      <c r="JJ22" s="492" t="s">
        <v>4</v>
      </c>
      <c r="JK22" s="491" t="s">
        <v>59</v>
      </c>
      <c r="JL22" s="491" t="s">
        <v>73</v>
      </c>
      <c r="JM22" s="492" t="s">
        <v>4</v>
      </c>
      <c r="JN22" s="491" t="s">
        <v>59</v>
      </c>
      <c r="JO22" s="491" t="s">
        <v>73</v>
      </c>
      <c r="JP22" s="493" t="s">
        <v>4</v>
      </c>
      <c r="JQ22" s="1071"/>
      <c r="JR22" s="1072">
        <f>(IY23*IZ23*JA23)+(JB23*JC23*JD23)+(JE23*JF23*JG23)+(JH23*JI23*JJ23)+(JK23*JL23*JM23)+(JN23*JO23*JP23)</f>
        <v>0</v>
      </c>
      <c r="JS22" s="1068"/>
      <c r="JT22" s="1070"/>
      <c r="JV22" s="1065"/>
      <c r="JW22" s="460" t="s">
        <v>59</v>
      </c>
      <c r="JX22" s="460" t="s">
        <v>73</v>
      </c>
      <c r="JY22" s="461" t="s">
        <v>4</v>
      </c>
      <c r="JZ22" s="460" t="s">
        <v>59</v>
      </c>
      <c r="KA22" s="460" t="s">
        <v>73</v>
      </c>
      <c r="KB22" s="461" t="s">
        <v>4</v>
      </c>
      <c r="KC22" s="460" t="s">
        <v>59</v>
      </c>
      <c r="KD22" s="460" t="s">
        <v>73</v>
      </c>
      <c r="KE22" s="461" t="s">
        <v>4</v>
      </c>
      <c r="KF22" s="460" t="s">
        <v>59</v>
      </c>
      <c r="KG22" s="460" t="s">
        <v>73</v>
      </c>
      <c r="KH22" s="461" t="s">
        <v>4</v>
      </c>
      <c r="KI22" s="460" t="s">
        <v>59</v>
      </c>
      <c r="KJ22" s="460" t="s">
        <v>73</v>
      </c>
      <c r="KK22" s="461" t="s">
        <v>4</v>
      </c>
      <c r="KL22" s="460" t="s">
        <v>59</v>
      </c>
      <c r="KM22" s="460" t="s">
        <v>73</v>
      </c>
      <c r="KN22" s="473" t="s">
        <v>4</v>
      </c>
      <c r="KO22" s="1004"/>
      <c r="KP22" s="1005">
        <f>(JW23*JX23*JY23)+(JZ23*KA23*KB23)+(KC23*KD23*KE23)+(KF23*KG23*KH23)+(KI23*KJ23*KK23)+(KL23*KM23*KN23)</f>
        <v>0</v>
      </c>
      <c r="KQ22" s="940"/>
      <c r="KR22" s="1016"/>
      <c r="KT22" s="1042"/>
      <c r="KU22" s="460" t="s">
        <v>59</v>
      </c>
      <c r="KV22" s="460" t="s">
        <v>73</v>
      </c>
      <c r="KW22" s="461" t="s">
        <v>4</v>
      </c>
      <c r="KX22" s="460" t="s">
        <v>59</v>
      </c>
      <c r="KY22" s="460" t="s">
        <v>73</v>
      </c>
      <c r="KZ22" s="461" t="s">
        <v>4</v>
      </c>
      <c r="LA22" s="460" t="s">
        <v>59</v>
      </c>
      <c r="LB22" s="460" t="s">
        <v>73</v>
      </c>
      <c r="LC22" s="461" t="s">
        <v>4</v>
      </c>
      <c r="LD22" s="460" t="s">
        <v>59</v>
      </c>
      <c r="LE22" s="460" t="s">
        <v>73</v>
      </c>
      <c r="LF22" s="461" t="s">
        <v>4</v>
      </c>
      <c r="LG22" s="460" t="s">
        <v>59</v>
      </c>
      <c r="LH22" s="460" t="s">
        <v>73</v>
      </c>
      <c r="LI22" s="461" t="s">
        <v>4</v>
      </c>
      <c r="LJ22" s="460" t="s">
        <v>59</v>
      </c>
      <c r="LK22" s="460" t="s">
        <v>73</v>
      </c>
      <c r="LL22" s="473" t="s">
        <v>4</v>
      </c>
      <c r="LM22" s="1004"/>
      <c r="LN22" s="1005">
        <f>(KU23*KV23*KW23)+(KX23*KY23*KZ23)+(LA23*LB23*LC23)+(LD23*LE23*LF23)+(LG23*LH23*LI23)+(LJ23*LK23*LL23)</f>
        <v>0</v>
      </c>
      <c r="LO22" s="940"/>
      <c r="LP22" s="1016"/>
      <c r="LR22" s="61">
        <v>20</v>
      </c>
      <c r="LS22" s="62" t="str" cm="1">
        <f t="array" ref="LS22">IF(INDEX(S:S, (ROW()-ROW($S$3))*3 + 3) &lt;&gt; "", "✔", "")</f>
        <v>✔</v>
      </c>
      <c r="LT22" s="61">
        <v>20</v>
      </c>
      <c r="LU22" s="62" t="str" cm="1">
        <f t="array" ref="LU22">IF(INDEX(AQ:AQ, (ROW()-ROW($AQ$3))*3 + 3) &lt;&gt; "", "✔", "")</f>
        <v>✔</v>
      </c>
      <c r="LV22" s="61">
        <v>20</v>
      </c>
      <c r="LW22" s="501" t="str" cm="1">
        <f t="array" ref="LW22">IF(INDEX(BO:BO, (ROW()-ROW($BO$3))*3 + 3) &lt;&gt; "", "✔", "")</f>
        <v>✔</v>
      </c>
      <c r="LX22" s="503">
        <v>20</v>
      </c>
      <c r="LY22" s="485" t="str" cm="1">
        <f t="array" ref="LY22">IF(INDEX(CM:CM, (ROW()-ROW($CM$3))*3 + 3) &lt;&gt; "", "✔", "")</f>
        <v/>
      </c>
      <c r="LZ22" s="507">
        <v>20</v>
      </c>
      <c r="MA22" s="485" t="str" cm="1">
        <f t="array" ref="MA22">IF(INDEX(DK:DK, (ROW()-ROW($DK$3))*3 + 3) &lt;&gt; "", "✔", "")</f>
        <v/>
      </c>
      <c r="MB22" s="503">
        <v>20</v>
      </c>
      <c r="MC22" s="485" t="str" cm="1">
        <f t="array" ref="MC22">IF(INDEX(EI:EI, (ROW()-ROW($EI$3))*3 + 3) &lt;&gt; "", "✔", "")</f>
        <v/>
      </c>
      <c r="MD22" s="503">
        <v>20</v>
      </c>
      <c r="ME22" s="485" t="str" cm="1">
        <f t="array" ref="ME22">IF(INDEX(FG:FG, (ROW()-ROW($FG$3))*3 + 3) &lt;&gt; "", "✔", "")</f>
        <v/>
      </c>
      <c r="MF22" s="503">
        <v>20</v>
      </c>
      <c r="MG22" s="485" t="str" cm="1">
        <f t="array" ref="MG22">IF(INDEX(GE:GE, (ROW()-ROW($GE$3))*3 + 3) &lt;&gt; "", "✔", "")</f>
        <v/>
      </c>
      <c r="MH22" s="503">
        <v>20</v>
      </c>
      <c r="MI22" s="485" t="str" cm="1">
        <f t="array" ref="MI22">IF(INDEX(HC:HC, (ROW()-ROW($HC$3))*3 + 3) &lt;&gt; "", "✔", "")</f>
        <v/>
      </c>
      <c r="MJ22" s="503">
        <v>20</v>
      </c>
      <c r="MK22" s="485" t="str" cm="1">
        <f t="array" ref="MK22">IF(INDEX(IA:IA, (ROW()-ROW($IA$3))*3 + 3) &lt;&gt; "", "✔", "")</f>
        <v/>
      </c>
      <c r="ML22" s="503">
        <v>20</v>
      </c>
      <c r="MM22" s="485" t="str" cm="1">
        <f t="array" ref="MM22">IF(INDEX(IY:IY, (ROW()-ROW($IY$3))*3 + 3) &lt;&gt; "", "✔", "")</f>
        <v/>
      </c>
      <c r="MN22" s="503">
        <v>20</v>
      </c>
      <c r="MO22" s="485" t="str" cm="1">
        <f t="array" ref="MO22">IF(INDEX(JW:JW, (ROW()-ROW($JW$3))*3 + 3) &lt;&gt; "", "✔", "")</f>
        <v/>
      </c>
      <c r="MP22" s="503">
        <v>20</v>
      </c>
      <c r="MQ22" s="13" t="str" cm="1">
        <f t="array" ref="MQ22">IF(INDEX(KU:KU, (ROW()-ROW($KU$3))*3 + 3) &lt;&gt; "", "✔", "")</f>
        <v/>
      </c>
    </row>
    <row r="23" spans="1:355" ht="15">
      <c r="A23" s="396" t="s">
        <v>552</v>
      </c>
      <c r="B23" s="396" t="s">
        <v>553</v>
      </c>
      <c r="C23" s="395" t="s">
        <v>67</v>
      </c>
      <c r="D23" s="231" t="s">
        <v>554</v>
      </c>
      <c r="E23" s="231" t="s">
        <v>555</v>
      </c>
      <c r="F23" s="231" t="s">
        <v>556</v>
      </c>
      <c r="G23" s="231" t="s">
        <v>557</v>
      </c>
      <c r="H23" s="231" t="s">
        <v>558</v>
      </c>
      <c r="I23" s="395" t="s">
        <v>385</v>
      </c>
      <c r="R23" s="847"/>
      <c r="S23" s="229">
        <v>4</v>
      </c>
      <c r="T23" s="229">
        <f>((10*1)+(6*3))/4</f>
        <v>7</v>
      </c>
      <c r="U23" s="229">
        <f>((36*1)+(68*3))/4</f>
        <v>60</v>
      </c>
      <c r="V23" s="229">
        <v>4</v>
      </c>
      <c r="W23" s="229">
        <f>((12*1)+(8*3))/4</f>
        <v>9</v>
      </c>
      <c r="X23" s="229">
        <f>((11.3*1)+(24.9*3))/4</f>
        <v>21.499999999999996</v>
      </c>
      <c r="Y23" s="229">
        <v>4</v>
      </c>
      <c r="Z23" s="229">
        <f>((12*1)+(8*3))/4</f>
        <v>9</v>
      </c>
      <c r="AA23" s="229">
        <f>((7.5*1)+(20*3))/4</f>
        <v>16.875</v>
      </c>
      <c r="AB23" s="229">
        <v>3</v>
      </c>
      <c r="AC23" s="229">
        <f>((12*1)+(8*2))/3</f>
        <v>9.3333333333333339</v>
      </c>
      <c r="AD23" s="229">
        <f>((2.5*1)+(5*1)+(7.5*1))/3</f>
        <v>5</v>
      </c>
      <c r="AE23" s="233"/>
      <c r="AF23" s="233"/>
      <c r="AG23" s="233"/>
      <c r="AH23" s="233"/>
      <c r="AI23" s="233"/>
      <c r="AJ23" s="472"/>
      <c r="AK23" s="1004"/>
      <c r="AL23" s="1002"/>
      <c r="AM23" s="941"/>
      <c r="AN23" s="855"/>
      <c r="AO23" s="118"/>
      <c r="AP23" s="842"/>
      <c r="AQ23" s="494"/>
      <c r="AR23" s="494"/>
      <c r="AS23" s="494"/>
      <c r="AT23" s="494"/>
      <c r="AU23" s="494"/>
      <c r="AV23" s="494"/>
      <c r="AW23" s="494"/>
      <c r="AX23" s="494"/>
      <c r="AY23" s="494"/>
      <c r="AZ23" s="494"/>
      <c r="BA23" s="494"/>
      <c r="BB23" s="494"/>
      <c r="BC23" s="494"/>
      <c r="BD23" s="494"/>
      <c r="BE23" s="494"/>
      <c r="BF23" s="494"/>
      <c r="BG23" s="494"/>
      <c r="BH23" s="497"/>
      <c r="BI23" s="1004"/>
      <c r="BJ23" s="1003"/>
      <c r="BK23" s="941"/>
      <c r="BL23" s="1016"/>
      <c r="BM23" s="118"/>
      <c r="BN23" s="842"/>
      <c r="BO23" s="494">
        <v>4</v>
      </c>
      <c r="BP23" s="494">
        <f>((12*2)+(10*2))/4</f>
        <v>11</v>
      </c>
      <c r="BQ23" s="494">
        <f>((25*1)+(45*3))/4</f>
        <v>40</v>
      </c>
      <c r="BR23" s="494">
        <v>4</v>
      </c>
      <c r="BS23" s="494">
        <f>((12*4))/4</f>
        <v>12</v>
      </c>
      <c r="BT23" s="494">
        <f>((36*1)+(72*3))/4</f>
        <v>63</v>
      </c>
      <c r="BU23" s="494">
        <v>4</v>
      </c>
      <c r="BV23" s="494">
        <f>((12*3)+(8*1))/4</f>
        <v>11</v>
      </c>
      <c r="BW23" s="494">
        <f>((11.3*1)+(20.4*2)+(22.7*1))/4</f>
        <v>18.7</v>
      </c>
      <c r="BX23" s="494">
        <v>4</v>
      </c>
      <c r="BY23" s="494">
        <f>((((0.38/0.3)*0.5)*1)+(((1.15/1)*1)*3))/4</f>
        <v>1.0208333333333333</v>
      </c>
      <c r="BZ23" s="494">
        <f>CJ21*(2/3)</f>
        <v>51.199999999999996</v>
      </c>
      <c r="CA23" s="494">
        <v>4</v>
      </c>
      <c r="CB23" s="494">
        <f>((12*1)+(10*3))/4</f>
        <v>10.5</v>
      </c>
      <c r="CC23" s="494">
        <f>((11.3*1)+(15.9*3))/4</f>
        <v>14.75</v>
      </c>
      <c r="CD23" s="494"/>
      <c r="CE23" s="494"/>
      <c r="CF23" s="497"/>
      <c r="CG23" s="1004"/>
      <c r="CH23" s="1006"/>
      <c r="CI23" s="941"/>
      <c r="CJ23" s="1016"/>
      <c r="CL23" s="1076"/>
      <c r="CM23" s="229">
        <v>4</v>
      </c>
      <c r="CN23" s="229">
        <f>((12*1)+(10*3))/4</f>
        <v>10.5</v>
      </c>
      <c r="CO23" s="229">
        <f>((36*1)+(72*3))/4</f>
        <v>63</v>
      </c>
      <c r="CP23" s="305">
        <v>4</v>
      </c>
      <c r="CQ23" s="305">
        <f>((12*4))/4</f>
        <v>12</v>
      </c>
      <c r="CR23" s="305">
        <f>((15.9*1)+(34*3))/4</f>
        <v>29.475000000000001</v>
      </c>
      <c r="CS23" s="229">
        <v>4</v>
      </c>
      <c r="CT23" s="229">
        <f>((12*1)+(10*3))/4</f>
        <v>10.5</v>
      </c>
      <c r="CU23" s="229">
        <f>((15.9*1)+(29.5*3))/4</f>
        <v>26.1</v>
      </c>
      <c r="CV23" s="229">
        <v>4</v>
      </c>
      <c r="CW23" s="229">
        <f>((12*4))/4</f>
        <v>12</v>
      </c>
      <c r="CX23" s="229">
        <f>((5*1)+(7.5*3))/4</f>
        <v>6.875</v>
      </c>
      <c r="CY23" s="229">
        <v>4</v>
      </c>
      <c r="CZ23" s="229">
        <f>((12*1)+(6*3))/4</f>
        <v>7.5</v>
      </c>
      <c r="DA23" s="126">
        <f>((13.6*1)+(29.5*3))/4</f>
        <v>25.524999999999999</v>
      </c>
      <c r="DB23" s="233"/>
      <c r="DC23" s="233"/>
      <c r="DD23" s="472"/>
      <c r="DE23" s="1004"/>
      <c r="DF23" s="1006"/>
      <c r="DG23" s="941"/>
      <c r="DH23" s="1016"/>
      <c r="DJ23" s="1043"/>
      <c r="DK23" s="462"/>
      <c r="DL23" s="462"/>
      <c r="DM23" s="462"/>
      <c r="DN23" s="462"/>
      <c r="DO23" s="462"/>
      <c r="DP23" s="462"/>
      <c r="DQ23" s="462"/>
      <c r="DR23" s="462"/>
      <c r="DS23" s="462"/>
      <c r="DT23" s="462"/>
      <c r="DU23" s="462"/>
      <c r="DV23" s="462"/>
      <c r="DW23" s="462"/>
      <c r="DX23" s="462"/>
      <c r="DY23" s="462"/>
      <c r="DZ23" s="462"/>
      <c r="EA23" s="462"/>
      <c r="EB23" s="474"/>
      <c r="EC23" s="1004"/>
      <c r="ED23" s="1006"/>
      <c r="EE23" s="941"/>
      <c r="EF23" s="1016"/>
      <c r="EH23" s="1063"/>
      <c r="EI23" s="462"/>
      <c r="EJ23" s="462"/>
      <c r="EK23" s="462"/>
      <c r="EL23" s="462"/>
      <c r="EM23" s="462"/>
      <c r="EN23" s="462"/>
      <c r="EO23" s="462"/>
      <c r="EP23" s="462"/>
      <c r="EQ23" s="462"/>
      <c r="ER23" s="462"/>
      <c r="ES23" s="462"/>
      <c r="ET23" s="462"/>
      <c r="EU23" s="462"/>
      <c r="EV23" s="462"/>
      <c r="EW23" s="462"/>
      <c r="EX23" s="462"/>
      <c r="EY23" s="462"/>
      <c r="EZ23" s="474"/>
      <c r="FA23" s="1004"/>
      <c r="FB23" s="1006"/>
      <c r="FC23" s="941"/>
      <c r="FD23" s="1016"/>
      <c r="FF23" s="1076"/>
      <c r="FG23" s="462"/>
      <c r="FH23" s="462"/>
      <c r="FI23" s="462"/>
      <c r="FJ23" s="462"/>
      <c r="FK23" s="462"/>
      <c r="FL23" s="462"/>
      <c r="FM23" s="462"/>
      <c r="FN23" s="462"/>
      <c r="FO23" s="462"/>
      <c r="FP23" s="462"/>
      <c r="FQ23" s="462"/>
      <c r="FR23" s="462"/>
      <c r="FS23" s="462"/>
      <c r="FT23" s="462"/>
      <c r="FU23" s="462"/>
      <c r="FV23" s="462"/>
      <c r="FW23" s="462"/>
      <c r="FX23" s="474"/>
      <c r="FY23" s="1004"/>
      <c r="FZ23" s="1006"/>
      <c r="GA23" s="941"/>
      <c r="GB23" s="1016"/>
      <c r="GD23" s="1050"/>
      <c r="GE23" s="462"/>
      <c r="GF23" s="462"/>
      <c r="GG23" s="462"/>
      <c r="GH23" s="462"/>
      <c r="GI23" s="462"/>
      <c r="GJ23" s="462"/>
      <c r="GK23" s="462"/>
      <c r="GL23" s="462"/>
      <c r="GM23" s="462"/>
      <c r="GN23" s="462"/>
      <c r="GO23" s="462"/>
      <c r="GP23" s="462"/>
      <c r="GQ23" s="462"/>
      <c r="GR23" s="462"/>
      <c r="GS23" s="462"/>
      <c r="GT23" s="462"/>
      <c r="GU23" s="462"/>
      <c r="GV23" s="474"/>
      <c r="GW23" s="1004"/>
      <c r="GX23" s="1006"/>
      <c r="GY23" s="941"/>
      <c r="GZ23" s="1016"/>
      <c r="HB23" s="1066"/>
      <c r="HC23" s="462"/>
      <c r="HD23" s="462"/>
      <c r="HE23" s="462"/>
      <c r="HF23" s="462"/>
      <c r="HG23" s="462"/>
      <c r="HH23" s="462"/>
      <c r="HI23" s="462"/>
      <c r="HJ23" s="462"/>
      <c r="HK23" s="462"/>
      <c r="HL23" s="462"/>
      <c r="HM23" s="462"/>
      <c r="HN23" s="462"/>
      <c r="HO23" s="462"/>
      <c r="HP23" s="462"/>
      <c r="HQ23" s="462"/>
      <c r="HR23" s="462"/>
      <c r="HS23" s="462"/>
      <c r="HT23" s="474"/>
      <c r="HU23" s="1004"/>
      <c r="HV23" s="1006"/>
      <c r="HW23" s="941"/>
      <c r="HX23" s="1016"/>
      <c r="HZ23" s="1040"/>
      <c r="IA23" s="462"/>
      <c r="IB23" s="462"/>
      <c r="IC23" s="462"/>
      <c r="ID23" s="462"/>
      <c r="IE23" s="462"/>
      <c r="IF23" s="462"/>
      <c r="IG23" s="462"/>
      <c r="IH23" s="462"/>
      <c r="II23" s="462"/>
      <c r="IJ23" s="462"/>
      <c r="IK23" s="462"/>
      <c r="IL23" s="462"/>
      <c r="IM23" s="462"/>
      <c r="IN23" s="462"/>
      <c r="IO23" s="462"/>
      <c r="IP23" s="462"/>
      <c r="IQ23" s="462"/>
      <c r="IR23" s="474"/>
      <c r="IS23" s="1004"/>
      <c r="IT23" s="1006"/>
      <c r="IU23" s="941"/>
      <c r="IV23" s="1016"/>
      <c r="IX23" s="1053"/>
      <c r="IY23" s="494"/>
      <c r="IZ23" s="494"/>
      <c r="JA23" s="494"/>
      <c r="JB23" s="494"/>
      <c r="JC23" s="494"/>
      <c r="JD23" s="494"/>
      <c r="JE23" s="494"/>
      <c r="JF23" s="494"/>
      <c r="JG23" s="494"/>
      <c r="JH23" s="494"/>
      <c r="JI23" s="494"/>
      <c r="JJ23" s="494"/>
      <c r="JK23" s="494"/>
      <c r="JL23" s="494"/>
      <c r="JM23" s="494"/>
      <c r="JN23" s="494"/>
      <c r="JO23" s="494"/>
      <c r="JP23" s="495"/>
      <c r="JQ23" s="1071"/>
      <c r="JR23" s="1073"/>
      <c r="JS23" s="1069"/>
      <c r="JT23" s="1070"/>
      <c r="JV23" s="1066"/>
      <c r="JW23" s="462"/>
      <c r="JX23" s="462"/>
      <c r="JY23" s="462"/>
      <c r="JZ23" s="462"/>
      <c r="KA23" s="462"/>
      <c r="KB23" s="462"/>
      <c r="KC23" s="462"/>
      <c r="KD23" s="462"/>
      <c r="KE23" s="462"/>
      <c r="KF23" s="462"/>
      <c r="KG23" s="462"/>
      <c r="KH23" s="462"/>
      <c r="KI23" s="462"/>
      <c r="KJ23" s="462"/>
      <c r="KK23" s="462"/>
      <c r="KL23" s="462"/>
      <c r="KM23" s="462"/>
      <c r="KN23" s="474"/>
      <c r="KO23" s="1004"/>
      <c r="KP23" s="1006"/>
      <c r="KQ23" s="941"/>
      <c r="KR23" s="1016"/>
      <c r="KT23" s="1043"/>
      <c r="KU23" s="462"/>
      <c r="KV23" s="462"/>
      <c r="KW23" s="462"/>
      <c r="KX23" s="462"/>
      <c r="KY23" s="462"/>
      <c r="KZ23" s="462"/>
      <c r="LA23" s="462"/>
      <c r="LB23" s="462"/>
      <c r="LC23" s="462"/>
      <c r="LD23" s="462"/>
      <c r="LE23" s="462"/>
      <c r="LF23" s="462"/>
      <c r="LG23" s="462"/>
      <c r="LH23" s="462"/>
      <c r="LI23" s="462"/>
      <c r="LJ23" s="462"/>
      <c r="LK23" s="462"/>
      <c r="LL23" s="474"/>
      <c r="LM23" s="1004"/>
      <c r="LN23" s="1006"/>
      <c r="LO23" s="941"/>
      <c r="LP23" s="1016"/>
      <c r="LR23" s="61">
        <v>21</v>
      </c>
      <c r="LS23" s="62" t="str" cm="1">
        <f t="array" ref="LS23">IF(INDEX(S:S, (ROW()-ROW($S$3))*3 + 3) &lt;&gt; "", "✔", "")</f>
        <v>✔</v>
      </c>
      <c r="LT23" s="61">
        <v>21</v>
      </c>
      <c r="LU23" s="62" t="str" cm="1">
        <f t="array" ref="LU23">IF(INDEX(AQ:AQ, (ROW()-ROW($AQ$3))*3 + 3) &lt;&gt; "", "✔", "")</f>
        <v/>
      </c>
      <c r="LV23" s="61">
        <v>21</v>
      </c>
      <c r="LW23" s="501" t="str" cm="1">
        <f t="array" ref="LW23">IF(INDEX(BO:BO, (ROW()-ROW($BO$3))*3 + 3) &lt;&gt; "", "✔", "")</f>
        <v>✔</v>
      </c>
      <c r="LX23" s="503">
        <v>21</v>
      </c>
      <c r="LY23" s="485" t="str" cm="1">
        <f t="array" ref="LY23">IF(INDEX(CM:CM, (ROW()-ROW($CM$3))*3 + 3) &lt;&gt; "", "✔", "")</f>
        <v/>
      </c>
      <c r="LZ23" s="507">
        <v>21</v>
      </c>
      <c r="MA23" s="485" t="str" cm="1">
        <f t="array" ref="MA23">IF(INDEX(DK:DK, (ROW()-ROW($DK$3))*3 + 3) &lt;&gt; "", "✔", "")</f>
        <v/>
      </c>
      <c r="MB23" s="503">
        <v>21</v>
      </c>
      <c r="MC23" s="485" t="str" cm="1">
        <f t="array" ref="MC23">IF(INDEX(EI:EI, (ROW()-ROW($EI$3))*3 + 3) &lt;&gt; "", "✔", "")</f>
        <v/>
      </c>
      <c r="MD23" s="503">
        <v>21</v>
      </c>
      <c r="ME23" s="485" t="str" cm="1">
        <f t="array" ref="ME23">IF(INDEX(FG:FG, (ROW()-ROW($FG$3))*3 + 3) &lt;&gt; "", "✔", "")</f>
        <v/>
      </c>
      <c r="MF23" s="503">
        <v>21</v>
      </c>
      <c r="MG23" s="485" t="str" cm="1">
        <f t="array" ref="MG23">IF(INDEX(GE:GE, (ROW()-ROW($GE$3))*3 + 3) &lt;&gt; "", "✔", "")</f>
        <v/>
      </c>
      <c r="MH23" s="503">
        <v>21</v>
      </c>
      <c r="MI23" s="485" t="str" cm="1">
        <f t="array" ref="MI23">IF(INDEX(HC:HC, (ROW()-ROW($HC$3))*3 + 3) &lt;&gt; "", "✔", "")</f>
        <v/>
      </c>
      <c r="MJ23" s="503">
        <v>21</v>
      </c>
      <c r="MK23" s="485" t="str" cm="1">
        <f t="array" ref="MK23">IF(INDEX(IA:IA, (ROW()-ROW($IA$3))*3 + 3) &lt;&gt; "", "✔", "")</f>
        <v/>
      </c>
      <c r="ML23" s="503">
        <v>21</v>
      </c>
      <c r="MM23" s="485" t="str" cm="1">
        <f t="array" ref="MM23">IF(INDEX(IY:IY, (ROW()-ROW($IY$3))*3 + 3) &lt;&gt; "", "✔", "")</f>
        <v/>
      </c>
      <c r="MN23" s="503">
        <v>21</v>
      </c>
      <c r="MO23" s="485" t="str" cm="1">
        <f t="array" ref="MO23">IF(INDEX(JW:JW, (ROW()-ROW($JW$3))*3 + 3) &lt;&gt; "", "✔", "")</f>
        <v/>
      </c>
      <c r="MP23" s="503">
        <v>21</v>
      </c>
      <c r="MQ23" s="13" t="str" cm="1">
        <f t="array" ref="MQ23">IF(INDEX(KU:KU, (ROW()-ROW($KU$3))*3 + 3) &lt;&gt; "", "✔", "")</f>
        <v/>
      </c>
    </row>
    <row r="24" spans="1:355" ht="15">
      <c r="A24" s="231"/>
      <c r="B24" s="231"/>
      <c r="C24" s="395" t="s">
        <v>72</v>
      </c>
      <c r="D24" s="231" t="s">
        <v>554</v>
      </c>
      <c r="E24" s="231" t="s">
        <v>559</v>
      </c>
      <c r="F24" s="231" t="s">
        <v>556</v>
      </c>
      <c r="G24" s="231" t="s">
        <v>557</v>
      </c>
      <c r="H24" s="231" t="s">
        <v>560</v>
      </c>
      <c r="I24" s="395" t="s">
        <v>561</v>
      </c>
      <c r="R24" s="873">
        <v>46030</v>
      </c>
      <c r="S24" s="844"/>
      <c r="T24" s="844"/>
      <c r="U24" s="844"/>
      <c r="V24" s="844"/>
      <c r="W24" s="844"/>
      <c r="X24" s="844"/>
      <c r="Y24" s="844"/>
      <c r="Z24" s="844"/>
      <c r="AA24" s="844"/>
      <c r="AB24" s="844"/>
      <c r="AC24" s="844"/>
      <c r="AD24" s="844"/>
      <c r="AE24" s="834"/>
      <c r="AF24" s="835"/>
      <c r="AG24" s="836"/>
      <c r="AH24" s="834"/>
      <c r="AI24" s="835"/>
      <c r="AJ24" s="835"/>
      <c r="AK24" s="459" t="s">
        <v>425</v>
      </c>
      <c r="AL24" s="1">
        <f t="shared" ref="AL24" si="31">COUNTA(S24:AJ24)</f>
        <v>0</v>
      </c>
      <c r="AM24" s="939"/>
      <c r="AN24" s="855">
        <f>AN21</f>
        <v>77.099999999999994</v>
      </c>
      <c r="AO24" s="118"/>
      <c r="AP24" s="864">
        <v>46061</v>
      </c>
      <c r="AQ24" s="849" t="s">
        <v>434</v>
      </c>
      <c r="AR24" s="849"/>
      <c r="AS24" s="849"/>
      <c r="AT24" s="849" t="s">
        <v>72</v>
      </c>
      <c r="AU24" s="849"/>
      <c r="AV24" s="849"/>
      <c r="AW24" s="890" t="s">
        <v>435</v>
      </c>
      <c r="AX24" s="890"/>
      <c r="AY24" s="890"/>
      <c r="AZ24" s="848" t="s">
        <v>68</v>
      </c>
      <c r="BA24" s="848"/>
      <c r="BB24" s="848"/>
      <c r="BC24" s="882" t="s">
        <v>123</v>
      </c>
      <c r="BD24" s="883"/>
      <c r="BE24" s="884"/>
      <c r="BF24" s="834"/>
      <c r="BG24" s="835"/>
      <c r="BH24" s="835"/>
      <c r="BI24" s="459" t="s">
        <v>425</v>
      </c>
      <c r="BJ24" s="482">
        <f t="shared" ref="BJ24:BJ42" si="32">COUNTA(AQ24:BH24)</f>
        <v>5</v>
      </c>
      <c r="BK24" s="939"/>
      <c r="BL24" s="1016">
        <v>77.849999999999994</v>
      </c>
      <c r="BM24" s="118"/>
      <c r="BN24" s="864">
        <v>46089</v>
      </c>
      <c r="BO24" s="890" t="s">
        <v>131</v>
      </c>
      <c r="BP24" s="890"/>
      <c r="BQ24" s="890"/>
      <c r="BR24" s="849" t="s">
        <v>72</v>
      </c>
      <c r="BS24" s="849"/>
      <c r="BT24" s="849"/>
      <c r="BU24" s="890" t="s">
        <v>779</v>
      </c>
      <c r="BV24" s="890"/>
      <c r="BW24" s="890"/>
      <c r="BX24" s="848" t="s">
        <v>68</v>
      </c>
      <c r="BY24" s="848"/>
      <c r="BZ24" s="848"/>
      <c r="CA24" s="972" t="s">
        <v>756</v>
      </c>
      <c r="CB24" s="972"/>
      <c r="CC24" s="972"/>
      <c r="CD24" s="834"/>
      <c r="CE24" s="835"/>
      <c r="CF24" s="835"/>
      <c r="CG24" s="459" t="s">
        <v>425</v>
      </c>
      <c r="CH24" s="482">
        <f t="shared" ref="CH24" si="33">COUNTA(BO24:CF24)</f>
        <v>5</v>
      </c>
      <c r="CI24" s="939">
        <v>8</v>
      </c>
      <c r="CJ24" s="1016">
        <f>CJ21</f>
        <v>76.8</v>
      </c>
      <c r="CL24" s="1038">
        <v>46120</v>
      </c>
      <c r="CM24" s="844"/>
      <c r="CN24" s="844"/>
      <c r="CO24" s="844"/>
      <c r="CP24" s="844"/>
      <c r="CQ24" s="844"/>
      <c r="CR24" s="844"/>
      <c r="CS24" s="844"/>
      <c r="CT24" s="844"/>
      <c r="CU24" s="844"/>
      <c r="CV24" s="844"/>
      <c r="CW24" s="844"/>
      <c r="CX24" s="844"/>
      <c r="CY24" s="834"/>
      <c r="CZ24" s="835"/>
      <c r="DA24" s="836"/>
      <c r="DB24" s="834"/>
      <c r="DC24" s="835"/>
      <c r="DD24" s="835"/>
      <c r="DE24" s="459" t="s">
        <v>425</v>
      </c>
      <c r="DF24" s="482">
        <f>COUNTA(CM24:DD24)</f>
        <v>0</v>
      </c>
      <c r="DG24" s="939">
        <v>0</v>
      </c>
      <c r="DH24" s="1016">
        <f>DH21</f>
        <v>77.900000000000006</v>
      </c>
      <c r="DJ24" s="1048">
        <v>46150</v>
      </c>
      <c r="DK24" s="960"/>
      <c r="DL24" s="960"/>
      <c r="DM24" s="960"/>
      <c r="DN24" s="960"/>
      <c r="DO24" s="960"/>
      <c r="DP24" s="960"/>
      <c r="DQ24" s="960"/>
      <c r="DR24" s="960"/>
      <c r="DS24" s="960"/>
      <c r="DT24" s="960"/>
      <c r="DU24" s="960"/>
      <c r="DV24" s="960"/>
      <c r="DW24" s="961"/>
      <c r="DX24" s="962"/>
      <c r="DY24" s="963"/>
      <c r="DZ24" s="961"/>
      <c r="EA24" s="962"/>
      <c r="EB24" s="962"/>
      <c r="EC24" s="459" t="s">
        <v>425</v>
      </c>
      <c r="ED24" s="482">
        <f>COUNTA(DK24:EB24)</f>
        <v>0</v>
      </c>
      <c r="EE24" s="939"/>
      <c r="EF24" s="1016"/>
      <c r="EH24" s="1064">
        <v>46181</v>
      </c>
      <c r="EI24" s="960"/>
      <c r="EJ24" s="960"/>
      <c r="EK24" s="960"/>
      <c r="EL24" s="960"/>
      <c r="EM24" s="960"/>
      <c r="EN24" s="960"/>
      <c r="EO24" s="960"/>
      <c r="EP24" s="960"/>
      <c r="EQ24" s="960"/>
      <c r="ER24" s="960"/>
      <c r="ES24" s="960"/>
      <c r="ET24" s="960"/>
      <c r="EU24" s="961"/>
      <c r="EV24" s="962"/>
      <c r="EW24" s="963"/>
      <c r="EX24" s="961"/>
      <c r="EY24" s="962"/>
      <c r="EZ24" s="962"/>
      <c r="FA24" s="459" t="s">
        <v>425</v>
      </c>
      <c r="FB24" s="482">
        <f>COUNTA(EI24:EZ24)</f>
        <v>0</v>
      </c>
      <c r="FC24" s="939"/>
      <c r="FD24" s="1016"/>
      <c r="FF24" s="1038">
        <v>46211</v>
      </c>
      <c r="FG24" s="960"/>
      <c r="FH24" s="960"/>
      <c r="FI24" s="960"/>
      <c r="FJ24" s="960"/>
      <c r="FK24" s="960"/>
      <c r="FL24" s="960"/>
      <c r="FM24" s="960"/>
      <c r="FN24" s="960"/>
      <c r="FO24" s="960"/>
      <c r="FP24" s="960"/>
      <c r="FQ24" s="960"/>
      <c r="FR24" s="960"/>
      <c r="FS24" s="961"/>
      <c r="FT24" s="962"/>
      <c r="FU24" s="963"/>
      <c r="FV24" s="961"/>
      <c r="FW24" s="962"/>
      <c r="FX24" s="962"/>
      <c r="FY24" s="459" t="s">
        <v>425</v>
      </c>
      <c r="FZ24" s="482">
        <f>COUNTA(FG24:FX24)</f>
        <v>0</v>
      </c>
      <c r="GA24" s="939"/>
      <c r="GB24" s="1016"/>
      <c r="GD24" s="1051">
        <v>46242</v>
      </c>
      <c r="GE24" s="1023"/>
      <c r="GF24" s="1023"/>
      <c r="GG24" s="1023"/>
      <c r="GH24" s="1023"/>
      <c r="GI24" s="1023"/>
      <c r="GJ24" s="1023"/>
      <c r="GK24" s="1023"/>
      <c r="GL24" s="1023"/>
      <c r="GM24" s="1023"/>
      <c r="GN24" s="1023"/>
      <c r="GO24" s="1023"/>
      <c r="GP24" s="1023"/>
      <c r="GQ24" s="1021"/>
      <c r="GR24" s="1022"/>
      <c r="GS24" s="1024"/>
      <c r="GT24" s="1021"/>
      <c r="GU24" s="1022"/>
      <c r="GV24" s="1022"/>
      <c r="GW24" s="489" t="s">
        <v>425</v>
      </c>
      <c r="GX24" s="496">
        <f>COUNTA(GE24:GV24)</f>
        <v>0</v>
      </c>
      <c r="GY24" s="1067"/>
      <c r="GZ24" s="1070"/>
      <c r="HB24" s="1074">
        <v>46273</v>
      </c>
      <c r="HC24" s="960"/>
      <c r="HD24" s="960"/>
      <c r="HE24" s="960"/>
      <c r="HF24" s="960"/>
      <c r="HG24" s="960"/>
      <c r="HH24" s="960"/>
      <c r="HI24" s="960"/>
      <c r="HJ24" s="960"/>
      <c r="HK24" s="960"/>
      <c r="HL24" s="960"/>
      <c r="HM24" s="960"/>
      <c r="HN24" s="960"/>
      <c r="HO24" s="961"/>
      <c r="HP24" s="962"/>
      <c r="HQ24" s="963"/>
      <c r="HR24" s="961"/>
      <c r="HS24" s="962"/>
      <c r="HT24" s="962"/>
      <c r="HU24" s="459" t="s">
        <v>425</v>
      </c>
      <c r="HV24" s="482">
        <f>COUNTA(HC24:HT24)</f>
        <v>0</v>
      </c>
      <c r="HW24" s="939"/>
      <c r="HX24" s="1016"/>
      <c r="HZ24" s="1041">
        <v>46303</v>
      </c>
      <c r="IA24" s="960"/>
      <c r="IB24" s="960"/>
      <c r="IC24" s="960"/>
      <c r="ID24" s="960"/>
      <c r="IE24" s="960"/>
      <c r="IF24" s="960"/>
      <c r="IG24" s="960"/>
      <c r="IH24" s="960"/>
      <c r="II24" s="960"/>
      <c r="IJ24" s="960"/>
      <c r="IK24" s="960"/>
      <c r="IL24" s="960"/>
      <c r="IM24" s="961"/>
      <c r="IN24" s="962"/>
      <c r="IO24" s="963"/>
      <c r="IP24" s="961"/>
      <c r="IQ24" s="962"/>
      <c r="IR24" s="962"/>
      <c r="IS24" s="459" t="s">
        <v>425</v>
      </c>
      <c r="IT24" s="482">
        <f>COUNTA(IA24:IR24)</f>
        <v>0</v>
      </c>
      <c r="IU24" s="939"/>
      <c r="IV24" s="1016"/>
      <c r="IX24" s="1061">
        <v>46334</v>
      </c>
      <c r="IY24" s="960"/>
      <c r="IZ24" s="960"/>
      <c r="JA24" s="960"/>
      <c r="JB24" s="960"/>
      <c r="JC24" s="960"/>
      <c r="JD24" s="960"/>
      <c r="JE24" s="960"/>
      <c r="JF24" s="960"/>
      <c r="JG24" s="960"/>
      <c r="JH24" s="960"/>
      <c r="JI24" s="960"/>
      <c r="JJ24" s="960"/>
      <c r="JK24" s="961"/>
      <c r="JL24" s="962"/>
      <c r="JM24" s="963"/>
      <c r="JN24" s="961"/>
      <c r="JO24" s="962"/>
      <c r="JP24" s="962"/>
      <c r="JQ24" s="459" t="s">
        <v>425</v>
      </c>
      <c r="JR24" s="482">
        <f>COUNTA(IY24:JP24)</f>
        <v>0</v>
      </c>
      <c r="JS24" s="939"/>
      <c r="JT24" s="1016"/>
      <c r="JV24" s="1074">
        <v>46364</v>
      </c>
      <c r="JW24" s="960"/>
      <c r="JX24" s="960"/>
      <c r="JY24" s="960"/>
      <c r="JZ24" s="960"/>
      <c r="KA24" s="960"/>
      <c r="KB24" s="960"/>
      <c r="KC24" s="960"/>
      <c r="KD24" s="960"/>
      <c r="KE24" s="960"/>
      <c r="KF24" s="960"/>
      <c r="KG24" s="960"/>
      <c r="KH24" s="960"/>
      <c r="KI24" s="961"/>
      <c r="KJ24" s="962"/>
      <c r="KK24" s="963"/>
      <c r="KL24" s="961"/>
      <c r="KM24" s="962"/>
      <c r="KN24" s="962"/>
      <c r="KO24" s="459" t="s">
        <v>425</v>
      </c>
      <c r="KP24" s="482">
        <f>COUNTA(JW24:KN24)</f>
        <v>0</v>
      </c>
      <c r="KQ24" s="939"/>
      <c r="KR24" s="1016"/>
      <c r="KT24" s="1048">
        <v>46395</v>
      </c>
      <c r="KU24" s="960"/>
      <c r="KV24" s="960"/>
      <c r="KW24" s="960"/>
      <c r="KX24" s="960"/>
      <c r="KY24" s="960"/>
      <c r="KZ24" s="960"/>
      <c r="LA24" s="960"/>
      <c r="LB24" s="960"/>
      <c r="LC24" s="960"/>
      <c r="LD24" s="960"/>
      <c r="LE24" s="960"/>
      <c r="LF24" s="960"/>
      <c r="LG24" s="961"/>
      <c r="LH24" s="962"/>
      <c r="LI24" s="963"/>
      <c r="LJ24" s="961"/>
      <c r="LK24" s="962"/>
      <c r="LL24" s="962"/>
      <c r="LM24" s="459" t="s">
        <v>425</v>
      </c>
      <c r="LN24" s="482">
        <f>COUNTA(KU24:LL24)</f>
        <v>0</v>
      </c>
      <c r="LO24" s="939"/>
      <c r="LP24" s="1016"/>
      <c r="LR24" s="61">
        <v>22</v>
      </c>
      <c r="LS24" s="62" t="str" cm="1">
        <f t="array" ref="LS24">IF(INDEX(S:S, (ROW()-ROW($S$3))*3 + 3) &lt;&gt; "", "✔", "")</f>
        <v>✔</v>
      </c>
      <c r="LT24" s="61">
        <v>22</v>
      </c>
      <c r="LU24" s="62" t="str" cm="1">
        <f t="array" ref="LU24">IF(INDEX(AQ:AQ, (ROW()-ROW($AQ$3))*3 + 3) &lt;&gt; "", "✔", "")</f>
        <v>✔</v>
      </c>
      <c r="LV24" s="61">
        <v>22</v>
      </c>
      <c r="LW24" s="501" t="str" cm="1">
        <f t="array" ref="LW24">IF(INDEX(BO:BO, (ROW()-ROW($BO$3))*3 + 3) &lt;&gt; "", "✔", "")</f>
        <v>✔</v>
      </c>
      <c r="LX24" s="503">
        <v>22</v>
      </c>
      <c r="LY24" s="485" t="str" cm="1">
        <f t="array" ref="LY24">IF(INDEX(CM:CM, (ROW()-ROW($CM$3))*3 + 3) &lt;&gt; "", "✔", "")</f>
        <v/>
      </c>
      <c r="LZ24" s="507">
        <v>22</v>
      </c>
      <c r="MA24" s="485" t="str" cm="1">
        <f t="array" ref="MA24">IF(INDEX(DK:DK, (ROW()-ROW($DK$3))*3 + 3) &lt;&gt; "", "✔", "")</f>
        <v/>
      </c>
      <c r="MB24" s="503">
        <v>22</v>
      </c>
      <c r="MC24" s="485" t="str" cm="1">
        <f t="array" ref="MC24">IF(INDEX(EI:EI, (ROW()-ROW($EI$3))*3 + 3) &lt;&gt; "", "✔", "")</f>
        <v/>
      </c>
      <c r="MD24" s="503">
        <v>22</v>
      </c>
      <c r="ME24" s="485" t="str" cm="1">
        <f t="array" ref="ME24">IF(INDEX(FG:FG, (ROW()-ROW($FG$3))*3 + 3) &lt;&gt; "", "✔", "")</f>
        <v/>
      </c>
      <c r="MF24" s="503">
        <v>22</v>
      </c>
      <c r="MG24" s="485" t="str" cm="1">
        <f t="array" ref="MG24">IF(INDEX(GE:GE, (ROW()-ROW($GE$3))*3 + 3) &lt;&gt; "", "✔", "")</f>
        <v/>
      </c>
      <c r="MH24" s="503">
        <v>22</v>
      </c>
      <c r="MI24" s="485" t="str" cm="1">
        <f t="array" ref="MI24">IF(INDEX(HC:HC, (ROW()-ROW($HC$3))*3 + 3) &lt;&gt; "", "✔", "")</f>
        <v/>
      </c>
      <c r="MJ24" s="503">
        <v>22</v>
      </c>
      <c r="MK24" s="485" t="str" cm="1">
        <f t="array" ref="MK24">IF(INDEX(IA:IA, (ROW()-ROW($IA$3))*3 + 3) &lt;&gt; "", "✔", "")</f>
        <v/>
      </c>
      <c r="ML24" s="503">
        <v>22</v>
      </c>
      <c r="MM24" s="485" t="str" cm="1">
        <f t="array" ref="MM24">IF(INDEX(IY:IY, (ROW()-ROW($IY$3))*3 + 3) &lt;&gt; "", "✔", "")</f>
        <v/>
      </c>
      <c r="MN24" s="503">
        <v>22</v>
      </c>
      <c r="MO24" s="485" t="str" cm="1">
        <f t="array" ref="MO24">IF(INDEX(JW:JW, (ROW()-ROW($JW$3))*3 + 3) &lt;&gt; "", "✔", "")</f>
        <v/>
      </c>
      <c r="MP24" s="503">
        <v>22</v>
      </c>
      <c r="MQ24" s="13" t="str" cm="1">
        <f t="array" ref="MQ24">IF(INDEX(KU:KU, (ROW()-ROW($KU$3))*3 + 3) &lt;&gt; "", "✔", "")</f>
        <v/>
      </c>
    </row>
    <row r="25" spans="1:355" ht="15">
      <c r="A25" s="231"/>
      <c r="B25" s="231"/>
      <c r="C25" s="395" t="s">
        <v>13</v>
      </c>
      <c r="D25" s="231" t="s">
        <v>554</v>
      </c>
      <c r="E25" s="231" t="s">
        <v>559</v>
      </c>
      <c r="F25" s="231" t="s">
        <v>556</v>
      </c>
      <c r="G25" s="231" t="s">
        <v>557</v>
      </c>
      <c r="H25" s="231" t="s">
        <v>562</v>
      </c>
      <c r="I25" s="395" t="s">
        <v>387</v>
      </c>
      <c r="R25" s="874"/>
      <c r="S25" s="107" t="s">
        <v>59</v>
      </c>
      <c r="T25" s="107" t="s">
        <v>73</v>
      </c>
      <c r="U25" s="108" t="s">
        <v>4</v>
      </c>
      <c r="V25" s="107" t="s">
        <v>59</v>
      </c>
      <c r="W25" s="107" t="s">
        <v>73</v>
      </c>
      <c r="X25" s="108" t="s">
        <v>4</v>
      </c>
      <c r="Y25" s="107" t="s">
        <v>59</v>
      </c>
      <c r="Z25" s="107" t="s">
        <v>73</v>
      </c>
      <c r="AA25" s="108" t="s">
        <v>4</v>
      </c>
      <c r="AB25" s="107" t="s">
        <v>59</v>
      </c>
      <c r="AC25" s="107" t="s">
        <v>73</v>
      </c>
      <c r="AD25" s="108" t="s">
        <v>4</v>
      </c>
      <c r="AE25" s="107" t="s">
        <v>59</v>
      </c>
      <c r="AF25" s="107" t="s">
        <v>73</v>
      </c>
      <c r="AG25" s="108" t="s">
        <v>4</v>
      </c>
      <c r="AH25" s="107" t="s">
        <v>59</v>
      </c>
      <c r="AI25" s="107" t="s">
        <v>73</v>
      </c>
      <c r="AJ25" s="471" t="s">
        <v>4</v>
      </c>
      <c r="AK25" s="1004">
        <v>0</v>
      </c>
      <c r="AL25" s="1002">
        <f t="shared" ref="AL25" si="34">(S26*T26*U26)+(V26*W26*X26)+(Y26*Z26*AA26)+(AB26*AC26*AD26)+(AE26*AF26*AG26)+(AH26*AI26*AJ26)</f>
        <v>0</v>
      </c>
      <c r="AM25" s="940"/>
      <c r="AN25" s="855"/>
      <c r="AO25" s="118"/>
      <c r="AP25" s="865"/>
      <c r="AQ25" s="231" t="s">
        <v>59</v>
      </c>
      <c r="AR25" s="231" t="s">
        <v>73</v>
      </c>
      <c r="AS25" s="102" t="s">
        <v>4</v>
      </c>
      <c r="AT25" s="231" t="s">
        <v>59</v>
      </c>
      <c r="AU25" s="231" t="s">
        <v>73</v>
      </c>
      <c r="AV25" s="102" t="s">
        <v>4</v>
      </c>
      <c r="AW25" s="231" t="s">
        <v>59</v>
      </c>
      <c r="AX25" s="231" t="s">
        <v>73</v>
      </c>
      <c r="AY25" s="102" t="s">
        <v>4</v>
      </c>
      <c r="AZ25" s="231" t="s">
        <v>59</v>
      </c>
      <c r="BA25" s="231" t="s">
        <v>73</v>
      </c>
      <c r="BB25" s="102" t="s">
        <v>4</v>
      </c>
      <c r="BC25" s="231" t="s">
        <v>59</v>
      </c>
      <c r="BD25" s="231" t="s">
        <v>73</v>
      </c>
      <c r="BE25" s="102" t="s">
        <v>4</v>
      </c>
      <c r="BF25" s="107" t="s">
        <v>59</v>
      </c>
      <c r="BG25" s="107" t="s">
        <v>73</v>
      </c>
      <c r="BH25" s="471" t="s">
        <v>4</v>
      </c>
      <c r="BI25" s="1004">
        <v>100</v>
      </c>
      <c r="BJ25" s="1003">
        <f t="shared" ref="BJ25:BJ43" si="35">(AQ26*AR26*AS26)+(AT26*AU26*AV26)+(AW26*AX26*AY26)+(AZ26*BA26*BB26)+(BC26*BD26*BE26)+(BF26*BG26*BH26)</f>
        <v>7195.5</v>
      </c>
      <c r="BK25" s="940"/>
      <c r="BL25" s="1016"/>
      <c r="BM25" s="118"/>
      <c r="BN25" s="865"/>
      <c r="BO25" s="231" t="s">
        <v>59</v>
      </c>
      <c r="BP25" s="231" t="s">
        <v>73</v>
      </c>
      <c r="BQ25" s="102" t="s">
        <v>4</v>
      </c>
      <c r="BR25" s="231" t="s">
        <v>59</v>
      </c>
      <c r="BS25" s="231" t="s">
        <v>73</v>
      </c>
      <c r="BT25" s="102" t="s">
        <v>4</v>
      </c>
      <c r="BU25" s="231" t="s">
        <v>59</v>
      </c>
      <c r="BV25" s="231" t="s">
        <v>73</v>
      </c>
      <c r="BW25" s="102" t="s">
        <v>4</v>
      </c>
      <c r="BX25" s="231" t="s">
        <v>59</v>
      </c>
      <c r="BY25" s="231" t="s">
        <v>73</v>
      </c>
      <c r="BZ25" s="102" t="s">
        <v>4</v>
      </c>
      <c r="CA25" s="231" t="s">
        <v>59</v>
      </c>
      <c r="CB25" s="231" t="s">
        <v>73</v>
      </c>
      <c r="CC25" s="102" t="s">
        <v>4</v>
      </c>
      <c r="CD25" s="107" t="s">
        <v>59</v>
      </c>
      <c r="CE25" s="107" t="s">
        <v>73</v>
      </c>
      <c r="CF25" s="471" t="s">
        <v>4</v>
      </c>
      <c r="CG25" s="1004">
        <f>60+44</f>
        <v>104</v>
      </c>
      <c r="CH25" s="1005">
        <f t="shared" ref="CH25" si="36">(BO26*BP26*BQ26)+(BR26*BS26*BT26)+(BU26*BV26*BW26)+(BX26*BY26*BZ26)+(CA26*CB26*CC26)+(CD26*CE26*CF26)</f>
        <v>8928.5</v>
      </c>
      <c r="CI25" s="940"/>
      <c r="CJ25" s="1016"/>
      <c r="CL25" s="1039"/>
      <c r="CM25" s="107" t="s">
        <v>59</v>
      </c>
      <c r="CN25" s="107" t="s">
        <v>73</v>
      </c>
      <c r="CO25" s="108" t="s">
        <v>4</v>
      </c>
      <c r="CP25" s="107" t="s">
        <v>59</v>
      </c>
      <c r="CQ25" s="107" t="s">
        <v>73</v>
      </c>
      <c r="CR25" s="108" t="s">
        <v>4</v>
      </c>
      <c r="CS25" s="107" t="s">
        <v>59</v>
      </c>
      <c r="CT25" s="107" t="s">
        <v>73</v>
      </c>
      <c r="CU25" s="108" t="s">
        <v>4</v>
      </c>
      <c r="CV25" s="107" t="s">
        <v>59</v>
      </c>
      <c r="CW25" s="107" t="s">
        <v>73</v>
      </c>
      <c r="CX25" s="108" t="s">
        <v>4</v>
      </c>
      <c r="CY25" s="107" t="s">
        <v>59</v>
      </c>
      <c r="CZ25" s="107" t="s">
        <v>73</v>
      </c>
      <c r="DA25" s="108" t="s">
        <v>4</v>
      </c>
      <c r="DB25" s="107" t="s">
        <v>59</v>
      </c>
      <c r="DC25" s="107" t="s">
        <v>73</v>
      </c>
      <c r="DD25" s="471" t="s">
        <v>4</v>
      </c>
      <c r="DE25" s="1004">
        <v>0</v>
      </c>
      <c r="DF25" s="1005">
        <f>(CM26*CN26*CO26)+(CP26*CQ26*CR26)+(CS26*CT26*CU26)+(CV26*CW26*CX26)+(CY26*CZ26*DA26)+(DB26*DC26*DD26)</f>
        <v>0</v>
      </c>
      <c r="DG25" s="940"/>
      <c r="DH25" s="1016"/>
      <c r="DJ25" s="1049"/>
      <c r="DK25" s="460" t="s">
        <v>59</v>
      </c>
      <c r="DL25" s="460" t="s">
        <v>73</v>
      </c>
      <c r="DM25" s="461" t="s">
        <v>4</v>
      </c>
      <c r="DN25" s="460" t="s">
        <v>59</v>
      </c>
      <c r="DO25" s="460" t="s">
        <v>73</v>
      </c>
      <c r="DP25" s="461" t="s">
        <v>4</v>
      </c>
      <c r="DQ25" s="460" t="s">
        <v>59</v>
      </c>
      <c r="DR25" s="460" t="s">
        <v>73</v>
      </c>
      <c r="DS25" s="461" t="s">
        <v>4</v>
      </c>
      <c r="DT25" s="460" t="s">
        <v>59</v>
      </c>
      <c r="DU25" s="460" t="s">
        <v>73</v>
      </c>
      <c r="DV25" s="461" t="s">
        <v>4</v>
      </c>
      <c r="DW25" s="460" t="s">
        <v>59</v>
      </c>
      <c r="DX25" s="460" t="s">
        <v>73</v>
      </c>
      <c r="DY25" s="461" t="s">
        <v>4</v>
      </c>
      <c r="DZ25" s="460" t="s">
        <v>59</v>
      </c>
      <c r="EA25" s="460" t="s">
        <v>73</v>
      </c>
      <c r="EB25" s="473" t="s">
        <v>4</v>
      </c>
      <c r="EC25" s="1004"/>
      <c r="ED25" s="1005">
        <f>(DK26*DL26*DM26)+(DN26*DO26*DP26)+(DQ26*DR26*DS26)+(DT26*DU26*DV26)+(DW26*DX26*DY26)+(DZ26*EA26*EB26)</f>
        <v>0</v>
      </c>
      <c r="EE25" s="940"/>
      <c r="EF25" s="1016"/>
      <c r="EH25" s="1065"/>
      <c r="EI25" s="460" t="s">
        <v>59</v>
      </c>
      <c r="EJ25" s="460" t="s">
        <v>73</v>
      </c>
      <c r="EK25" s="461" t="s">
        <v>4</v>
      </c>
      <c r="EL25" s="460" t="s">
        <v>59</v>
      </c>
      <c r="EM25" s="460" t="s">
        <v>73</v>
      </c>
      <c r="EN25" s="461" t="s">
        <v>4</v>
      </c>
      <c r="EO25" s="460" t="s">
        <v>59</v>
      </c>
      <c r="EP25" s="460" t="s">
        <v>73</v>
      </c>
      <c r="EQ25" s="461" t="s">
        <v>4</v>
      </c>
      <c r="ER25" s="460" t="s">
        <v>59</v>
      </c>
      <c r="ES25" s="460" t="s">
        <v>73</v>
      </c>
      <c r="ET25" s="461" t="s">
        <v>4</v>
      </c>
      <c r="EU25" s="460" t="s">
        <v>59</v>
      </c>
      <c r="EV25" s="460" t="s">
        <v>73</v>
      </c>
      <c r="EW25" s="461" t="s">
        <v>4</v>
      </c>
      <c r="EX25" s="460" t="s">
        <v>59</v>
      </c>
      <c r="EY25" s="460" t="s">
        <v>73</v>
      </c>
      <c r="EZ25" s="473" t="s">
        <v>4</v>
      </c>
      <c r="FA25" s="1004"/>
      <c r="FB25" s="1005">
        <f>(EI26*EJ26*EK26)+(EL26*EM26*EN26)+(EO26*EP26*EQ26)+(ER26*ES26*ET26)+(EU26*EV26*EW26)+(EX26*EY26*EZ26)</f>
        <v>0</v>
      </c>
      <c r="FC25" s="940"/>
      <c r="FD25" s="1016"/>
      <c r="FF25" s="1039"/>
      <c r="FG25" s="460" t="s">
        <v>59</v>
      </c>
      <c r="FH25" s="460" t="s">
        <v>73</v>
      </c>
      <c r="FI25" s="461" t="s">
        <v>4</v>
      </c>
      <c r="FJ25" s="460" t="s">
        <v>59</v>
      </c>
      <c r="FK25" s="460" t="s">
        <v>73</v>
      </c>
      <c r="FL25" s="461" t="s">
        <v>4</v>
      </c>
      <c r="FM25" s="460" t="s">
        <v>59</v>
      </c>
      <c r="FN25" s="460" t="s">
        <v>73</v>
      </c>
      <c r="FO25" s="461" t="s">
        <v>4</v>
      </c>
      <c r="FP25" s="460" t="s">
        <v>59</v>
      </c>
      <c r="FQ25" s="460" t="s">
        <v>73</v>
      </c>
      <c r="FR25" s="461" t="s">
        <v>4</v>
      </c>
      <c r="FS25" s="460" t="s">
        <v>59</v>
      </c>
      <c r="FT25" s="460" t="s">
        <v>73</v>
      </c>
      <c r="FU25" s="461" t="s">
        <v>4</v>
      </c>
      <c r="FV25" s="460" t="s">
        <v>59</v>
      </c>
      <c r="FW25" s="460" t="s">
        <v>73</v>
      </c>
      <c r="FX25" s="473" t="s">
        <v>4</v>
      </c>
      <c r="FY25" s="1004"/>
      <c r="FZ25" s="1005">
        <f>(FG26*FH26*FI26)+(FJ26*FK26*FL26)+(FM26*FN26*FO26)+(FP26*FQ26*FR26)+(FS26*FT26*FU26)+(FV26*FW26*FX26)</f>
        <v>0</v>
      </c>
      <c r="GA25" s="940"/>
      <c r="GB25" s="1016"/>
      <c r="GD25" s="1052"/>
      <c r="GE25" s="491" t="s">
        <v>59</v>
      </c>
      <c r="GF25" s="491" t="s">
        <v>73</v>
      </c>
      <c r="GG25" s="492" t="s">
        <v>4</v>
      </c>
      <c r="GH25" s="491" t="s">
        <v>59</v>
      </c>
      <c r="GI25" s="491" t="s">
        <v>73</v>
      </c>
      <c r="GJ25" s="492" t="s">
        <v>4</v>
      </c>
      <c r="GK25" s="491" t="s">
        <v>59</v>
      </c>
      <c r="GL25" s="491" t="s">
        <v>73</v>
      </c>
      <c r="GM25" s="492" t="s">
        <v>4</v>
      </c>
      <c r="GN25" s="491" t="s">
        <v>59</v>
      </c>
      <c r="GO25" s="491" t="s">
        <v>73</v>
      </c>
      <c r="GP25" s="492" t="s">
        <v>4</v>
      </c>
      <c r="GQ25" s="491" t="s">
        <v>59</v>
      </c>
      <c r="GR25" s="491" t="s">
        <v>73</v>
      </c>
      <c r="GS25" s="492" t="s">
        <v>4</v>
      </c>
      <c r="GT25" s="491" t="s">
        <v>59</v>
      </c>
      <c r="GU25" s="491" t="s">
        <v>73</v>
      </c>
      <c r="GV25" s="493" t="s">
        <v>4</v>
      </c>
      <c r="GW25" s="1071"/>
      <c r="GX25" s="1072">
        <f>(GE26*GF26*GG26)+(GH26*GI26*GJ26)+(GK26*GL26*GM26)+(GN26*GO26*GP26)+(GQ26*GR26*GS26)+(GT26*GU26*GV26)</f>
        <v>0</v>
      </c>
      <c r="GY25" s="1068"/>
      <c r="GZ25" s="1070"/>
      <c r="HB25" s="1075"/>
      <c r="HC25" s="460" t="s">
        <v>59</v>
      </c>
      <c r="HD25" s="460" t="s">
        <v>73</v>
      </c>
      <c r="HE25" s="461" t="s">
        <v>4</v>
      </c>
      <c r="HF25" s="460" t="s">
        <v>59</v>
      </c>
      <c r="HG25" s="460" t="s">
        <v>73</v>
      </c>
      <c r="HH25" s="461" t="s">
        <v>4</v>
      </c>
      <c r="HI25" s="460" t="s">
        <v>59</v>
      </c>
      <c r="HJ25" s="460" t="s">
        <v>73</v>
      </c>
      <c r="HK25" s="461" t="s">
        <v>4</v>
      </c>
      <c r="HL25" s="460" t="s">
        <v>59</v>
      </c>
      <c r="HM25" s="460" t="s">
        <v>73</v>
      </c>
      <c r="HN25" s="461" t="s">
        <v>4</v>
      </c>
      <c r="HO25" s="460" t="s">
        <v>59</v>
      </c>
      <c r="HP25" s="460" t="s">
        <v>73</v>
      </c>
      <c r="HQ25" s="461" t="s">
        <v>4</v>
      </c>
      <c r="HR25" s="460" t="s">
        <v>59</v>
      </c>
      <c r="HS25" s="460" t="s">
        <v>73</v>
      </c>
      <c r="HT25" s="473" t="s">
        <v>4</v>
      </c>
      <c r="HU25" s="1004"/>
      <c r="HV25" s="1005">
        <f>(HC26*HD26*HE26)+(HF26*HG26*HH26)+(HI26*HJ26*HK26)+(HL26*HM26*HN26)+(HO26*HP26*HQ26)+(HR26*HS26*HT26)</f>
        <v>0</v>
      </c>
      <c r="HW25" s="940"/>
      <c r="HX25" s="1016"/>
      <c r="HZ25" s="1042"/>
      <c r="IA25" s="460" t="s">
        <v>59</v>
      </c>
      <c r="IB25" s="460" t="s">
        <v>73</v>
      </c>
      <c r="IC25" s="461" t="s">
        <v>4</v>
      </c>
      <c r="ID25" s="460" t="s">
        <v>59</v>
      </c>
      <c r="IE25" s="460" t="s">
        <v>73</v>
      </c>
      <c r="IF25" s="461" t="s">
        <v>4</v>
      </c>
      <c r="IG25" s="460" t="s">
        <v>59</v>
      </c>
      <c r="IH25" s="460" t="s">
        <v>73</v>
      </c>
      <c r="II25" s="461" t="s">
        <v>4</v>
      </c>
      <c r="IJ25" s="460" t="s">
        <v>59</v>
      </c>
      <c r="IK25" s="460" t="s">
        <v>73</v>
      </c>
      <c r="IL25" s="461" t="s">
        <v>4</v>
      </c>
      <c r="IM25" s="460" t="s">
        <v>59</v>
      </c>
      <c r="IN25" s="460" t="s">
        <v>73</v>
      </c>
      <c r="IO25" s="461" t="s">
        <v>4</v>
      </c>
      <c r="IP25" s="460" t="s">
        <v>59</v>
      </c>
      <c r="IQ25" s="460" t="s">
        <v>73</v>
      </c>
      <c r="IR25" s="473" t="s">
        <v>4</v>
      </c>
      <c r="IS25" s="1004"/>
      <c r="IT25" s="1005">
        <f>(IA26*IB26*IC26)+(ID26*IE26*IF26)+(IG26*IH26*II26)+(IJ26*IK26*IL26)+(IM26*IN26*IO26)+(IP26*IQ26*IR26)</f>
        <v>0</v>
      </c>
      <c r="IU25" s="940"/>
      <c r="IV25" s="1016"/>
      <c r="IX25" s="1062"/>
      <c r="IY25" s="460" t="s">
        <v>59</v>
      </c>
      <c r="IZ25" s="460" t="s">
        <v>73</v>
      </c>
      <c r="JA25" s="461" t="s">
        <v>4</v>
      </c>
      <c r="JB25" s="460" t="s">
        <v>59</v>
      </c>
      <c r="JC25" s="460" t="s">
        <v>73</v>
      </c>
      <c r="JD25" s="461" t="s">
        <v>4</v>
      </c>
      <c r="JE25" s="460" t="s">
        <v>59</v>
      </c>
      <c r="JF25" s="460" t="s">
        <v>73</v>
      </c>
      <c r="JG25" s="461" t="s">
        <v>4</v>
      </c>
      <c r="JH25" s="460" t="s">
        <v>59</v>
      </c>
      <c r="JI25" s="460" t="s">
        <v>73</v>
      </c>
      <c r="JJ25" s="461" t="s">
        <v>4</v>
      </c>
      <c r="JK25" s="460" t="s">
        <v>59</v>
      </c>
      <c r="JL25" s="460" t="s">
        <v>73</v>
      </c>
      <c r="JM25" s="461" t="s">
        <v>4</v>
      </c>
      <c r="JN25" s="460" t="s">
        <v>59</v>
      </c>
      <c r="JO25" s="460" t="s">
        <v>73</v>
      </c>
      <c r="JP25" s="473" t="s">
        <v>4</v>
      </c>
      <c r="JQ25" s="1004"/>
      <c r="JR25" s="1005">
        <f>(IY26*IZ26*JA26)+(JB26*JC26*JD26)+(JE26*JF26*JG26)+(JH26*JI26*JJ26)+(JK26*JL26*JM26)+(JN26*JO26*JP26)</f>
        <v>0</v>
      </c>
      <c r="JS25" s="940"/>
      <c r="JT25" s="1016"/>
      <c r="JV25" s="1075"/>
      <c r="JW25" s="460" t="s">
        <v>59</v>
      </c>
      <c r="JX25" s="460" t="s">
        <v>73</v>
      </c>
      <c r="JY25" s="461" t="s">
        <v>4</v>
      </c>
      <c r="JZ25" s="460" t="s">
        <v>59</v>
      </c>
      <c r="KA25" s="460" t="s">
        <v>73</v>
      </c>
      <c r="KB25" s="461" t="s">
        <v>4</v>
      </c>
      <c r="KC25" s="460" t="s">
        <v>59</v>
      </c>
      <c r="KD25" s="460" t="s">
        <v>73</v>
      </c>
      <c r="KE25" s="461" t="s">
        <v>4</v>
      </c>
      <c r="KF25" s="460" t="s">
        <v>59</v>
      </c>
      <c r="KG25" s="460" t="s">
        <v>73</v>
      </c>
      <c r="KH25" s="461" t="s">
        <v>4</v>
      </c>
      <c r="KI25" s="460" t="s">
        <v>59</v>
      </c>
      <c r="KJ25" s="460" t="s">
        <v>73</v>
      </c>
      <c r="KK25" s="461" t="s">
        <v>4</v>
      </c>
      <c r="KL25" s="460" t="s">
        <v>59</v>
      </c>
      <c r="KM25" s="460" t="s">
        <v>73</v>
      </c>
      <c r="KN25" s="473" t="s">
        <v>4</v>
      </c>
      <c r="KO25" s="1004"/>
      <c r="KP25" s="1005">
        <f>(JW26*JX26*JY26)+(JZ26*KA26*KB26)+(KC26*KD26*KE26)+(KF26*KG26*KH26)+(KI26*KJ26*KK26)+(KL26*KM26*KN26)</f>
        <v>0</v>
      </c>
      <c r="KQ25" s="940"/>
      <c r="KR25" s="1016"/>
      <c r="KT25" s="1049"/>
      <c r="KU25" s="460" t="s">
        <v>59</v>
      </c>
      <c r="KV25" s="460" t="s">
        <v>73</v>
      </c>
      <c r="KW25" s="461" t="s">
        <v>4</v>
      </c>
      <c r="KX25" s="460" t="s">
        <v>59</v>
      </c>
      <c r="KY25" s="460" t="s">
        <v>73</v>
      </c>
      <c r="KZ25" s="461" t="s">
        <v>4</v>
      </c>
      <c r="LA25" s="460" t="s">
        <v>59</v>
      </c>
      <c r="LB25" s="460" t="s">
        <v>73</v>
      </c>
      <c r="LC25" s="461" t="s">
        <v>4</v>
      </c>
      <c r="LD25" s="460" t="s">
        <v>59</v>
      </c>
      <c r="LE25" s="460" t="s">
        <v>73</v>
      </c>
      <c r="LF25" s="461" t="s">
        <v>4</v>
      </c>
      <c r="LG25" s="460" t="s">
        <v>59</v>
      </c>
      <c r="LH25" s="460" t="s">
        <v>73</v>
      </c>
      <c r="LI25" s="461" t="s">
        <v>4</v>
      </c>
      <c r="LJ25" s="460" t="s">
        <v>59</v>
      </c>
      <c r="LK25" s="460" t="s">
        <v>73</v>
      </c>
      <c r="LL25" s="473" t="s">
        <v>4</v>
      </c>
      <c r="LM25" s="1004"/>
      <c r="LN25" s="1005">
        <f>(KU26*KV26*KW26)+(KX26*KY26*KZ26)+(LA26*LB26*LC26)+(LD26*LE26*LF26)+(LG26*LH26*LI26)+(LJ26*LK26*LL26)</f>
        <v>0</v>
      </c>
      <c r="LO25" s="940"/>
      <c r="LP25" s="1016"/>
      <c r="LR25" s="61">
        <v>23</v>
      </c>
      <c r="LS25" s="62" t="str" cm="1">
        <f t="array" ref="LS25">IF(INDEX(S:S, (ROW()-ROW($S$3))*3 + 3) &lt;&gt; "", "✔", "")</f>
        <v>✔</v>
      </c>
      <c r="LT25" s="61">
        <v>23</v>
      </c>
      <c r="LU25" s="62" t="str" cm="1">
        <f t="array" ref="LU25">IF(INDEX(AQ:AQ, (ROW()-ROW($AQ$3))*3 + 3) &lt;&gt; "", "✔", "")</f>
        <v>✔</v>
      </c>
      <c r="LV25" s="61">
        <v>23</v>
      </c>
      <c r="LW25" s="501" t="str" cm="1">
        <f t="array" ref="LW25">IF(INDEX(BO:BO, (ROW()-ROW($BO$3))*3 + 3) &lt;&gt; "", "✔", "")</f>
        <v>✔</v>
      </c>
      <c r="LX25" s="503">
        <v>23</v>
      </c>
      <c r="LY25" s="485" t="str" cm="1">
        <f t="array" ref="LY25">IF(INDEX(CM:CM, (ROW()-ROW($CM$3))*3 + 3) &lt;&gt; "", "✔", "")</f>
        <v/>
      </c>
      <c r="LZ25" s="507">
        <v>23</v>
      </c>
      <c r="MA25" s="485" t="str" cm="1">
        <f t="array" ref="MA25">IF(INDEX(DK:DK, (ROW()-ROW($DK$3))*3 + 3) &lt;&gt; "", "✔", "")</f>
        <v/>
      </c>
      <c r="MB25" s="503">
        <v>23</v>
      </c>
      <c r="MC25" s="485" t="str" cm="1">
        <f t="array" ref="MC25">IF(INDEX(EI:EI, (ROW()-ROW($EI$3))*3 + 3) &lt;&gt; "", "✔", "")</f>
        <v/>
      </c>
      <c r="MD25" s="503">
        <v>23</v>
      </c>
      <c r="ME25" s="485" t="str" cm="1">
        <f t="array" ref="ME25">IF(INDEX(FG:FG, (ROW()-ROW($FG$3))*3 + 3) &lt;&gt; "", "✔", "")</f>
        <v/>
      </c>
      <c r="MF25" s="503">
        <v>23</v>
      </c>
      <c r="MG25" s="485" t="str" cm="1">
        <f t="array" ref="MG25">IF(INDEX(GE:GE, (ROW()-ROW($GE$3))*3 + 3) &lt;&gt; "", "✔", "")</f>
        <v/>
      </c>
      <c r="MH25" s="503">
        <v>23</v>
      </c>
      <c r="MI25" s="485" t="str" cm="1">
        <f t="array" ref="MI25">IF(INDEX(HC:HC, (ROW()-ROW($HC$3))*3 + 3) &lt;&gt; "", "✔", "")</f>
        <v/>
      </c>
      <c r="MJ25" s="503">
        <v>23</v>
      </c>
      <c r="MK25" s="485" t="str" cm="1">
        <f t="array" ref="MK25">IF(INDEX(IA:IA, (ROW()-ROW($IA$3))*3 + 3) &lt;&gt; "", "✔", "")</f>
        <v/>
      </c>
      <c r="ML25" s="503">
        <v>23</v>
      </c>
      <c r="MM25" s="485" t="str" cm="1">
        <f t="array" ref="MM25">IF(INDEX(IY:IY, (ROW()-ROW($IY$3))*3 + 3) &lt;&gt; "", "✔", "")</f>
        <v/>
      </c>
      <c r="MN25" s="503">
        <v>23</v>
      </c>
      <c r="MO25" s="485" t="str" cm="1">
        <f t="array" ref="MO25">IF(INDEX(JW:JW, (ROW()-ROW($JW$3))*3 + 3) &lt;&gt; "", "✔", "")</f>
        <v/>
      </c>
      <c r="MP25" s="503">
        <v>23</v>
      </c>
      <c r="MQ25" s="13" t="str" cm="1">
        <f t="array" ref="MQ25">IF(INDEX(KU:KU, (ROW()-ROW($KU$3))*3 + 3) &lt;&gt; "", "✔", "")</f>
        <v/>
      </c>
    </row>
    <row r="26" spans="1:355" ht="15">
      <c r="A26" s="231"/>
      <c r="B26" s="231"/>
      <c r="C26" s="395" t="s">
        <v>99</v>
      </c>
      <c r="D26" s="231" t="s">
        <v>554</v>
      </c>
      <c r="E26" s="231" t="s">
        <v>563</v>
      </c>
      <c r="F26" s="231" t="s">
        <v>556</v>
      </c>
      <c r="G26" s="231" t="s">
        <v>557</v>
      </c>
      <c r="H26" s="231" t="s">
        <v>564</v>
      </c>
      <c r="I26" s="395" t="s">
        <v>561</v>
      </c>
      <c r="R26" s="875"/>
      <c r="S26" s="233"/>
      <c r="T26" s="233"/>
      <c r="U26" s="233"/>
      <c r="V26" s="233"/>
      <c r="W26" s="233"/>
      <c r="X26" s="233"/>
      <c r="Y26" s="233"/>
      <c r="Z26" s="233"/>
      <c r="AA26" s="233"/>
      <c r="AB26" s="233"/>
      <c r="AC26" s="233"/>
      <c r="AD26" s="233"/>
      <c r="AE26" s="233"/>
      <c r="AF26" s="233"/>
      <c r="AG26" s="233"/>
      <c r="AH26" s="233"/>
      <c r="AI26" s="233"/>
      <c r="AJ26" s="472"/>
      <c r="AK26" s="1004"/>
      <c r="AL26" s="1002"/>
      <c r="AM26" s="941"/>
      <c r="AN26" s="855"/>
      <c r="AO26" s="118"/>
      <c r="AP26" s="866"/>
      <c r="AQ26" s="229">
        <v>4</v>
      </c>
      <c r="AR26" s="126">
        <f>((14*2)+(11*2))/4</f>
        <v>12.5</v>
      </c>
      <c r="AS26" s="229">
        <f>((12.5*1)+(25*3))/4</f>
        <v>21.875</v>
      </c>
      <c r="AT26" s="229">
        <v>4</v>
      </c>
      <c r="AU26" s="229">
        <f>((14*1)+(8*3))/4</f>
        <v>9.5</v>
      </c>
      <c r="AV26" s="229">
        <f>((23*1)+(59*3))/4</f>
        <v>50</v>
      </c>
      <c r="AW26" s="229">
        <v>4</v>
      </c>
      <c r="AX26" s="229">
        <f>((12*1)+(7*1)+(6*2))/4</f>
        <v>7.75</v>
      </c>
      <c r="AY26" s="126">
        <f>((12.5*1)+(22.5*3))/4</f>
        <v>20</v>
      </c>
      <c r="AZ26" s="229">
        <v>4</v>
      </c>
      <c r="BA26" s="126">
        <f>((12*2)+(8*1)+(10*1))/4</f>
        <v>10.5</v>
      </c>
      <c r="BB26" s="126">
        <f>((32*1)+(68*3))/4</f>
        <v>59</v>
      </c>
      <c r="BC26" s="229">
        <v>4</v>
      </c>
      <c r="BD26" s="126">
        <f>((14*1)+(12*3))/4</f>
        <v>12.5</v>
      </c>
      <c r="BE26" s="229">
        <f>((13.6*1)+(24.9*3))/4</f>
        <v>22.074999999999996</v>
      </c>
      <c r="BF26" s="233"/>
      <c r="BG26" s="233"/>
      <c r="BH26" s="472"/>
      <c r="BI26" s="1004"/>
      <c r="BJ26" s="1003"/>
      <c r="BK26" s="941"/>
      <c r="BL26" s="1016"/>
      <c r="BM26" s="118"/>
      <c r="BN26" s="866"/>
      <c r="BO26" s="229">
        <v>4</v>
      </c>
      <c r="BP26" s="126">
        <f>((12*1)+(8*1)+(10*2))/4</f>
        <v>10</v>
      </c>
      <c r="BQ26" s="229">
        <f>((20*1)+(40*3))/4</f>
        <v>35</v>
      </c>
      <c r="BR26" s="229">
        <v>4</v>
      </c>
      <c r="BS26" s="229">
        <f>((12*1)+(10*3))/4</f>
        <v>10.5</v>
      </c>
      <c r="BT26" s="229">
        <f>((27*1)+(59*3))/4</f>
        <v>51</v>
      </c>
      <c r="BU26" s="229">
        <v>4</v>
      </c>
      <c r="BV26" s="229">
        <f>((12*1)+(10*3))/4</f>
        <v>10.5</v>
      </c>
      <c r="BW26" s="229">
        <f>((20*1)+(35*3))/4</f>
        <v>31.25</v>
      </c>
      <c r="BX26" s="229">
        <v>4</v>
      </c>
      <c r="BY26" s="229">
        <f>((12*4))/4</f>
        <v>12</v>
      </c>
      <c r="BZ26" s="229">
        <f>((36*1)+(72*3))/4</f>
        <v>63</v>
      </c>
      <c r="CA26" s="229">
        <v>4</v>
      </c>
      <c r="CB26" s="229">
        <f>((12*4))/4</f>
        <v>12</v>
      </c>
      <c r="CC26" s="229">
        <f>((12.5*1)+(25*3))/4</f>
        <v>21.875</v>
      </c>
      <c r="CD26" s="233"/>
      <c r="CE26" s="233"/>
      <c r="CF26" s="472"/>
      <c r="CG26" s="1004"/>
      <c r="CH26" s="1006"/>
      <c r="CI26" s="941"/>
      <c r="CJ26" s="1016"/>
      <c r="CL26" s="1040"/>
      <c r="CM26" s="233"/>
      <c r="CN26" s="233"/>
      <c r="CO26" s="233"/>
      <c r="CP26" s="233"/>
      <c r="CQ26" s="233"/>
      <c r="CR26" s="233"/>
      <c r="CS26" s="233"/>
      <c r="CT26" s="233"/>
      <c r="CU26" s="233"/>
      <c r="CV26" s="233"/>
      <c r="CW26" s="233"/>
      <c r="CX26" s="233"/>
      <c r="CY26" s="233"/>
      <c r="CZ26" s="233"/>
      <c r="DA26" s="233"/>
      <c r="DB26" s="233"/>
      <c r="DC26" s="233"/>
      <c r="DD26" s="477"/>
      <c r="DE26" s="1004"/>
      <c r="DF26" s="1006"/>
      <c r="DG26" s="941"/>
      <c r="DH26" s="1016"/>
      <c r="DJ26" s="1050"/>
      <c r="DK26" s="462"/>
      <c r="DL26" s="462"/>
      <c r="DM26" s="462"/>
      <c r="DN26" s="462"/>
      <c r="DO26" s="462"/>
      <c r="DP26" s="462"/>
      <c r="DQ26" s="462"/>
      <c r="DR26" s="462"/>
      <c r="DS26" s="462"/>
      <c r="DT26" s="462"/>
      <c r="DU26" s="462"/>
      <c r="DV26" s="462"/>
      <c r="DW26" s="462"/>
      <c r="DX26" s="462"/>
      <c r="DY26" s="462"/>
      <c r="DZ26" s="462"/>
      <c r="EA26" s="462"/>
      <c r="EB26" s="474"/>
      <c r="EC26" s="1004"/>
      <c r="ED26" s="1006"/>
      <c r="EE26" s="941"/>
      <c r="EF26" s="1016"/>
      <c r="EH26" s="1066"/>
      <c r="EI26" s="462"/>
      <c r="EJ26" s="462"/>
      <c r="EK26" s="462"/>
      <c r="EL26" s="462"/>
      <c r="EM26" s="462"/>
      <c r="EN26" s="462"/>
      <c r="EO26" s="462"/>
      <c r="EP26" s="462"/>
      <c r="EQ26" s="462"/>
      <c r="ER26" s="462"/>
      <c r="ES26" s="462"/>
      <c r="ET26" s="462"/>
      <c r="EU26" s="462"/>
      <c r="EV26" s="462"/>
      <c r="EW26" s="462"/>
      <c r="EX26" s="462"/>
      <c r="EY26" s="462"/>
      <c r="EZ26" s="474"/>
      <c r="FA26" s="1004"/>
      <c r="FB26" s="1006"/>
      <c r="FC26" s="941"/>
      <c r="FD26" s="1016"/>
      <c r="FF26" s="1040"/>
      <c r="FG26" s="462"/>
      <c r="FH26" s="462"/>
      <c r="FI26" s="462"/>
      <c r="FJ26" s="462"/>
      <c r="FK26" s="462"/>
      <c r="FL26" s="462"/>
      <c r="FM26" s="462"/>
      <c r="FN26" s="462"/>
      <c r="FO26" s="462"/>
      <c r="FP26" s="462"/>
      <c r="FQ26" s="462"/>
      <c r="FR26" s="462"/>
      <c r="FS26" s="462"/>
      <c r="FT26" s="462"/>
      <c r="FU26" s="462"/>
      <c r="FV26" s="462"/>
      <c r="FW26" s="462"/>
      <c r="FX26" s="474"/>
      <c r="FY26" s="1004"/>
      <c r="FZ26" s="1006"/>
      <c r="GA26" s="941"/>
      <c r="GB26" s="1016"/>
      <c r="GD26" s="1053"/>
      <c r="GE26" s="494"/>
      <c r="GF26" s="494"/>
      <c r="GG26" s="494"/>
      <c r="GH26" s="494"/>
      <c r="GI26" s="494"/>
      <c r="GJ26" s="494"/>
      <c r="GK26" s="494"/>
      <c r="GL26" s="494"/>
      <c r="GM26" s="494"/>
      <c r="GN26" s="494"/>
      <c r="GO26" s="494"/>
      <c r="GP26" s="494"/>
      <c r="GQ26" s="494"/>
      <c r="GR26" s="494"/>
      <c r="GS26" s="494"/>
      <c r="GT26" s="494"/>
      <c r="GU26" s="494"/>
      <c r="GV26" s="495"/>
      <c r="GW26" s="1071"/>
      <c r="GX26" s="1073"/>
      <c r="GY26" s="1069"/>
      <c r="GZ26" s="1070"/>
      <c r="HB26" s="1076"/>
      <c r="HC26" s="462"/>
      <c r="HD26" s="462"/>
      <c r="HE26" s="462"/>
      <c r="HF26" s="462"/>
      <c r="HG26" s="462"/>
      <c r="HH26" s="462"/>
      <c r="HI26" s="462"/>
      <c r="HJ26" s="462"/>
      <c r="HK26" s="462"/>
      <c r="HL26" s="462"/>
      <c r="HM26" s="462"/>
      <c r="HN26" s="462"/>
      <c r="HO26" s="462"/>
      <c r="HP26" s="462"/>
      <c r="HQ26" s="462"/>
      <c r="HR26" s="462"/>
      <c r="HS26" s="462"/>
      <c r="HT26" s="474"/>
      <c r="HU26" s="1004"/>
      <c r="HV26" s="1006"/>
      <c r="HW26" s="941"/>
      <c r="HX26" s="1016"/>
      <c r="HZ26" s="1043"/>
      <c r="IA26" s="462"/>
      <c r="IB26" s="462"/>
      <c r="IC26" s="462"/>
      <c r="ID26" s="462"/>
      <c r="IE26" s="462"/>
      <c r="IF26" s="462"/>
      <c r="IG26" s="462"/>
      <c r="IH26" s="462"/>
      <c r="II26" s="462"/>
      <c r="IJ26" s="462"/>
      <c r="IK26" s="462"/>
      <c r="IL26" s="462"/>
      <c r="IM26" s="462"/>
      <c r="IN26" s="462"/>
      <c r="IO26" s="462"/>
      <c r="IP26" s="462"/>
      <c r="IQ26" s="462"/>
      <c r="IR26" s="474"/>
      <c r="IS26" s="1004"/>
      <c r="IT26" s="1006"/>
      <c r="IU26" s="941"/>
      <c r="IV26" s="1016"/>
      <c r="IX26" s="1063"/>
      <c r="IY26" s="462"/>
      <c r="IZ26" s="462"/>
      <c r="JA26" s="462"/>
      <c r="JB26" s="462"/>
      <c r="JC26" s="462"/>
      <c r="JD26" s="462"/>
      <c r="JE26" s="462"/>
      <c r="JF26" s="462"/>
      <c r="JG26" s="462"/>
      <c r="JH26" s="462"/>
      <c r="JI26" s="462"/>
      <c r="JJ26" s="462"/>
      <c r="JK26" s="462"/>
      <c r="JL26" s="462"/>
      <c r="JM26" s="462"/>
      <c r="JN26" s="462"/>
      <c r="JO26" s="462"/>
      <c r="JP26" s="474"/>
      <c r="JQ26" s="1004"/>
      <c r="JR26" s="1006"/>
      <c r="JS26" s="941"/>
      <c r="JT26" s="1016"/>
      <c r="JV26" s="1076"/>
      <c r="JW26" s="462"/>
      <c r="JX26" s="462"/>
      <c r="JY26" s="462"/>
      <c r="JZ26" s="462"/>
      <c r="KA26" s="462"/>
      <c r="KB26" s="462"/>
      <c r="KC26" s="462"/>
      <c r="KD26" s="462"/>
      <c r="KE26" s="462"/>
      <c r="KF26" s="462"/>
      <c r="KG26" s="462"/>
      <c r="KH26" s="462"/>
      <c r="KI26" s="462"/>
      <c r="KJ26" s="462"/>
      <c r="KK26" s="462"/>
      <c r="KL26" s="462"/>
      <c r="KM26" s="462"/>
      <c r="KN26" s="474"/>
      <c r="KO26" s="1004"/>
      <c r="KP26" s="1006"/>
      <c r="KQ26" s="941"/>
      <c r="KR26" s="1016"/>
      <c r="KT26" s="1050"/>
      <c r="KU26" s="462"/>
      <c r="KV26" s="462"/>
      <c r="KW26" s="462"/>
      <c r="KX26" s="462"/>
      <c r="KY26" s="462"/>
      <c r="KZ26" s="462"/>
      <c r="LA26" s="462"/>
      <c r="LB26" s="462"/>
      <c r="LC26" s="462"/>
      <c r="LD26" s="462"/>
      <c r="LE26" s="462"/>
      <c r="LF26" s="462"/>
      <c r="LG26" s="462"/>
      <c r="LH26" s="462"/>
      <c r="LI26" s="462"/>
      <c r="LJ26" s="462"/>
      <c r="LK26" s="462"/>
      <c r="LL26" s="474"/>
      <c r="LM26" s="1004"/>
      <c r="LN26" s="1006"/>
      <c r="LO26" s="941"/>
      <c r="LP26" s="1016"/>
      <c r="LR26" s="61">
        <v>24</v>
      </c>
      <c r="LS26" s="62" t="str" cm="1">
        <f t="array" ref="LS26">IF(INDEX(S:S, (ROW()-ROW($S$3))*3 + 3) &lt;&gt; "", "✔", "")</f>
        <v/>
      </c>
      <c r="LT26" s="61">
        <v>24</v>
      </c>
      <c r="LU26" s="62" t="str" cm="1">
        <f t="array" ref="LU26">IF(INDEX(AQ:AQ, (ROW()-ROW($AQ$3))*3 + 3) &lt;&gt; "", "✔", "")</f>
        <v>✔</v>
      </c>
      <c r="LV26" s="61">
        <v>24</v>
      </c>
      <c r="LW26" s="501" t="str" cm="1">
        <f t="array" ref="LW26">IF(INDEX(BO:BO, (ROW()-ROW($BO$3))*3 + 3) &lt;&gt; "", "✔", "")</f>
        <v>✔</v>
      </c>
      <c r="LX26" s="503">
        <v>24</v>
      </c>
      <c r="LY26" s="485" t="str" cm="1">
        <f t="array" ref="LY26">IF(INDEX(CM:CM, (ROW()-ROW($CM$3))*3 + 3) &lt;&gt; "", "✔", "")</f>
        <v/>
      </c>
      <c r="LZ26" s="507">
        <v>24</v>
      </c>
      <c r="MA26" s="485" t="str" cm="1">
        <f t="array" ref="MA26">IF(INDEX(DK:DK, (ROW()-ROW($DK$3))*3 + 3) &lt;&gt; "", "✔", "")</f>
        <v/>
      </c>
      <c r="MB26" s="503">
        <v>24</v>
      </c>
      <c r="MC26" s="485" t="str" cm="1">
        <f t="array" ref="MC26">IF(INDEX(EI:EI, (ROW()-ROW($EI$3))*3 + 3) &lt;&gt; "", "✔", "")</f>
        <v/>
      </c>
      <c r="MD26" s="503">
        <v>24</v>
      </c>
      <c r="ME26" s="485" t="str" cm="1">
        <f t="array" ref="ME26">IF(INDEX(FG:FG, (ROW()-ROW($FG$3))*3 + 3) &lt;&gt; "", "✔", "")</f>
        <v/>
      </c>
      <c r="MF26" s="503">
        <v>24</v>
      </c>
      <c r="MG26" s="485" t="str" cm="1">
        <f t="array" ref="MG26">IF(INDEX(GE:GE, (ROW()-ROW($GE$3))*3 + 3) &lt;&gt; "", "✔", "")</f>
        <v/>
      </c>
      <c r="MH26" s="503">
        <v>24</v>
      </c>
      <c r="MI26" s="485" t="str" cm="1">
        <f t="array" ref="MI26">IF(INDEX(HC:HC, (ROW()-ROW($HC$3))*3 + 3) &lt;&gt; "", "✔", "")</f>
        <v/>
      </c>
      <c r="MJ26" s="503">
        <v>24</v>
      </c>
      <c r="MK26" s="485" t="str" cm="1">
        <f t="array" ref="MK26">IF(INDEX(IA:IA, (ROW()-ROW($IA$3))*3 + 3) &lt;&gt; "", "✔", "")</f>
        <v/>
      </c>
      <c r="ML26" s="503">
        <v>24</v>
      </c>
      <c r="MM26" s="485" t="str" cm="1">
        <f t="array" ref="MM26">IF(INDEX(IY:IY, (ROW()-ROW($IY$3))*3 + 3) &lt;&gt; "", "✔", "")</f>
        <v/>
      </c>
      <c r="MN26" s="503">
        <v>24</v>
      </c>
      <c r="MO26" s="485" t="str" cm="1">
        <f t="array" ref="MO26">IF(INDEX(JW:JW, (ROW()-ROW($JW$3))*3 + 3) &lt;&gt; "", "✔", "")</f>
        <v/>
      </c>
      <c r="MP26" s="503">
        <v>24</v>
      </c>
      <c r="MQ26" s="13" t="str" cm="1">
        <f t="array" ref="MQ26">IF(INDEX(KU:KU, (ROW()-ROW($KU$3))*3 + 3) &lt;&gt; "", "✔", "")</f>
        <v/>
      </c>
    </row>
    <row r="27" spans="1:355" ht="15">
      <c r="A27" s="231"/>
      <c r="B27" s="231"/>
      <c r="C27" s="395" t="s">
        <v>123</v>
      </c>
      <c r="D27" s="231" t="s">
        <v>554</v>
      </c>
      <c r="E27" s="231" t="s">
        <v>559</v>
      </c>
      <c r="F27" s="231" t="s">
        <v>556</v>
      </c>
      <c r="G27" s="231" t="s">
        <v>557</v>
      </c>
      <c r="H27" s="231" t="s">
        <v>565</v>
      </c>
      <c r="I27" s="395" t="s">
        <v>566</v>
      </c>
      <c r="R27" s="876">
        <v>46031</v>
      </c>
      <c r="S27" s="849" t="s">
        <v>377</v>
      </c>
      <c r="T27" s="849"/>
      <c r="U27" s="849"/>
      <c r="V27" s="848" t="s">
        <v>115</v>
      </c>
      <c r="W27" s="848"/>
      <c r="X27" s="848"/>
      <c r="Y27" s="848" t="s">
        <v>378</v>
      </c>
      <c r="Z27" s="848"/>
      <c r="AA27" s="848"/>
      <c r="AB27" s="890" t="s">
        <v>106</v>
      </c>
      <c r="AC27" s="890"/>
      <c r="AD27" s="890"/>
      <c r="AE27" s="834"/>
      <c r="AF27" s="835"/>
      <c r="AG27" s="836"/>
      <c r="AH27" s="834"/>
      <c r="AI27" s="835"/>
      <c r="AJ27" s="835"/>
      <c r="AK27" s="459" t="s">
        <v>425</v>
      </c>
      <c r="AL27" s="1">
        <f t="shared" ref="AL27" si="37">COUNTA(S27:AJ27)</f>
        <v>4</v>
      </c>
      <c r="AM27" s="939"/>
      <c r="AN27" s="855">
        <v>76.7</v>
      </c>
      <c r="AO27" s="118"/>
      <c r="AP27" s="870">
        <v>46062</v>
      </c>
      <c r="AQ27" s="848" t="s">
        <v>89</v>
      </c>
      <c r="AR27" s="848"/>
      <c r="AS27" s="848"/>
      <c r="AT27" s="848" t="s">
        <v>380</v>
      </c>
      <c r="AU27" s="848"/>
      <c r="AV27" s="848"/>
      <c r="AW27" s="848" t="s">
        <v>115</v>
      </c>
      <c r="AX27" s="848"/>
      <c r="AY27" s="848"/>
      <c r="AZ27" s="849" t="s">
        <v>114</v>
      </c>
      <c r="BA27" s="849"/>
      <c r="BB27" s="849"/>
      <c r="BC27" s="848" t="s">
        <v>129</v>
      </c>
      <c r="BD27" s="848"/>
      <c r="BE27" s="848"/>
      <c r="BF27" s="834"/>
      <c r="BG27" s="835"/>
      <c r="BH27" s="835"/>
      <c r="BI27" s="459" t="s">
        <v>425</v>
      </c>
      <c r="BJ27" s="482">
        <f t="shared" si="32"/>
        <v>5</v>
      </c>
      <c r="BK27" s="939"/>
      <c r="BL27" s="1016">
        <v>77.650000000000006</v>
      </c>
      <c r="BM27" s="118"/>
      <c r="BN27" s="870">
        <v>46090</v>
      </c>
      <c r="BO27" s="848" t="s">
        <v>70</v>
      </c>
      <c r="BP27" s="848"/>
      <c r="BQ27" s="848"/>
      <c r="BR27" s="859"/>
      <c r="BS27" s="859"/>
      <c r="BT27" s="859"/>
      <c r="BU27" s="834"/>
      <c r="BV27" s="835"/>
      <c r="BW27" s="836"/>
      <c r="BX27" s="867"/>
      <c r="BY27" s="868"/>
      <c r="BZ27" s="869"/>
      <c r="CA27" s="834"/>
      <c r="CB27" s="835"/>
      <c r="CC27" s="836"/>
      <c r="CD27" s="834"/>
      <c r="CE27" s="835"/>
      <c r="CF27" s="835"/>
      <c r="CG27" s="459" t="s">
        <v>425</v>
      </c>
      <c r="CH27" s="482">
        <f t="shared" ref="CH27" si="38">COUNTA(BO27:CF27)</f>
        <v>1</v>
      </c>
      <c r="CI27" s="939">
        <v>5</v>
      </c>
      <c r="CJ27" s="1016">
        <v>79.150000000000006</v>
      </c>
      <c r="CL27" s="1041">
        <v>46121</v>
      </c>
      <c r="CM27" s="844"/>
      <c r="CN27" s="844"/>
      <c r="CO27" s="844"/>
      <c r="CP27" s="844"/>
      <c r="CQ27" s="844"/>
      <c r="CR27" s="844"/>
      <c r="CS27" s="844"/>
      <c r="CT27" s="844"/>
      <c r="CU27" s="844"/>
      <c r="CV27" s="844"/>
      <c r="CW27" s="844"/>
      <c r="CX27" s="844"/>
      <c r="CY27" s="834"/>
      <c r="CZ27" s="835"/>
      <c r="DA27" s="836"/>
      <c r="DB27" s="834"/>
      <c r="DC27" s="835"/>
      <c r="DD27" s="835"/>
      <c r="DE27" s="459" t="s">
        <v>425</v>
      </c>
      <c r="DF27" s="482">
        <f>COUNTA(CM27:DD27)</f>
        <v>0</v>
      </c>
      <c r="DG27" s="939">
        <v>0</v>
      </c>
      <c r="DH27" s="1016">
        <f>DH24</f>
        <v>77.900000000000006</v>
      </c>
      <c r="DJ27" s="1051">
        <v>46151</v>
      </c>
      <c r="DK27" s="1023"/>
      <c r="DL27" s="1023"/>
      <c r="DM27" s="1023"/>
      <c r="DN27" s="1023"/>
      <c r="DO27" s="1023"/>
      <c r="DP27" s="1023"/>
      <c r="DQ27" s="1023"/>
      <c r="DR27" s="1023"/>
      <c r="DS27" s="1023"/>
      <c r="DT27" s="1023"/>
      <c r="DU27" s="1023"/>
      <c r="DV27" s="1023"/>
      <c r="DW27" s="1021"/>
      <c r="DX27" s="1022"/>
      <c r="DY27" s="1024"/>
      <c r="DZ27" s="1021"/>
      <c r="EA27" s="1022"/>
      <c r="EB27" s="1022"/>
      <c r="EC27" s="489" t="s">
        <v>425</v>
      </c>
      <c r="ED27" s="496">
        <f>COUNTA(DK27:EB27)</f>
        <v>0</v>
      </c>
      <c r="EE27" s="1067"/>
      <c r="EF27" s="1070"/>
      <c r="EH27" s="1074">
        <v>46182</v>
      </c>
      <c r="EI27" s="960"/>
      <c r="EJ27" s="960"/>
      <c r="EK27" s="960"/>
      <c r="EL27" s="960"/>
      <c r="EM27" s="960"/>
      <c r="EN27" s="960"/>
      <c r="EO27" s="960"/>
      <c r="EP27" s="960"/>
      <c r="EQ27" s="960"/>
      <c r="ER27" s="960"/>
      <c r="ES27" s="960"/>
      <c r="ET27" s="960"/>
      <c r="EU27" s="961"/>
      <c r="EV27" s="962"/>
      <c r="EW27" s="963"/>
      <c r="EX27" s="961"/>
      <c r="EY27" s="962"/>
      <c r="EZ27" s="962"/>
      <c r="FA27" s="459" t="s">
        <v>425</v>
      </c>
      <c r="FB27" s="482">
        <f>COUNTA(EI27:EZ27)</f>
        <v>0</v>
      </c>
      <c r="FC27" s="939"/>
      <c r="FD27" s="1016"/>
      <c r="FF27" s="1041">
        <v>46212</v>
      </c>
      <c r="FG27" s="960"/>
      <c r="FH27" s="960"/>
      <c r="FI27" s="960"/>
      <c r="FJ27" s="960"/>
      <c r="FK27" s="960"/>
      <c r="FL27" s="960"/>
      <c r="FM27" s="960"/>
      <c r="FN27" s="960"/>
      <c r="FO27" s="960"/>
      <c r="FP27" s="960"/>
      <c r="FQ27" s="960"/>
      <c r="FR27" s="960"/>
      <c r="FS27" s="961"/>
      <c r="FT27" s="962"/>
      <c r="FU27" s="963"/>
      <c r="FV27" s="961"/>
      <c r="FW27" s="962"/>
      <c r="FX27" s="962"/>
      <c r="FY27" s="459" t="s">
        <v>425</v>
      </c>
      <c r="FZ27" s="482">
        <f>COUNTA(FG27:FX27)</f>
        <v>0</v>
      </c>
      <c r="GA27" s="939"/>
      <c r="GB27" s="1016"/>
      <c r="GD27" s="1061">
        <v>46243</v>
      </c>
      <c r="GE27" s="960"/>
      <c r="GF27" s="960"/>
      <c r="GG27" s="960"/>
      <c r="GH27" s="960"/>
      <c r="GI27" s="960"/>
      <c r="GJ27" s="960"/>
      <c r="GK27" s="960"/>
      <c r="GL27" s="960"/>
      <c r="GM27" s="960"/>
      <c r="GN27" s="960"/>
      <c r="GO27" s="960"/>
      <c r="GP27" s="960"/>
      <c r="GQ27" s="961"/>
      <c r="GR27" s="962"/>
      <c r="GS27" s="963"/>
      <c r="GT27" s="961"/>
      <c r="GU27" s="962"/>
      <c r="GV27" s="962"/>
      <c r="GW27" s="459" t="s">
        <v>425</v>
      </c>
      <c r="GX27" s="482">
        <f>COUNTA(GE27:GV27)</f>
        <v>0</v>
      </c>
      <c r="GY27" s="939"/>
      <c r="GZ27" s="1016"/>
      <c r="HB27" s="1038">
        <v>46274</v>
      </c>
      <c r="HC27" s="960"/>
      <c r="HD27" s="960"/>
      <c r="HE27" s="960"/>
      <c r="HF27" s="960"/>
      <c r="HG27" s="960"/>
      <c r="HH27" s="960"/>
      <c r="HI27" s="960"/>
      <c r="HJ27" s="960"/>
      <c r="HK27" s="960"/>
      <c r="HL27" s="960"/>
      <c r="HM27" s="960"/>
      <c r="HN27" s="960"/>
      <c r="HO27" s="961"/>
      <c r="HP27" s="962"/>
      <c r="HQ27" s="963"/>
      <c r="HR27" s="961"/>
      <c r="HS27" s="962"/>
      <c r="HT27" s="962"/>
      <c r="HU27" s="459" t="s">
        <v>425</v>
      </c>
      <c r="HV27" s="482">
        <f>COUNTA(HC27:HT27)</f>
        <v>0</v>
      </c>
      <c r="HW27" s="939"/>
      <c r="HX27" s="1016"/>
      <c r="HZ27" s="1048">
        <v>46304</v>
      </c>
      <c r="IA27" s="960"/>
      <c r="IB27" s="960"/>
      <c r="IC27" s="960"/>
      <c r="ID27" s="960"/>
      <c r="IE27" s="960"/>
      <c r="IF27" s="960"/>
      <c r="IG27" s="960"/>
      <c r="IH27" s="960"/>
      <c r="II27" s="960"/>
      <c r="IJ27" s="960"/>
      <c r="IK27" s="960"/>
      <c r="IL27" s="960"/>
      <c r="IM27" s="961"/>
      <c r="IN27" s="962"/>
      <c r="IO27" s="963"/>
      <c r="IP27" s="961"/>
      <c r="IQ27" s="962"/>
      <c r="IR27" s="962"/>
      <c r="IS27" s="459" t="s">
        <v>425</v>
      </c>
      <c r="IT27" s="482">
        <f>COUNTA(IA27:IR27)</f>
        <v>0</v>
      </c>
      <c r="IU27" s="939"/>
      <c r="IV27" s="1016"/>
      <c r="IX27" s="1064">
        <v>46335</v>
      </c>
      <c r="IY27" s="960"/>
      <c r="IZ27" s="960"/>
      <c r="JA27" s="960"/>
      <c r="JB27" s="960"/>
      <c r="JC27" s="960"/>
      <c r="JD27" s="960"/>
      <c r="JE27" s="960"/>
      <c r="JF27" s="960"/>
      <c r="JG27" s="960"/>
      <c r="JH27" s="960"/>
      <c r="JI27" s="960"/>
      <c r="JJ27" s="960"/>
      <c r="JK27" s="961"/>
      <c r="JL27" s="962"/>
      <c r="JM27" s="963"/>
      <c r="JN27" s="961"/>
      <c r="JO27" s="962"/>
      <c r="JP27" s="962"/>
      <c r="JQ27" s="459" t="s">
        <v>425</v>
      </c>
      <c r="JR27" s="482">
        <f>COUNTA(IY27:JP27)</f>
        <v>0</v>
      </c>
      <c r="JS27" s="939"/>
      <c r="JT27" s="1016"/>
      <c r="JV27" s="1038">
        <v>46365</v>
      </c>
      <c r="JW27" s="960"/>
      <c r="JX27" s="960"/>
      <c r="JY27" s="960"/>
      <c r="JZ27" s="960"/>
      <c r="KA27" s="960"/>
      <c r="KB27" s="960"/>
      <c r="KC27" s="960"/>
      <c r="KD27" s="960"/>
      <c r="KE27" s="960"/>
      <c r="KF27" s="960"/>
      <c r="KG27" s="960"/>
      <c r="KH27" s="960"/>
      <c r="KI27" s="961"/>
      <c r="KJ27" s="962"/>
      <c r="KK27" s="963"/>
      <c r="KL27" s="961"/>
      <c r="KM27" s="962"/>
      <c r="KN27" s="962"/>
      <c r="KO27" s="459" t="s">
        <v>425</v>
      </c>
      <c r="KP27" s="482">
        <f>COUNTA(JW27:KN27)</f>
        <v>0</v>
      </c>
      <c r="KQ27" s="939"/>
      <c r="KR27" s="1016"/>
      <c r="KT27" s="1051">
        <v>46396</v>
      </c>
      <c r="KU27" s="1023"/>
      <c r="KV27" s="1023"/>
      <c r="KW27" s="1023"/>
      <c r="KX27" s="1023"/>
      <c r="KY27" s="1023"/>
      <c r="KZ27" s="1023"/>
      <c r="LA27" s="1023"/>
      <c r="LB27" s="1023"/>
      <c r="LC27" s="1023"/>
      <c r="LD27" s="1023"/>
      <c r="LE27" s="1023"/>
      <c r="LF27" s="1023"/>
      <c r="LG27" s="1021"/>
      <c r="LH27" s="1022"/>
      <c r="LI27" s="1024"/>
      <c r="LJ27" s="1021"/>
      <c r="LK27" s="1022"/>
      <c r="LL27" s="1022"/>
      <c r="LM27" s="489" t="s">
        <v>425</v>
      </c>
      <c r="LN27" s="496">
        <f>COUNTA(KU27:LL27)</f>
        <v>0</v>
      </c>
      <c r="LO27" s="1067"/>
      <c r="LP27" s="1070"/>
      <c r="LR27" s="61">
        <v>25</v>
      </c>
      <c r="LS27" s="62" t="str" cm="1">
        <f t="array" ref="LS27">IF(INDEX(S:S, (ROW()-ROW($S$3))*3 + 3) &lt;&gt; "", "✔", "")</f>
        <v>✔</v>
      </c>
      <c r="LT27" s="61">
        <v>25</v>
      </c>
      <c r="LU27" s="62" t="str" cm="1">
        <f t="array" ref="LU27">IF(INDEX(AQ:AQ, (ROW()-ROW($AQ$3))*3 + 3) &lt;&gt; "", "✔", "")</f>
        <v>✔</v>
      </c>
      <c r="LV27" s="61">
        <v>25</v>
      </c>
      <c r="LW27" s="501" t="str" cm="1">
        <f t="array" ref="LW27">IF(INDEX(BO:BO, (ROW()-ROW($BO$3))*3 + 3) &lt;&gt; "", "✔", "")</f>
        <v>✔</v>
      </c>
      <c r="LX27" s="503">
        <v>25</v>
      </c>
      <c r="LY27" s="485" t="str" cm="1">
        <f t="array" ref="LY27">IF(INDEX(CM:CM, (ROW()-ROW($CM$3))*3 + 3) &lt;&gt; "", "✔", "")</f>
        <v/>
      </c>
      <c r="LZ27" s="507">
        <v>25</v>
      </c>
      <c r="MA27" s="485" t="str" cm="1">
        <f t="array" ref="MA27">IF(INDEX(DK:DK, (ROW()-ROW($DK$3))*3 + 3) &lt;&gt; "", "✔", "")</f>
        <v/>
      </c>
      <c r="MB27" s="503">
        <v>25</v>
      </c>
      <c r="MC27" s="485" t="str" cm="1">
        <f t="array" ref="MC27">IF(INDEX(EI:EI, (ROW()-ROW($EI$3))*3 + 3) &lt;&gt; "", "✔", "")</f>
        <v/>
      </c>
      <c r="MD27" s="503">
        <v>25</v>
      </c>
      <c r="ME27" s="485" t="str" cm="1">
        <f t="array" ref="ME27">IF(INDEX(FG:FG, (ROW()-ROW($FG$3))*3 + 3) &lt;&gt; "", "✔", "")</f>
        <v/>
      </c>
      <c r="MF27" s="503">
        <v>25</v>
      </c>
      <c r="MG27" s="485" t="str" cm="1">
        <f t="array" ref="MG27">IF(INDEX(GE:GE, (ROW()-ROW($GE$3))*3 + 3) &lt;&gt; "", "✔", "")</f>
        <v/>
      </c>
      <c r="MH27" s="503">
        <v>25</v>
      </c>
      <c r="MI27" s="485" t="str" cm="1">
        <f t="array" ref="MI27">IF(INDEX(HC:HC, (ROW()-ROW($HC$3))*3 + 3) &lt;&gt; "", "✔", "")</f>
        <v/>
      </c>
      <c r="MJ27" s="503">
        <v>25</v>
      </c>
      <c r="MK27" s="485" t="str" cm="1">
        <f t="array" ref="MK27">IF(INDEX(IA:IA, (ROW()-ROW($IA$3))*3 + 3) &lt;&gt; "", "✔", "")</f>
        <v/>
      </c>
      <c r="ML27" s="503">
        <v>25</v>
      </c>
      <c r="MM27" s="485" t="str" cm="1">
        <f t="array" ref="MM27">IF(INDEX(IY:IY, (ROW()-ROW($IY$3))*3 + 3) &lt;&gt; "", "✔", "")</f>
        <v/>
      </c>
      <c r="MN27" s="503">
        <v>25</v>
      </c>
      <c r="MO27" s="485" t="str" cm="1">
        <f t="array" ref="MO27">IF(INDEX(JW:JW, (ROW()-ROW($JW$3))*3 + 3) &lt;&gt; "", "✔", "")</f>
        <v/>
      </c>
      <c r="MP27" s="503">
        <v>25</v>
      </c>
      <c r="MQ27" s="13" t="str" cm="1">
        <f t="array" ref="MQ27">IF(INDEX(KU:KU, (ROW()-ROW($KU$3))*3 + 3) &lt;&gt; "", "✔", "")</f>
        <v/>
      </c>
    </row>
    <row r="28" spans="1:355" ht="15">
      <c r="A28" s="396" t="s">
        <v>399</v>
      </c>
      <c r="B28" s="396" t="s">
        <v>567</v>
      </c>
      <c r="C28" s="395" t="s">
        <v>89</v>
      </c>
      <c r="D28" s="231" t="s">
        <v>554</v>
      </c>
      <c r="E28" s="231" t="s">
        <v>559</v>
      </c>
      <c r="F28" s="231" t="s">
        <v>556</v>
      </c>
      <c r="G28" s="231" t="s">
        <v>557</v>
      </c>
      <c r="H28" s="231" t="s">
        <v>558</v>
      </c>
      <c r="I28" s="395" t="s">
        <v>385</v>
      </c>
      <c r="R28" s="877"/>
      <c r="S28" s="231" t="s">
        <v>59</v>
      </c>
      <c r="T28" s="231" t="s">
        <v>73</v>
      </c>
      <c r="U28" s="102" t="s">
        <v>4</v>
      </c>
      <c r="V28" s="231" t="s">
        <v>59</v>
      </c>
      <c r="W28" s="231" t="s">
        <v>73</v>
      </c>
      <c r="X28" s="102" t="s">
        <v>4</v>
      </c>
      <c r="Y28" s="231" t="s">
        <v>59</v>
      </c>
      <c r="Z28" s="231" t="s">
        <v>73</v>
      </c>
      <c r="AA28" s="102" t="s">
        <v>4</v>
      </c>
      <c r="AB28" s="231" t="s">
        <v>59</v>
      </c>
      <c r="AC28" s="231" t="s">
        <v>73</v>
      </c>
      <c r="AD28" s="102" t="s">
        <v>4</v>
      </c>
      <c r="AE28" s="107" t="s">
        <v>59</v>
      </c>
      <c r="AF28" s="107" t="s">
        <v>73</v>
      </c>
      <c r="AG28" s="108" t="s">
        <v>4</v>
      </c>
      <c r="AH28" s="107" t="s">
        <v>59</v>
      </c>
      <c r="AI28" s="107" t="s">
        <v>73</v>
      </c>
      <c r="AJ28" s="471" t="s">
        <v>4</v>
      </c>
      <c r="AK28" s="1004">
        <v>35</v>
      </c>
      <c r="AL28" s="1002">
        <f t="shared" ref="AL28" si="39">(S29*T29*U29)+(V29*W29*X29)+(Y29*Z29*AA29)+(AB29*AC29*AD29)+(AE29*AF29*AG29)+(AH29*AI29*AJ29)</f>
        <v>2138.6999999999998</v>
      </c>
      <c r="AM28" s="940"/>
      <c r="AN28" s="855"/>
      <c r="AO28" s="118"/>
      <c r="AP28" s="871"/>
      <c r="AQ28" s="231" t="s">
        <v>59</v>
      </c>
      <c r="AR28" s="231" t="s">
        <v>73</v>
      </c>
      <c r="AS28" s="102" t="s">
        <v>4</v>
      </c>
      <c r="AT28" s="231" t="s">
        <v>59</v>
      </c>
      <c r="AU28" s="231" t="s">
        <v>73</v>
      </c>
      <c r="AV28" s="102" t="s">
        <v>4</v>
      </c>
      <c r="AW28" s="231" t="s">
        <v>59</v>
      </c>
      <c r="AX28" s="231" t="s">
        <v>73</v>
      </c>
      <c r="AY28" s="102" t="s">
        <v>4</v>
      </c>
      <c r="AZ28" s="231" t="s">
        <v>59</v>
      </c>
      <c r="BA28" s="231" t="s">
        <v>73</v>
      </c>
      <c r="BB28" s="102" t="s">
        <v>4</v>
      </c>
      <c r="BC28" s="231" t="s">
        <v>59</v>
      </c>
      <c r="BD28" s="231" t="s">
        <v>73</v>
      </c>
      <c r="BE28" s="102" t="s">
        <v>4</v>
      </c>
      <c r="BF28" s="107" t="s">
        <v>59</v>
      </c>
      <c r="BG28" s="107" t="s">
        <v>73</v>
      </c>
      <c r="BH28" s="471" t="s">
        <v>4</v>
      </c>
      <c r="BI28" s="1004">
        <v>65</v>
      </c>
      <c r="BJ28" s="1003">
        <f t="shared" si="35"/>
        <v>5932.7999999999993</v>
      </c>
      <c r="BK28" s="940"/>
      <c r="BL28" s="1016"/>
      <c r="BM28" s="118"/>
      <c r="BN28" s="871"/>
      <c r="BO28" s="231" t="s">
        <v>59</v>
      </c>
      <c r="BP28" s="231" t="s">
        <v>73</v>
      </c>
      <c r="BQ28" s="102" t="s">
        <v>4</v>
      </c>
      <c r="BR28" s="107" t="s">
        <v>59</v>
      </c>
      <c r="BS28" s="107" t="s">
        <v>73</v>
      </c>
      <c r="BT28" s="108" t="s">
        <v>4</v>
      </c>
      <c r="BU28" s="107" t="s">
        <v>59</v>
      </c>
      <c r="BV28" s="107" t="s">
        <v>73</v>
      </c>
      <c r="BW28" s="108" t="s">
        <v>4</v>
      </c>
      <c r="BX28" s="107" t="s">
        <v>59</v>
      </c>
      <c r="BY28" s="107" t="s">
        <v>73</v>
      </c>
      <c r="BZ28" s="108" t="s">
        <v>4</v>
      </c>
      <c r="CA28" s="107" t="s">
        <v>59</v>
      </c>
      <c r="CB28" s="107" t="s">
        <v>73</v>
      </c>
      <c r="CC28" s="108" t="s">
        <v>4</v>
      </c>
      <c r="CD28" s="107" t="s">
        <v>59</v>
      </c>
      <c r="CE28" s="107" t="s">
        <v>73</v>
      </c>
      <c r="CF28" s="471" t="s">
        <v>4</v>
      </c>
      <c r="CG28" s="1004">
        <v>45</v>
      </c>
      <c r="CH28" s="1005">
        <f t="shared" ref="CH28" si="40">(BO29*BP29*BQ29)+(BR29*BS29*BT29)+(BU29*BV29*BW29)+(BX29*BY29*BZ29)+(CA29*CB29*CC29)+(CD29*CE29*CF29)</f>
        <v>3561.7500000000005</v>
      </c>
      <c r="CI28" s="940"/>
      <c r="CJ28" s="1016"/>
      <c r="CL28" s="1042"/>
      <c r="CM28" s="107" t="s">
        <v>59</v>
      </c>
      <c r="CN28" s="107" t="s">
        <v>73</v>
      </c>
      <c r="CO28" s="108" t="s">
        <v>4</v>
      </c>
      <c r="CP28" s="107" t="s">
        <v>59</v>
      </c>
      <c r="CQ28" s="107" t="s">
        <v>73</v>
      </c>
      <c r="CR28" s="108" t="s">
        <v>4</v>
      </c>
      <c r="CS28" s="107" t="s">
        <v>59</v>
      </c>
      <c r="CT28" s="107" t="s">
        <v>73</v>
      </c>
      <c r="CU28" s="108" t="s">
        <v>4</v>
      </c>
      <c r="CV28" s="107" t="s">
        <v>59</v>
      </c>
      <c r="CW28" s="107" t="s">
        <v>73</v>
      </c>
      <c r="CX28" s="108" t="s">
        <v>4</v>
      </c>
      <c r="CY28" s="107" t="s">
        <v>59</v>
      </c>
      <c r="CZ28" s="107" t="s">
        <v>73</v>
      </c>
      <c r="DA28" s="108" t="s">
        <v>4</v>
      </c>
      <c r="DB28" s="107" t="s">
        <v>59</v>
      </c>
      <c r="DC28" s="107" t="s">
        <v>73</v>
      </c>
      <c r="DD28" s="471" t="s">
        <v>4</v>
      </c>
      <c r="DE28" s="1004">
        <v>0</v>
      </c>
      <c r="DF28" s="1005">
        <f>(CM29*CN29*CO29)+(CP29*CQ29*CR29)+(CS29*CT29*CU29)+(CV29*CW29*CX29)+(CY29*CZ29*DA29)+(DB29*DC29*DD29)</f>
        <v>0</v>
      </c>
      <c r="DG28" s="940"/>
      <c r="DH28" s="1016"/>
      <c r="DJ28" s="1052"/>
      <c r="DK28" s="491" t="s">
        <v>59</v>
      </c>
      <c r="DL28" s="491" t="s">
        <v>73</v>
      </c>
      <c r="DM28" s="492" t="s">
        <v>4</v>
      </c>
      <c r="DN28" s="491" t="s">
        <v>59</v>
      </c>
      <c r="DO28" s="491" t="s">
        <v>73</v>
      </c>
      <c r="DP28" s="492" t="s">
        <v>4</v>
      </c>
      <c r="DQ28" s="491" t="s">
        <v>59</v>
      </c>
      <c r="DR28" s="491" t="s">
        <v>73</v>
      </c>
      <c r="DS28" s="492" t="s">
        <v>4</v>
      </c>
      <c r="DT28" s="491" t="s">
        <v>59</v>
      </c>
      <c r="DU28" s="491" t="s">
        <v>73</v>
      </c>
      <c r="DV28" s="492" t="s">
        <v>4</v>
      </c>
      <c r="DW28" s="491" t="s">
        <v>59</v>
      </c>
      <c r="DX28" s="491" t="s">
        <v>73</v>
      </c>
      <c r="DY28" s="492" t="s">
        <v>4</v>
      </c>
      <c r="DZ28" s="491" t="s">
        <v>59</v>
      </c>
      <c r="EA28" s="491" t="s">
        <v>73</v>
      </c>
      <c r="EB28" s="493" t="s">
        <v>4</v>
      </c>
      <c r="EC28" s="1071"/>
      <c r="ED28" s="1072">
        <f>(DK29*DL29*DM29)+(DN29*DO29*DP29)+(DQ29*DR29*DS29)+(DT29*DU29*DV29)+(DW29*DX29*DY29)+(DZ29*EA29*EB29)</f>
        <v>0</v>
      </c>
      <c r="EE28" s="1068"/>
      <c r="EF28" s="1070"/>
      <c r="EH28" s="1075"/>
      <c r="EI28" s="460" t="s">
        <v>59</v>
      </c>
      <c r="EJ28" s="460" t="s">
        <v>73</v>
      </c>
      <c r="EK28" s="461" t="s">
        <v>4</v>
      </c>
      <c r="EL28" s="460" t="s">
        <v>59</v>
      </c>
      <c r="EM28" s="460" t="s">
        <v>73</v>
      </c>
      <c r="EN28" s="461" t="s">
        <v>4</v>
      </c>
      <c r="EO28" s="460" t="s">
        <v>59</v>
      </c>
      <c r="EP28" s="460" t="s">
        <v>73</v>
      </c>
      <c r="EQ28" s="461" t="s">
        <v>4</v>
      </c>
      <c r="ER28" s="460" t="s">
        <v>59</v>
      </c>
      <c r="ES28" s="460" t="s">
        <v>73</v>
      </c>
      <c r="ET28" s="461" t="s">
        <v>4</v>
      </c>
      <c r="EU28" s="460" t="s">
        <v>59</v>
      </c>
      <c r="EV28" s="460" t="s">
        <v>73</v>
      </c>
      <c r="EW28" s="461" t="s">
        <v>4</v>
      </c>
      <c r="EX28" s="460" t="s">
        <v>59</v>
      </c>
      <c r="EY28" s="460" t="s">
        <v>73</v>
      </c>
      <c r="EZ28" s="473" t="s">
        <v>4</v>
      </c>
      <c r="FA28" s="1004"/>
      <c r="FB28" s="1005">
        <f>(EI29*EJ29*EK29)+(EL29*EM29*EN29)+(EO29*EP29*EQ29)+(ER29*ES29*ET29)+(EU29*EV29*EW29)+(EX29*EY29*EZ29)</f>
        <v>0</v>
      </c>
      <c r="FC28" s="940"/>
      <c r="FD28" s="1016"/>
      <c r="FF28" s="1042"/>
      <c r="FG28" s="460" t="s">
        <v>59</v>
      </c>
      <c r="FH28" s="460" t="s">
        <v>73</v>
      </c>
      <c r="FI28" s="461" t="s">
        <v>4</v>
      </c>
      <c r="FJ28" s="460" t="s">
        <v>59</v>
      </c>
      <c r="FK28" s="460" t="s">
        <v>73</v>
      </c>
      <c r="FL28" s="461" t="s">
        <v>4</v>
      </c>
      <c r="FM28" s="460" t="s">
        <v>59</v>
      </c>
      <c r="FN28" s="460" t="s">
        <v>73</v>
      </c>
      <c r="FO28" s="461" t="s">
        <v>4</v>
      </c>
      <c r="FP28" s="460" t="s">
        <v>59</v>
      </c>
      <c r="FQ28" s="460" t="s">
        <v>73</v>
      </c>
      <c r="FR28" s="461" t="s">
        <v>4</v>
      </c>
      <c r="FS28" s="460" t="s">
        <v>59</v>
      </c>
      <c r="FT28" s="460" t="s">
        <v>73</v>
      </c>
      <c r="FU28" s="461" t="s">
        <v>4</v>
      </c>
      <c r="FV28" s="460" t="s">
        <v>59</v>
      </c>
      <c r="FW28" s="460" t="s">
        <v>73</v>
      </c>
      <c r="FX28" s="473" t="s">
        <v>4</v>
      </c>
      <c r="FY28" s="1004"/>
      <c r="FZ28" s="1005">
        <f>(FG29*FH29*FI29)+(FJ29*FK29*FL29)+(FM29*FN29*FO29)+(FP29*FQ29*FR29)+(FS29*FT29*FU29)+(FV29*FW29*FX29)</f>
        <v>0</v>
      </c>
      <c r="GA28" s="940"/>
      <c r="GB28" s="1016"/>
      <c r="GD28" s="1062"/>
      <c r="GE28" s="460" t="s">
        <v>59</v>
      </c>
      <c r="GF28" s="460" t="s">
        <v>73</v>
      </c>
      <c r="GG28" s="461" t="s">
        <v>4</v>
      </c>
      <c r="GH28" s="460" t="s">
        <v>59</v>
      </c>
      <c r="GI28" s="460" t="s">
        <v>73</v>
      </c>
      <c r="GJ28" s="461" t="s">
        <v>4</v>
      </c>
      <c r="GK28" s="460" t="s">
        <v>59</v>
      </c>
      <c r="GL28" s="460" t="s">
        <v>73</v>
      </c>
      <c r="GM28" s="461" t="s">
        <v>4</v>
      </c>
      <c r="GN28" s="460" t="s">
        <v>59</v>
      </c>
      <c r="GO28" s="460" t="s">
        <v>73</v>
      </c>
      <c r="GP28" s="461" t="s">
        <v>4</v>
      </c>
      <c r="GQ28" s="460" t="s">
        <v>59</v>
      </c>
      <c r="GR28" s="460" t="s">
        <v>73</v>
      </c>
      <c r="GS28" s="461" t="s">
        <v>4</v>
      </c>
      <c r="GT28" s="460" t="s">
        <v>59</v>
      </c>
      <c r="GU28" s="460" t="s">
        <v>73</v>
      </c>
      <c r="GV28" s="473" t="s">
        <v>4</v>
      </c>
      <c r="GW28" s="1004"/>
      <c r="GX28" s="1005">
        <f>(GE29*GF29*GG29)+(GH29*GI29*GJ29)+(GK29*GL29*GM29)+(GN29*GO29*GP29)+(GQ29*GR29*GS29)+(GT29*GU29*GV29)</f>
        <v>0</v>
      </c>
      <c r="GY28" s="940"/>
      <c r="GZ28" s="1016"/>
      <c r="HB28" s="1039"/>
      <c r="HC28" s="460" t="s">
        <v>59</v>
      </c>
      <c r="HD28" s="460" t="s">
        <v>73</v>
      </c>
      <c r="HE28" s="461" t="s">
        <v>4</v>
      </c>
      <c r="HF28" s="460" t="s">
        <v>59</v>
      </c>
      <c r="HG28" s="460" t="s">
        <v>73</v>
      </c>
      <c r="HH28" s="461" t="s">
        <v>4</v>
      </c>
      <c r="HI28" s="460" t="s">
        <v>59</v>
      </c>
      <c r="HJ28" s="460" t="s">
        <v>73</v>
      </c>
      <c r="HK28" s="461" t="s">
        <v>4</v>
      </c>
      <c r="HL28" s="460" t="s">
        <v>59</v>
      </c>
      <c r="HM28" s="460" t="s">
        <v>73</v>
      </c>
      <c r="HN28" s="461" t="s">
        <v>4</v>
      </c>
      <c r="HO28" s="460" t="s">
        <v>59</v>
      </c>
      <c r="HP28" s="460" t="s">
        <v>73</v>
      </c>
      <c r="HQ28" s="461" t="s">
        <v>4</v>
      </c>
      <c r="HR28" s="460" t="s">
        <v>59</v>
      </c>
      <c r="HS28" s="460" t="s">
        <v>73</v>
      </c>
      <c r="HT28" s="473" t="s">
        <v>4</v>
      </c>
      <c r="HU28" s="1004"/>
      <c r="HV28" s="1005">
        <f>(HC29*HD29*HE29)+(HF29*HG29*HH29)+(HI29*HJ29*HK29)+(HL29*HM29*HN29)+(HO29*HP29*HQ29)+(HR29*HS29*HT29)</f>
        <v>0</v>
      </c>
      <c r="HW28" s="940"/>
      <c r="HX28" s="1016"/>
      <c r="HZ28" s="1049"/>
      <c r="IA28" s="460" t="s">
        <v>59</v>
      </c>
      <c r="IB28" s="460" t="s">
        <v>73</v>
      </c>
      <c r="IC28" s="461" t="s">
        <v>4</v>
      </c>
      <c r="ID28" s="460" t="s">
        <v>59</v>
      </c>
      <c r="IE28" s="460" t="s">
        <v>73</v>
      </c>
      <c r="IF28" s="461" t="s">
        <v>4</v>
      </c>
      <c r="IG28" s="460" t="s">
        <v>59</v>
      </c>
      <c r="IH28" s="460" t="s">
        <v>73</v>
      </c>
      <c r="II28" s="461" t="s">
        <v>4</v>
      </c>
      <c r="IJ28" s="460" t="s">
        <v>59</v>
      </c>
      <c r="IK28" s="460" t="s">
        <v>73</v>
      </c>
      <c r="IL28" s="461" t="s">
        <v>4</v>
      </c>
      <c r="IM28" s="460" t="s">
        <v>59</v>
      </c>
      <c r="IN28" s="460" t="s">
        <v>73</v>
      </c>
      <c r="IO28" s="461" t="s">
        <v>4</v>
      </c>
      <c r="IP28" s="460" t="s">
        <v>59</v>
      </c>
      <c r="IQ28" s="460" t="s">
        <v>73</v>
      </c>
      <c r="IR28" s="473" t="s">
        <v>4</v>
      </c>
      <c r="IS28" s="1004"/>
      <c r="IT28" s="1005">
        <f>(IA29*IB29*IC29)+(ID29*IE29*IF29)+(IG29*IH29*II29)+(IJ29*IK29*IL29)+(IM29*IN29*IO29)+(IP29*IQ29*IR29)</f>
        <v>0</v>
      </c>
      <c r="IU28" s="940"/>
      <c r="IV28" s="1016"/>
      <c r="IX28" s="1065"/>
      <c r="IY28" s="460" t="s">
        <v>59</v>
      </c>
      <c r="IZ28" s="460" t="s">
        <v>73</v>
      </c>
      <c r="JA28" s="461" t="s">
        <v>4</v>
      </c>
      <c r="JB28" s="460" t="s">
        <v>59</v>
      </c>
      <c r="JC28" s="460" t="s">
        <v>73</v>
      </c>
      <c r="JD28" s="461" t="s">
        <v>4</v>
      </c>
      <c r="JE28" s="460" t="s">
        <v>59</v>
      </c>
      <c r="JF28" s="460" t="s">
        <v>73</v>
      </c>
      <c r="JG28" s="461" t="s">
        <v>4</v>
      </c>
      <c r="JH28" s="460" t="s">
        <v>59</v>
      </c>
      <c r="JI28" s="460" t="s">
        <v>73</v>
      </c>
      <c r="JJ28" s="461" t="s">
        <v>4</v>
      </c>
      <c r="JK28" s="460" t="s">
        <v>59</v>
      </c>
      <c r="JL28" s="460" t="s">
        <v>73</v>
      </c>
      <c r="JM28" s="461" t="s">
        <v>4</v>
      </c>
      <c r="JN28" s="460" t="s">
        <v>59</v>
      </c>
      <c r="JO28" s="460" t="s">
        <v>73</v>
      </c>
      <c r="JP28" s="473" t="s">
        <v>4</v>
      </c>
      <c r="JQ28" s="1004"/>
      <c r="JR28" s="1005">
        <f>(IY29*IZ29*JA29)+(JB29*JC29*JD29)+(JE29*JF29*JG29)+(JH29*JI29*JJ29)+(JK29*JL29*JM29)+(JN29*JO29*JP29)</f>
        <v>0</v>
      </c>
      <c r="JS28" s="940"/>
      <c r="JT28" s="1016"/>
      <c r="JV28" s="1039"/>
      <c r="JW28" s="460" t="s">
        <v>59</v>
      </c>
      <c r="JX28" s="460" t="s">
        <v>73</v>
      </c>
      <c r="JY28" s="461" t="s">
        <v>4</v>
      </c>
      <c r="JZ28" s="460" t="s">
        <v>59</v>
      </c>
      <c r="KA28" s="460" t="s">
        <v>73</v>
      </c>
      <c r="KB28" s="461" t="s">
        <v>4</v>
      </c>
      <c r="KC28" s="460" t="s">
        <v>59</v>
      </c>
      <c r="KD28" s="460" t="s">
        <v>73</v>
      </c>
      <c r="KE28" s="461" t="s">
        <v>4</v>
      </c>
      <c r="KF28" s="460" t="s">
        <v>59</v>
      </c>
      <c r="KG28" s="460" t="s">
        <v>73</v>
      </c>
      <c r="KH28" s="461" t="s">
        <v>4</v>
      </c>
      <c r="KI28" s="460" t="s">
        <v>59</v>
      </c>
      <c r="KJ28" s="460" t="s">
        <v>73</v>
      </c>
      <c r="KK28" s="461" t="s">
        <v>4</v>
      </c>
      <c r="KL28" s="460" t="s">
        <v>59</v>
      </c>
      <c r="KM28" s="460" t="s">
        <v>73</v>
      </c>
      <c r="KN28" s="473" t="s">
        <v>4</v>
      </c>
      <c r="KO28" s="1004"/>
      <c r="KP28" s="1005">
        <f>(JW29*JX29*JY29)+(JZ29*KA29*KB29)+(KC29*KD29*KE29)+(KF29*KG29*KH29)+(KI29*KJ29*KK29)+(KL29*KM29*KN29)</f>
        <v>0</v>
      </c>
      <c r="KQ28" s="940"/>
      <c r="KR28" s="1016"/>
      <c r="KT28" s="1052"/>
      <c r="KU28" s="491" t="s">
        <v>59</v>
      </c>
      <c r="KV28" s="491" t="s">
        <v>73</v>
      </c>
      <c r="KW28" s="492" t="s">
        <v>4</v>
      </c>
      <c r="KX28" s="491" t="s">
        <v>59</v>
      </c>
      <c r="KY28" s="491" t="s">
        <v>73</v>
      </c>
      <c r="KZ28" s="492" t="s">
        <v>4</v>
      </c>
      <c r="LA28" s="491" t="s">
        <v>59</v>
      </c>
      <c r="LB28" s="491" t="s">
        <v>73</v>
      </c>
      <c r="LC28" s="492" t="s">
        <v>4</v>
      </c>
      <c r="LD28" s="491" t="s">
        <v>59</v>
      </c>
      <c r="LE28" s="491" t="s">
        <v>73</v>
      </c>
      <c r="LF28" s="492" t="s">
        <v>4</v>
      </c>
      <c r="LG28" s="491" t="s">
        <v>59</v>
      </c>
      <c r="LH28" s="491" t="s">
        <v>73</v>
      </c>
      <c r="LI28" s="492" t="s">
        <v>4</v>
      </c>
      <c r="LJ28" s="491" t="s">
        <v>59</v>
      </c>
      <c r="LK28" s="491" t="s">
        <v>73</v>
      </c>
      <c r="LL28" s="493" t="s">
        <v>4</v>
      </c>
      <c r="LM28" s="1071"/>
      <c r="LN28" s="1072">
        <f>(KU29*KV29*KW29)+(KX29*KY29*KZ29)+(LA29*LB29*LC29)+(LD29*LE29*LF29)+(LG29*LH29*LI29)+(LJ29*LK29*LL29)</f>
        <v>0</v>
      </c>
      <c r="LO28" s="1068"/>
      <c r="LP28" s="1070"/>
      <c r="LR28" s="61">
        <v>26</v>
      </c>
      <c r="LS28" s="62" t="str" cm="1">
        <f t="array" ref="LS28">IF(INDEX(S:S, (ROW()-ROW($S$3))*3 + 3) &lt;&gt; "", "✔", "")</f>
        <v>✔</v>
      </c>
      <c r="LT28" s="61">
        <v>26</v>
      </c>
      <c r="LU28" s="62" t="str" cm="1">
        <f t="array" ref="LU28">IF(INDEX(AQ:AQ, (ROW()-ROW($AQ$3))*3 + 3) &lt;&gt; "", "✔", "")</f>
        <v>✔</v>
      </c>
      <c r="LV28" s="61">
        <v>26</v>
      </c>
      <c r="LW28" s="501" t="str" cm="1">
        <f t="array" ref="LW28">IF(INDEX(BO:BO, (ROW()-ROW($BO$3))*3 + 3) &lt;&gt; "", "✔", "")</f>
        <v>✔</v>
      </c>
      <c r="LX28" s="503">
        <v>26</v>
      </c>
      <c r="LY28" s="485" t="str" cm="1">
        <f t="array" ref="LY28">IF(INDEX(CM:CM, (ROW()-ROW($CM$3))*3 + 3) &lt;&gt; "", "✔", "")</f>
        <v/>
      </c>
      <c r="LZ28" s="507">
        <v>26</v>
      </c>
      <c r="MA28" s="485" t="str" cm="1">
        <f t="array" ref="MA28">IF(INDEX(DK:DK, (ROW()-ROW($DK$3))*3 + 3) &lt;&gt; "", "✔", "")</f>
        <v/>
      </c>
      <c r="MB28" s="503">
        <v>26</v>
      </c>
      <c r="MC28" s="485" t="str" cm="1">
        <f t="array" ref="MC28">IF(INDEX(EI:EI, (ROW()-ROW($EI$3))*3 + 3) &lt;&gt; "", "✔", "")</f>
        <v/>
      </c>
      <c r="MD28" s="503">
        <v>26</v>
      </c>
      <c r="ME28" s="485" t="str" cm="1">
        <f t="array" ref="ME28">IF(INDEX(FG:FG, (ROW()-ROW($FG$3))*3 + 3) &lt;&gt; "", "✔", "")</f>
        <v/>
      </c>
      <c r="MF28" s="503">
        <v>26</v>
      </c>
      <c r="MG28" s="485" t="str" cm="1">
        <f t="array" ref="MG28">IF(INDEX(GE:GE, (ROW()-ROW($GE$3))*3 + 3) &lt;&gt; "", "✔", "")</f>
        <v/>
      </c>
      <c r="MH28" s="503">
        <v>26</v>
      </c>
      <c r="MI28" s="485" t="str" cm="1">
        <f t="array" ref="MI28">IF(INDEX(HC:HC, (ROW()-ROW($HC$3))*3 + 3) &lt;&gt; "", "✔", "")</f>
        <v/>
      </c>
      <c r="MJ28" s="503">
        <v>26</v>
      </c>
      <c r="MK28" s="485" t="str" cm="1">
        <f t="array" ref="MK28">IF(INDEX(IA:IA, (ROW()-ROW($IA$3))*3 + 3) &lt;&gt; "", "✔", "")</f>
        <v/>
      </c>
      <c r="ML28" s="503">
        <v>26</v>
      </c>
      <c r="MM28" s="485" t="str" cm="1">
        <f t="array" ref="MM28">IF(INDEX(IY:IY, (ROW()-ROW($IY$3))*3 + 3) &lt;&gt; "", "✔", "")</f>
        <v/>
      </c>
      <c r="MN28" s="503">
        <v>26</v>
      </c>
      <c r="MO28" s="485" t="str" cm="1">
        <f t="array" ref="MO28">IF(INDEX(JW:JW, (ROW()-ROW($JW$3))*3 + 3) &lt;&gt; "", "✔", "")</f>
        <v/>
      </c>
      <c r="MP28" s="503">
        <v>26</v>
      </c>
      <c r="MQ28" s="13" t="str" cm="1">
        <f t="array" ref="MQ28">IF(INDEX(KU:KU, (ROW()-ROW($KU$3))*3 + 3) &lt;&gt; "", "✔", "")</f>
        <v/>
      </c>
    </row>
    <row r="29" spans="1:355" ht="15">
      <c r="A29" s="231"/>
      <c r="B29" s="231"/>
      <c r="C29" s="395" t="s">
        <v>380</v>
      </c>
      <c r="D29" s="231" t="s">
        <v>554</v>
      </c>
      <c r="E29" s="231" t="s">
        <v>563</v>
      </c>
      <c r="F29" s="231" t="s">
        <v>556</v>
      </c>
      <c r="G29" s="231" t="s">
        <v>557</v>
      </c>
      <c r="H29" s="231" t="s">
        <v>560</v>
      </c>
      <c r="I29" s="395" t="s">
        <v>561</v>
      </c>
      <c r="R29" s="878"/>
      <c r="S29" s="229">
        <v>4</v>
      </c>
      <c r="T29" s="229">
        <f>((12*2)+(8*2))/4</f>
        <v>10</v>
      </c>
      <c r="U29" s="229">
        <f>((7*1)+(8.5*2)+(11*1)+(12.25))/4</f>
        <v>11.8125</v>
      </c>
      <c r="V29" s="229">
        <v>4</v>
      </c>
      <c r="W29" s="229">
        <f>((12*1)+(8*3))/4</f>
        <v>9</v>
      </c>
      <c r="X29" s="229">
        <f>((9.1*1)+(24.9*3))/4</f>
        <v>20.949999999999996</v>
      </c>
      <c r="Y29" s="229">
        <v>3</v>
      </c>
      <c r="Z29" s="229">
        <v>8</v>
      </c>
      <c r="AA29" s="229">
        <v>23</v>
      </c>
      <c r="AB29" s="229">
        <v>3</v>
      </c>
      <c r="AC29" s="229">
        <v>8</v>
      </c>
      <c r="AD29" s="229">
        <v>15</v>
      </c>
      <c r="AE29" s="233"/>
      <c r="AF29" s="233"/>
      <c r="AG29" s="233"/>
      <c r="AH29" s="233"/>
      <c r="AI29" s="233"/>
      <c r="AJ29" s="472"/>
      <c r="AK29" s="1004"/>
      <c r="AL29" s="1002"/>
      <c r="AM29" s="941"/>
      <c r="AN29" s="855"/>
      <c r="AO29" s="118"/>
      <c r="AP29" s="872"/>
      <c r="AQ29" s="229">
        <v>4</v>
      </c>
      <c r="AR29" s="229">
        <f>((12*1)+(8*3))/4</f>
        <v>9</v>
      </c>
      <c r="AS29" s="229">
        <f>((36*1)+(68*3))/4</f>
        <v>60</v>
      </c>
      <c r="AT29" s="229">
        <v>4</v>
      </c>
      <c r="AU29" s="229">
        <v>14</v>
      </c>
      <c r="AV29" s="229">
        <f>((18.1*1)+(34*3))/4</f>
        <v>30.024999999999999</v>
      </c>
      <c r="AW29" s="229">
        <v>4</v>
      </c>
      <c r="AX29" s="229">
        <f>((12*1)+(10*3))/4</f>
        <v>10.5</v>
      </c>
      <c r="AY29" s="229">
        <f>((11.3*1)+(24.9*3))/4</f>
        <v>21.499999999999996</v>
      </c>
      <c r="AZ29" s="229">
        <v>4</v>
      </c>
      <c r="BA29" s="229">
        <f>((12*1)+(8*1)+(10*2))/4</f>
        <v>10</v>
      </c>
      <c r="BB29" s="229">
        <f>((2.5*1)+(7.5*3))/4</f>
        <v>6.25</v>
      </c>
      <c r="BC29" s="229">
        <v>4</v>
      </c>
      <c r="BD29" s="126">
        <f>((14*1)+(12*2)+(8*1))/4</f>
        <v>11.5</v>
      </c>
      <c r="BE29" s="126">
        <f>((11.3*1)+(22.7*2)+(24.9*1))/4</f>
        <v>20.399999999999999</v>
      </c>
      <c r="BF29" s="233"/>
      <c r="BG29" s="233"/>
      <c r="BH29" s="472"/>
      <c r="BI29" s="1004"/>
      <c r="BJ29" s="1003"/>
      <c r="BK29" s="941"/>
      <c r="BL29" s="1016"/>
      <c r="BM29" s="118"/>
      <c r="BN29" s="872"/>
      <c r="BO29" s="229">
        <v>1</v>
      </c>
      <c r="BP29" s="229">
        <v>45</v>
      </c>
      <c r="BQ29" s="229">
        <f>CJ27</f>
        <v>79.150000000000006</v>
      </c>
      <c r="BR29" s="233"/>
      <c r="BS29" s="233"/>
      <c r="BT29" s="233"/>
      <c r="BU29" s="233"/>
      <c r="BV29" s="233"/>
      <c r="BW29" s="233"/>
      <c r="BX29" s="233"/>
      <c r="BY29" s="233"/>
      <c r="BZ29" s="233"/>
      <c r="CA29" s="233"/>
      <c r="CB29" s="233"/>
      <c r="CC29" s="233"/>
      <c r="CD29" s="233"/>
      <c r="CE29" s="233"/>
      <c r="CF29" s="472"/>
      <c r="CG29" s="1004"/>
      <c r="CH29" s="1006"/>
      <c r="CI29" s="941"/>
      <c r="CJ29" s="1016"/>
      <c r="CL29" s="1043"/>
      <c r="CM29" s="233"/>
      <c r="CN29" s="233"/>
      <c r="CO29" s="233"/>
      <c r="CP29" s="233"/>
      <c r="CQ29" s="233"/>
      <c r="CR29" s="233"/>
      <c r="CS29" s="233"/>
      <c r="CT29" s="233"/>
      <c r="CU29" s="233"/>
      <c r="CV29" s="233"/>
      <c r="CW29" s="233"/>
      <c r="CX29" s="233"/>
      <c r="CY29" s="233"/>
      <c r="CZ29" s="233"/>
      <c r="DA29" s="233"/>
      <c r="DB29" s="233"/>
      <c r="DC29" s="233"/>
      <c r="DD29" s="472"/>
      <c r="DE29" s="1004"/>
      <c r="DF29" s="1006"/>
      <c r="DG29" s="941"/>
      <c r="DH29" s="1016"/>
      <c r="DJ29" s="1053"/>
      <c r="DK29" s="494"/>
      <c r="DL29" s="494"/>
      <c r="DM29" s="494"/>
      <c r="DN29" s="494"/>
      <c r="DO29" s="494"/>
      <c r="DP29" s="494"/>
      <c r="DQ29" s="494"/>
      <c r="DR29" s="494"/>
      <c r="DS29" s="494"/>
      <c r="DT29" s="494"/>
      <c r="DU29" s="494"/>
      <c r="DV29" s="494"/>
      <c r="DW29" s="494"/>
      <c r="DX29" s="494"/>
      <c r="DY29" s="494"/>
      <c r="DZ29" s="494"/>
      <c r="EA29" s="494"/>
      <c r="EB29" s="497"/>
      <c r="EC29" s="1071"/>
      <c r="ED29" s="1073"/>
      <c r="EE29" s="1069"/>
      <c r="EF29" s="1070"/>
      <c r="EH29" s="1076"/>
      <c r="EI29" s="462"/>
      <c r="EJ29" s="462"/>
      <c r="EK29" s="462"/>
      <c r="EL29" s="462"/>
      <c r="EM29" s="462"/>
      <c r="EN29" s="462"/>
      <c r="EO29" s="462"/>
      <c r="EP29" s="462"/>
      <c r="EQ29" s="462"/>
      <c r="ER29" s="462"/>
      <c r="ES29" s="462"/>
      <c r="ET29" s="462"/>
      <c r="EU29" s="462"/>
      <c r="EV29" s="462"/>
      <c r="EW29" s="462"/>
      <c r="EX29" s="462"/>
      <c r="EY29" s="462"/>
      <c r="EZ29" s="475"/>
      <c r="FA29" s="1004"/>
      <c r="FB29" s="1006"/>
      <c r="FC29" s="941"/>
      <c r="FD29" s="1016"/>
      <c r="FF29" s="1043"/>
      <c r="FG29" s="462"/>
      <c r="FH29" s="462"/>
      <c r="FI29" s="462"/>
      <c r="FJ29" s="462"/>
      <c r="FK29" s="462"/>
      <c r="FL29" s="462"/>
      <c r="FM29" s="462"/>
      <c r="FN29" s="462"/>
      <c r="FO29" s="462"/>
      <c r="FP29" s="462"/>
      <c r="FQ29" s="462"/>
      <c r="FR29" s="462"/>
      <c r="FS29" s="462"/>
      <c r="FT29" s="462"/>
      <c r="FU29" s="462"/>
      <c r="FV29" s="462"/>
      <c r="FW29" s="462"/>
      <c r="FX29" s="475"/>
      <c r="FY29" s="1004"/>
      <c r="FZ29" s="1006"/>
      <c r="GA29" s="941"/>
      <c r="GB29" s="1016"/>
      <c r="GD29" s="1063"/>
      <c r="GE29" s="462"/>
      <c r="GF29" s="462"/>
      <c r="GG29" s="462"/>
      <c r="GH29" s="462"/>
      <c r="GI29" s="462"/>
      <c r="GJ29" s="462"/>
      <c r="GK29" s="462"/>
      <c r="GL29" s="462"/>
      <c r="GM29" s="462"/>
      <c r="GN29" s="462"/>
      <c r="GO29" s="462"/>
      <c r="GP29" s="462"/>
      <c r="GQ29" s="462"/>
      <c r="GR29" s="462"/>
      <c r="GS29" s="462"/>
      <c r="GT29" s="462"/>
      <c r="GU29" s="462"/>
      <c r="GV29" s="475"/>
      <c r="GW29" s="1004"/>
      <c r="GX29" s="1006"/>
      <c r="GY29" s="941"/>
      <c r="GZ29" s="1016"/>
      <c r="HB29" s="1040"/>
      <c r="HC29" s="462"/>
      <c r="HD29" s="462"/>
      <c r="HE29" s="462"/>
      <c r="HF29" s="462"/>
      <c r="HG29" s="462"/>
      <c r="HH29" s="462"/>
      <c r="HI29" s="462"/>
      <c r="HJ29" s="462"/>
      <c r="HK29" s="462"/>
      <c r="HL29" s="462"/>
      <c r="HM29" s="462"/>
      <c r="HN29" s="462"/>
      <c r="HO29" s="462"/>
      <c r="HP29" s="462"/>
      <c r="HQ29" s="462"/>
      <c r="HR29" s="462"/>
      <c r="HS29" s="462"/>
      <c r="HT29" s="475"/>
      <c r="HU29" s="1004"/>
      <c r="HV29" s="1006"/>
      <c r="HW29" s="941"/>
      <c r="HX29" s="1016"/>
      <c r="HZ29" s="1050"/>
      <c r="IA29" s="462"/>
      <c r="IB29" s="462"/>
      <c r="IC29" s="462"/>
      <c r="ID29" s="462"/>
      <c r="IE29" s="462"/>
      <c r="IF29" s="462"/>
      <c r="IG29" s="462"/>
      <c r="IH29" s="462"/>
      <c r="II29" s="462"/>
      <c r="IJ29" s="462"/>
      <c r="IK29" s="462"/>
      <c r="IL29" s="462"/>
      <c r="IM29" s="462"/>
      <c r="IN29" s="462"/>
      <c r="IO29" s="462"/>
      <c r="IP29" s="462"/>
      <c r="IQ29" s="462"/>
      <c r="IR29" s="475"/>
      <c r="IS29" s="1004"/>
      <c r="IT29" s="1006"/>
      <c r="IU29" s="941"/>
      <c r="IV29" s="1016"/>
      <c r="IX29" s="1066"/>
      <c r="IY29" s="462"/>
      <c r="IZ29" s="462"/>
      <c r="JA29" s="462"/>
      <c r="JB29" s="462"/>
      <c r="JC29" s="462"/>
      <c r="JD29" s="462"/>
      <c r="JE29" s="462"/>
      <c r="JF29" s="462"/>
      <c r="JG29" s="462"/>
      <c r="JH29" s="462"/>
      <c r="JI29" s="462"/>
      <c r="JJ29" s="462"/>
      <c r="JK29" s="462"/>
      <c r="JL29" s="462"/>
      <c r="JM29" s="462"/>
      <c r="JN29" s="462"/>
      <c r="JO29" s="462"/>
      <c r="JP29" s="475"/>
      <c r="JQ29" s="1004"/>
      <c r="JR29" s="1006"/>
      <c r="JS29" s="941"/>
      <c r="JT29" s="1016"/>
      <c r="JV29" s="1040"/>
      <c r="JW29" s="462"/>
      <c r="JX29" s="462"/>
      <c r="JY29" s="462"/>
      <c r="JZ29" s="462"/>
      <c r="KA29" s="462"/>
      <c r="KB29" s="462"/>
      <c r="KC29" s="462"/>
      <c r="KD29" s="462"/>
      <c r="KE29" s="462"/>
      <c r="KF29" s="462"/>
      <c r="KG29" s="462"/>
      <c r="KH29" s="462"/>
      <c r="KI29" s="462"/>
      <c r="KJ29" s="462"/>
      <c r="KK29" s="462"/>
      <c r="KL29" s="462"/>
      <c r="KM29" s="462"/>
      <c r="KN29" s="475"/>
      <c r="KO29" s="1004"/>
      <c r="KP29" s="1006"/>
      <c r="KQ29" s="941"/>
      <c r="KR29" s="1016"/>
      <c r="KT29" s="1053"/>
      <c r="KU29" s="494"/>
      <c r="KV29" s="494"/>
      <c r="KW29" s="494"/>
      <c r="KX29" s="494"/>
      <c r="KY29" s="494"/>
      <c r="KZ29" s="494"/>
      <c r="LA29" s="494"/>
      <c r="LB29" s="494"/>
      <c r="LC29" s="494"/>
      <c r="LD29" s="494"/>
      <c r="LE29" s="494"/>
      <c r="LF29" s="494"/>
      <c r="LG29" s="494"/>
      <c r="LH29" s="494"/>
      <c r="LI29" s="494"/>
      <c r="LJ29" s="494"/>
      <c r="LK29" s="494"/>
      <c r="LL29" s="497"/>
      <c r="LM29" s="1071"/>
      <c r="LN29" s="1073"/>
      <c r="LO29" s="1069"/>
      <c r="LP29" s="1070"/>
      <c r="LR29" s="61">
        <v>27</v>
      </c>
      <c r="LS29" s="62" t="str" cm="1">
        <f t="array" ref="LS29">IF(INDEX(S:S, (ROW()-ROW($S$3))*3 + 3) &lt;&gt; "", "✔", "")</f>
        <v>✔</v>
      </c>
      <c r="LT29" s="61">
        <v>27</v>
      </c>
      <c r="LU29" s="62" t="str" cm="1">
        <f t="array" ref="LU29">IF(INDEX(AQ:AQ, (ROW()-ROW($AQ$3))*3 + 3) &lt;&gt; "", "✔", "")</f>
        <v>✔</v>
      </c>
      <c r="LV29" s="61">
        <v>27</v>
      </c>
      <c r="LW29" s="501" t="str" cm="1">
        <f t="array" ref="LW29">IF(INDEX(BO:BO, (ROW()-ROW($BO$3))*3 + 3) &lt;&gt; "", "✔", "")</f>
        <v>✔</v>
      </c>
      <c r="LX29" s="503">
        <v>27</v>
      </c>
      <c r="LY29" s="485" t="str" cm="1">
        <f t="array" ref="LY29">IF(INDEX(CM:CM, (ROW()-ROW($CM$3))*3 + 3) &lt;&gt; "", "✔", "")</f>
        <v/>
      </c>
      <c r="LZ29" s="507">
        <v>27</v>
      </c>
      <c r="MA29" s="485" t="str" cm="1">
        <f t="array" ref="MA29">IF(INDEX(DK:DK, (ROW()-ROW($DK$3))*3 + 3) &lt;&gt; "", "✔", "")</f>
        <v/>
      </c>
      <c r="MB29" s="503">
        <v>27</v>
      </c>
      <c r="MC29" s="485" t="str" cm="1">
        <f t="array" ref="MC29">IF(INDEX(EI:EI, (ROW()-ROW($EI$3))*3 + 3) &lt;&gt; "", "✔", "")</f>
        <v/>
      </c>
      <c r="MD29" s="503">
        <v>27</v>
      </c>
      <c r="ME29" s="485" t="str" cm="1">
        <f t="array" ref="ME29">IF(INDEX(FG:FG, (ROW()-ROW($FG$3))*3 + 3) &lt;&gt; "", "✔", "")</f>
        <v/>
      </c>
      <c r="MF29" s="503">
        <v>27</v>
      </c>
      <c r="MG29" s="485" t="str" cm="1">
        <f t="array" ref="MG29">IF(INDEX(GE:GE, (ROW()-ROW($GE$3))*3 + 3) &lt;&gt; "", "✔", "")</f>
        <v/>
      </c>
      <c r="MH29" s="503">
        <v>27</v>
      </c>
      <c r="MI29" s="485" t="str" cm="1">
        <f t="array" ref="MI29">IF(INDEX(HC:HC, (ROW()-ROW($HC$3))*3 + 3) &lt;&gt; "", "✔", "")</f>
        <v/>
      </c>
      <c r="MJ29" s="503">
        <v>27</v>
      </c>
      <c r="MK29" s="485" t="str" cm="1">
        <f t="array" ref="MK29">IF(INDEX(IA:IA, (ROW()-ROW($IA$3))*3 + 3) &lt;&gt; "", "✔", "")</f>
        <v/>
      </c>
      <c r="ML29" s="503">
        <v>27</v>
      </c>
      <c r="MM29" s="485" t="str" cm="1">
        <f t="array" ref="MM29">IF(INDEX(IY:IY, (ROW()-ROW($IY$3))*3 + 3) &lt;&gt; "", "✔", "")</f>
        <v/>
      </c>
      <c r="MN29" s="503">
        <v>27</v>
      </c>
      <c r="MO29" s="485" t="str" cm="1">
        <f t="array" ref="MO29">IF(INDEX(JW:JW, (ROW()-ROW($JW$3))*3 + 3) &lt;&gt; "", "✔", "")</f>
        <v/>
      </c>
      <c r="MP29" s="503">
        <v>27</v>
      </c>
      <c r="MQ29" s="13" t="str" cm="1">
        <f t="array" ref="MQ29">IF(INDEX(KU:KU, (ROW()-ROW($KU$3))*3 + 3) &lt;&gt; "", "✔", "")</f>
        <v/>
      </c>
    </row>
    <row r="30" spans="1:355" ht="15">
      <c r="A30" s="231"/>
      <c r="B30" s="231"/>
      <c r="C30" s="395" t="s">
        <v>388</v>
      </c>
      <c r="D30" s="231" t="s">
        <v>554</v>
      </c>
      <c r="E30" s="231" t="s">
        <v>559</v>
      </c>
      <c r="F30" s="231" t="s">
        <v>556</v>
      </c>
      <c r="G30" s="231" t="s">
        <v>557</v>
      </c>
      <c r="H30" s="231" t="s">
        <v>568</v>
      </c>
      <c r="I30" s="395" t="s">
        <v>387</v>
      </c>
      <c r="R30" s="840">
        <v>46032</v>
      </c>
      <c r="S30" s="1023"/>
      <c r="T30" s="1023"/>
      <c r="U30" s="1023"/>
      <c r="V30" s="1023"/>
      <c r="W30" s="1023"/>
      <c r="X30" s="1023"/>
      <c r="Y30" s="1023"/>
      <c r="Z30" s="1023"/>
      <c r="AA30" s="1023"/>
      <c r="AB30" s="1023"/>
      <c r="AC30" s="1023"/>
      <c r="AD30" s="1023"/>
      <c r="AE30" s="1021"/>
      <c r="AF30" s="1022"/>
      <c r="AG30" s="1024"/>
      <c r="AH30" s="1021"/>
      <c r="AI30" s="1022"/>
      <c r="AJ30" s="1022"/>
      <c r="AK30" s="459" t="s">
        <v>425</v>
      </c>
      <c r="AL30" s="1">
        <f t="shared" ref="AL30" si="41">COUNTA(S30:AJ30)</f>
        <v>0</v>
      </c>
      <c r="AM30" s="939"/>
      <c r="AN30" s="855">
        <f>AN27</f>
        <v>76.7</v>
      </c>
      <c r="AO30" s="118"/>
      <c r="AP30" s="856">
        <v>46063</v>
      </c>
      <c r="AQ30" s="848" t="s">
        <v>70</v>
      </c>
      <c r="AR30" s="848"/>
      <c r="AS30" s="848"/>
      <c r="AT30" s="859"/>
      <c r="AU30" s="859"/>
      <c r="AV30" s="859"/>
      <c r="AW30" s="834"/>
      <c r="AX30" s="835"/>
      <c r="AY30" s="836"/>
      <c r="AZ30" s="867"/>
      <c r="BA30" s="868"/>
      <c r="BB30" s="869"/>
      <c r="BC30" s="834"/>
      <c r="BD30" s="835"/>
      <c r="BE30" s="836"/>
      <c r="BF30" s="834"/>
      <c r="BG30" s="835"/>
      <c r="BH30" s="835"/>
      <c r="BI30" s="459" t="s">
        <v>425</v>
      </c>
      <c r="BJ30" s="482">
        <f t="shared" si="32"/>
        <v>1</v>
      </c>
      <c r="BK30" s="939"/>
      <c r="BL30" s="1016">
        <v>77.150000000000006</v>
      </c>
      <c r="BM30" s="118"/>
      <c r="BN30" s="856">
        <v>46091</v>
      </c>
      <c r="BO30" s="848" t="s">
        <v>89</v>
      </c>
      <c r="BP30" s="848"/>
      <c r="BQ30" s="848"/>
      <c r="BR30" s="890" t="s">
        <v>789</v>
      </c>
      <c r="BS30" s="890"/>
      <c r="BT30" s="890"/>
      <c r="BU30" s="848" t="s">
        <v>115</v>
      </c>
      <c r="BV30" s="848"/>
      <c r="BW30" s="848"/>
      <c r="BX30" s="849" t="s">
        <v>114</v>
      </c>
      <c r="BY30" s="849"/>
      <c r="BZ30" s="849"/>
      <c r="CA30" s="848" t="s">
        <v>129</v>
      </c>
      <c r="CB30" s="848"/>
      <c r="CC30" s="848"/>
      <c r="CD30" s="834"/>
      <c r="CE30" s="835"/>
      <c r="CF30" s="835"/>
      <c r="CG30" s="459" t="s">
        <v>425</v>
      </c>
      <c r="CH30" s="482">
        <f t="shared" ref="CH30" si="42">COUNTA(BO30:CF30)</f>
        <v>5</v>
      </c>
      <c r="CI30" s="939">
        <v>7</v>
      </c>
      <c r="CJ30" s="1016">
        <v>79.3</v>
      </c>
      <c r="CL30" s="1048">
        <v>46122</v>
      </c>
      <c r="CM30" s="844"/>
      <c r="CN30" s="844"/>
      <c r="CO30" s="844"/>
      <c r="CP30" s="844"/>
      <c r="CQ30" s="844"/>
      <c r="CR30" s="844"/>
      <c r="CS30" s="844"/>
      <c r="CT30" s="844"/>
      <c r="CU30" s="844"/>
      <c r="CV30" s="844"/>
      <c r="CW30" s="844"/>
      <c r="CX30" s="844"/>
      <c r="CY30" s="834"/>
      <c r="CZ30" s="835"/>
      <c r="DA30" s="836"/>
      <c r="DB30" s="834"/>
      <c r="DC30" s="835"/>
      <c r="DD30" s="835"/>
      <c r="DE30" s="459" t="s">
        <v>425</v>
      </c>
      <c r="DF30" s="482">
        <f>COUNTA(CM30:DD30)</f>
        <v>0</v>
      </c>
      <c r="DG30" s="939">
        <v>0</v>
      </c>
      <c r="DH30" s="1016">
        <f t="shared" ref="DH30" si="43">DH27</f>
        <v>77.900000000000006</v>
      </c>
      <c r="DJ30" s="1061">
        <v>46152</v>
      </c>
      <c r="DK30" s="960"/>
      <c r="DL30" s="960"/>
      <c r="DM30" s="960"/>
      <c r="DN30" s="960"/>
      <c r="DO30" s="960"/>
      <c r="DP30" s="960"/>
      <c r="DQ30" s="960"/>
      <c r="DR30" s="960"/>
      <c r="DS30" s="960"/>
      <c r="DT30" s="960"/>
      <c r="DU30" s="960"/>
      <c r="DV30" s="960"/>
      <c r="DW30" s="961"/>
      <c r="DX30" s="962"/>
      <c r="DY30" s="963"/>
      <c r="DZ30" s="961"/>
      <c r="EA30" s="962"/>
      <c r="EB30" s="962"/>
      <c r="EC30" s="459" t="s">
        <v>425</v>
      </c>
      <c r="ED30" s="482">
        <f>COUNTA(DK30:EB30)</f>
        <v>0</v>
      </c>
      <c r="EE30" s="939"/>
      <c r="EF30" s="1016"/>
      <c r="EH30" s="1038">
        <v>46183</v>
      </c>
      <c r="EI30" s="960"/>
      <c r="EJ30" s="960"/>
      <c r="EK30" s="960"/>
      <c r="EL30" s="960"/>
      <c r="EM30" s="960"/>
      <c r="EN30" s="960"/>
      <c r="EO30" s="960"/>
      <c r="EP30" s="960"/>
      <c r="EQ30" s="960"/>
      <c r="ER30" s="960"/>
      <c r="ES30" s="960"/>
      <c r="ET30" s="960"/>
      <c r="EU30" s="961"/>
      <c r="EV30" s="962"/>
      <c r="EW30" s="963"/>
      <c r="EX30" s="961"/>
      <c r="EY30" s="962"/>
      <c r="EZ30" s="962"/>
      <c r="FA30" s="459" t="s">
        <v>425</v>
      </c>
      <c r="FB30" s="482">
        <f>COUNTA(EI30:EZ30)</f>
        <v>0</v>
      </c>
      <c r="FC30" s="939"/>
      <c r="FD30" s="1016"/>
      <c r="FF30" s="1048">
        <v>46213</v>
      </c>
      <c r="FG30" s="960"/>
      <c r="FH30" s="960"/>
      <c r="FI30" s="960"/>
      <c r="FJ30" s="960"/>
      <c r="FK30" s="960"/>
      <c r="FL30" s="960"/>
      <c r="FM30" s="960"/>
      <c r="FN30" s="960"/>
      <c r="FO30" s="960"/>
      <c r="FP30" s="960"/>
      <c r="FQ30" s="960"/>
      <c r="FR30" s="960"/>
      <c r="FS30" s="961"/>
      <c r="FT30" s="962"/>
      <c r="FU30" s="963"/>
      <c r="FV30" s="961"/>
      <c r="FW30" s="962"/>
      <c r="FX30" s="962"/>
      <c r="FY30" s="459" t="s">
        <v>425</v>
      </c>
      <c r="FZ30" s="482">
        <f>COUNTA(FG30:FX30)</f>
        <v>0</v>
      </c>
      <c r="GA30" s="939"/>
      <c r="GB30" s="1016"/>
      <c r="GD30" s="1064">
        <v>46244</v>
      </c>
      <c r="GE30" s="960"/>
      <c r="GF30" s="960"/>
      <c r="GG30" s="960"/>
      <c r="GH30" s="960"/>
      <c r="GI30" s="960"/>
      <c r="GJ30" s="960"/>
      <c r="GK30" s="960"/>
      <c r="GL30" s="960"/>
      <c r="GM30" s="960"/>
      <c r="GN30" s="960"/>
      <c r="GO30" s="960"/>
      <c r="GP30" s="960"/>
      <c r="GQ30" s="961"/>
      <c r="GR30" s="962"/>
      <c r="GS30" s="963"/>
      <c r="GT30" s="961"/>
      <c r="GU30" s="962"/>
      <c r="GV30" s="962"/>
      <c r="GW30" s="459" t="s">
        <v>425</v>
      </c>
      <c r="GX30" s="482">
        <f>COUNTA(GE30:GV30)</f>
        <v>0</v>
      </c>
      <c r="GY30" s="939"/>
      <c r="GZ30" s="1016"/>
      <c r="HB30" s="1041">
        <v>46275</v>
      </c>
      <c r="HC30" s="960"/>
      <c r="HD30" s="960"/>
      <c r="HE30" s="960"/>
      <c r="HF30" s="960"/>
      <c r="HG30" s="960"/>
      <c r="HH30" s="960"/>
      <c r="HI30" s="960"/>
      <c r="HJ30" s="960"/>
      <c r="HK30" s="960"/>
      <c r="HL30" s="960"/>
      <c r="HM30" s="960"/>
      <c r="HN30" s="960"/>
      <c r="HO30" s="961"/>
      <c r="HP30" s="962"/>
      <c r="HQ30" s="963"/>
      <c r="HR30" s="961"/>
      <c r="HS30" s="962"/>
      <c r="HT30" s="962"/>
      <c r="HU30" s="459" t="s">
        <v>425</v>
      </c>
      <c r="HV30" s="482">
        <f>COUNTA(HC30:HT30)</f>
        <v>0</v>
      </c>
      <c r="HW30" s="939"/>
      <c r="HX30" s="1016"/>
      <c r="HZ30" s="1051">
        <v>46305</v>
      </c>
      <c r="IA30" s="1023"/>
      <c r="IB30" s="1023"/>
      <c r="IC30" s="1023"/>
      <c r="ID30" s="1023"/>
      <c r="IE30" s="1023"/>
      <c r="IF30" s="1023"/>
      <c r="IG30" s="1023"/>
      <c r="IH30" s="1023"/>
      <c r="II30" s="1023"/>
      <c r="IJ30" s="1023"/>
      <c r="IK30" s="1023"/>
      <c r="IL30" s="1023"/>
      <c r="IM30" s="1021"/>
      <c r="IN30" s="1022"/>
      <c r="IO30" s="1024"/>
      <c r="IP30" s="1021"/>
      <c r="IQ30" s="1022"/>
      <c r="IR30" s="1022"/>
      <c r="IS30" s="489" t="s">
        <v>425</v>
      </c>
      <c r="IT30" s="496">
        <f>COUNTA(IA30:IR30)</f>
        <v>0</v>
      </c>
      <c r="IU30" s="1067"/>
      <c r="IV30" s="1070"/>
      <c r="IX30" s="1074">
        <v>46336</v>
      </c>
      <c r="IY30" s="960"/>
      <c r="IZ30" s="960"/>
      <c r="JA30" s="960"/>
      <c r="JB30" s="960"/>
      <c r="JC30" s="960"/>
      <c r="JD30" s="960"/>
      <c r="JE30" s="960"/>
      <c r="JF30" s="960"/>
      <c r="JG30" s="960"/>
      <c r="JH30" s="960"/>
      <c r="JI30" s="960"/>
      <c r="JJ30" s="960"/>
      <c r="JK30" s="961"/>
      <c r="JL30" s="962"/>
      <c r="JM30" s="963"/>
      <c r="JN30" s="961"/>
      <c r="JO30" s="962"/>
      <c r="JP30" s="962"/>
      <c r="JQ30" s="459" t="s">
        <v>425</v>
      </c>
      <c r="JR30" s="482">
        <f>COUNTA(IY30:JP30)</f>
        <v>0</v>
      </c>
      <c r="JS30" s="939"/>
      <c r="JT30" s="1016"/>
      <c r="JV30" s="1041">
        <v>46366</v>
      </c>
      <c r="JW30" s="960"/>
      <c r="JX30" s="960"/>
      <c r="JY30" s="960"/>
      <c r="JZ30" s="960"/>
      <c r="KA30" s="960"/>
      <c r="KB30" s="960"/>
      <c r="KC30" s="960"/>
      <c r="KD30" s="960"/>
      <c r="KE30" s="960"/>
      <c r="KF30" s="960"/>
      <c r="KG30" s="960"/>
      <c r="KH30" s="960"/>
      <c r="KI30" s="961"/>
      <c r="KJ30" s="962"/>
      <c r="KK30" s="963"/>
      <c r="KL30" s="961"/>
      <c r="KM30" s="962"/>
      <c r="KN30" s="962"/>
      <c r="KO30" s="459" t="s">
        <v>425</v>
      </c>
      <c r="KP30" s="482">
        <f>COUNTA(JW30:KN30)</f>
        <v>0</v>
      </c>
      <c r="KQ30" s="939"/>
      <c r="KR30" s="1016"/>
      <c r="KT30" s="1061">
        <v>46397</v>
      </c>
      <c r="KU30" s="960"/>
      <c r="KV30" s="960"/>
      <c r="KW30" s="960"/>
      <c r="KX30" s="960"/>
      <c r="KY30" s="960"/>
      <c r="KZ30" s="960"/>
      <c r="LA30" s="960"/>
      <c r="LB30" s="960"/>
      <c r="LC30" s="960"/>
      <c r="LD30" s="960"/>
      <c r="LE30" s="960"/>
      <c r="LF30" s="960"/>
      <c r="LG30" s="961"/>
      <c r="LH30" s="962"/>
      <c r="LI30" s="963"/>
      <c r="LJ30" s="961"/>
      <c r="LK30" s="962"/>
      <c r="LL30" s="962"/>
      <c r="LM30" s="459" t="s">
        <v>425</v>
      </c>
      <c r="LN30" s="482">
        <f>COUNTA(KU30:LL30)</f>
        <v>0</v>
      </c>
      <c r="LO30" s="939"/>
      <c r="LP30" s="1016"/>
      <c r="LR30" s="61">
        <v>28</v>
      </c>
      <c r="LS30" s="62" t="str" cm="1">
        <f t="array" ref="LS30">IF(INDEX(S:S, (ROW()-ROW($S$3))*3 + 3) &lt;&gt; "", "✔", "")</f>
        <v>✔</v>
      </c>
      <c r="LT30" s="61">
        <v>28</v>
      </c>
      <c r="LU30" s="62" t="str" cm="1">
        <f t="array" ref="LU30">IF(INDEX(AQ:AQ, (ROW()-ROW($AQ$3))*3 + 3) &lt;&gt; "", "✔", "")</f>
        <v/>
      </c>
      <c r="LV30" s="61">
        <v>28</v>
      </c>
      <c r="LW30" s="501" t="str" cm="1">
        <f t="array" ref="LW30">IF(INDEX(BO:BO, (ROW()-ROW($BO$3))*3 + 3) &lt;&gt; "", "✔", "")</f>
        <v/>
      </c>
      <c r="LX30" s="503">
        <v>28</v>
      </c>
      <c r="LY30" s="485" t="str" cm="1">
        <f t="array" ref="LY30">IF(INDEX(CM:CM, (ROW()-ROW($CM$3))*3 + 3) &lt;&gt; "", "✔", "")</f>
        <v/>
      </c>
      <c r="LZ30" s="507">
        <v>28</v>
      </c>
      <c r="MA30" s="485" t="str" cm="1">
        <f t="array" ref="MA30">IF(INDEX(DK:DK, (ROW()-ROW($DK$3))*3 + 3) &lt;&gt; "", "✔", "")</f>
        <v/>
      </c>
      <c r="MB30" s="503">
        <v>28</v>
      </c>
      <c r="MC30" s="485" t="str" cm="1">
        <f t="array" ref="MC30">IF(INDEX(EI:EI, (ROW()-ROW($EI$3))*3 + 3) &lt;&gt; "", "✔", "")</f>
        <v/>
      </c>
      <c r="MD30" s="503">
        <v>28</v>
      </c>
      <c r="ME30" s="485" t="str" cm="1">
        <f t="array" ref="ME30">IF(INDEX(FG:FG, (ROW()-ROW($FG$3))*3 + 3) &lt;&gt; "", "✔", "")</f>
        <v/>
      </c>
      <c r="MF30" s="503">
        <v>28</v>
      </c>
      <c r="MG30" s="485" t="str" cm="1">
        <f t="array" ref="MG30">IF(INDEX(GE:GE, (ROW()-ROW($GE$3))*3 + 3) &lt;&gt; "", "✔", "")</f>
        <v/>
      </c>
      <c r="MH30" s="503">
        <v>28</v>
      </c>
      <c r="MI30" s="485" t="str" cm="1">
        <f t="array" ref="MI30">IF(INDEX(HC:HC, (ROW()-ROW($HC$3))*3 + 3) &lt;&gt; "", "✔", "")</f>
        <v/>
      </c>
      <c r="MJ30" s="503">
        <v>28</v>
      </c>
      <c r="MK30" s="485" t="str" cm="1">
        <f t="array" ref="MK30">IF(INDEX(IA:IA, (ROW()-ROW($IA$3))*3 + 3) &lt;&gt; "", "✔", "")</f>
        <v/>
      </c>
      <c r="ML30" s="503">
        <v>28</v>
      </c>
      <c r="MM30" s="485" t="str" cm="1">
        <f t="array" ref="MM30">IF(INDEX(IY:IY, (ROW()-ROW($IY$3))*3 + 3) &lt;&gt; "", "✔", "")</f>
        <v/>
      </c>
      <c r="MN30" s="503">
        <v>28</v>
      </c>
      <c r="MO30" s="485" t="str" cm="1">
        <f t="array" ref="MO30">IF(INDEX(JW:JW, (ROW()-ROW($JW$3))*3 + 3) &lt;&gt; "", "✔", "")</f>
        <v/>
      </c>
      <c r="MP30" s="503">
        <v>28</v>
      </c>
      <c r="MQ30" s="13" t="str" cm="1">
        <f t="array" ref="MQ30">IF(INDEX(KU:KU, (ROW()-ROW($KU$3))*3 + 3) &lt;&gt; "", "✔", "")</f>
        <v/>
      </c>
    </row>
    <row r="31" spans="1:355" ht="15">
      <c r="A31" s="231"/>
      <c r="B31" s="231"/>
      <c r="C31" s="395" t="s">
        <v>126</v>
      </c>
      <c r="D31" s="231" t="s">
        <v>554</v>
      </c>
      <c r="E31" s="231" t="s">
        <v>569</v>
      </c>
      <c r="F31" s="231" t="s">
        <v>556</v>
      </c>
      <c r="G31" s="231" t="s">
        <v>557</v>
      </c>
      <c r="H31" s="231" t="s">
        <v>562</v>
      </c>
      <c r="I31" s="395" t="s">
        <v>561</v>
      </c>
      <c r="R31" s="841"/>
      <c r="S31" s="491" t="s">
        <v>59</v>
      </c>
      <c r="T31" s="491" t="s">
        <v>73</v>
      </c>
      <c r="U31" s="492" t="s">
        <v>4</v>
      </c>
      <c r="V31" s="491" t="s">
        <v>59</v>
      </c>
      <c r="W31" s="491" t="s">
        <v>73</v>
      </c>
      <c r="X31" s="492" t="s">
        <v>4</v>
      </c>
      <c r="Y31" s="491" t="s">
        <v>59</v>
      </c>
      <c r="Z31" s="491" t="s">
        <v>73</v>
      </c>
      <c r="AA31" s="492" t="s">
        <v>4</v>
      </c>
      <c r="AB31" s="491" t="s">
        <v>59</v>
      </c>
      <c r="AC31" s="491" t="s">
        <v>73</v>
      </c>
      <c r="AD31" s="492" t="s">
        <v>4</v>
      </c>
      <c r="AE31" s="491" t="s">
        <v>59</v>
      </c>
      <c r="AF31" s="491" t="s">
        <v>73</v>
      </c>
      <c r="AG31" s="492" t="s">
        <v>4</v>
      </c>
      <c r="AH31" s="491" t="s">
        <v>59</v>
      </c>
      <c r="AI31" s="491" t="s">
        <v>73</v>
      </c>
      <c r="AJ31" s="493" t="s">
        <v>4</v>
      </c>
      <c r="AK31" s="1004">
        <v>0</v>
      </c>
      <c r="AL31" s="1002">
        <f t="shared" ref="AL31" si="44">(S32*T32*U32)+(V32*W32*X32)+(Y32*Z32*AA32)+(AB32*AC32*AD32)+(AE32*AF32*AG32)+(AH32*AI32*AJ32)</f>
        <v>0</v>
      </c>
      <c r="AM31" s="940"/>
      <c r="AN31" s="855"/>
      <c r="AO31" s="118"/>
      <c r="AP31" s="857"/>
      <c r="AQ31" s="231" t="s">
        <v>59</v>
      </c>
      <c r="AR31" s="231" t="s">
        <v>73</v>
      </c>
      <c r="AS31" s="102" t="s">
        <v>4</v>
      </c>
      <c r="AT31" s="107" t="s">
        <v>59</v>
      </c>
      <c r="AU31" s="107" t="s">
        <v>73</v>
      </c>
      <c r="AV31" s="108" t="s">
        <v>4</v>
      </c>
      <c r="AW31" s="107" t="s">
        <v>59</v>
      </c>
      <c r="AX31" s="107" t="s">
        <v>73</v>
      </c>
      <c r="AY31" s="108" t="s">
        <v>4</v>
      </c>
      <c r="AZ31" s="107" t="s">
        <v>59</v>
      </c>
      <c r="BA31" s="107" t="s">
        <v>73</v>
      </c>
      <c r="BB31" s="108" t="s">
        <v>4</v>
      </c>
      <c r="BC31" s="107" t="s">
        <v>59</v>
      </c>
      <c r="BD31" s="107" t="s">
        <v>73</v>
      </c>
      <c r="BE31" s="108" t="s">
        <v>4</v>
      </c>
      <c r="BF31" s="107" t="s">
        <v>59</v>
      </c>
      <c r="BG31" s="107" t="s">
        <v>73</v>
      </c>
      <c r="BH31" s="471" t="s">
        <v>4</v>
      </c>
      <c r="BI31" s="1004">
        <v>48</v>
      </c>
      <c r="BJ31" s="1003">
        <f t="shared" si="35"/>
        <v>3471.7500000000005</v>
      </c>
      <c r="BK31" s="940"/>
      <c r="BL31" s="1016"/>
      <c r="BM31" s="118"/>
      <c r="BN31" s="857"/>
      <c r="BO31" s="231" t="s">
        <v>59</v>
      </c>
      <c r="BP31" s="231" t="s">
        <v>73</v>
      </c>
      <c r="BQ31" s="102" t="s">
        <v>4</v>
      </c>
      <c r="BR31" s="231" t="s">
        <v>59</v>
      </c>
      <c r="BS31" s="231" t="s">
        <v>73</v>
      </c>
      <c r="BT31" s="102" t="s">
        <v>4</v>
      </c>
      <c r="BU31" s="231" t="s">
        <v>59</v>
      </c>
      <c r="BV31" s="231" t="s">
        <v>73</v>
      </c>
      <c r="BW31" s="102" t="s">
        <v>4</v>
      </c>
      <c r="BX31" s="231" t="s">
        <v>59</v>
      </c>
      <c r="BY31" s="231" t="s">
        <v>73</v>
      </c>
      <c r="BZ31" s="102" t="s">
        <v>4</v>
      </c>
      <c r="CA31" s="231" t="s">
        <v>59</v>
      </c>
      <c r="CB31" s="231" t="s">
        <v>73</v>
      </c>
      <c r="CC31" s="102" t="s">
        <v>4</v>
      </c>
      <c r="CD31" s="107" t="s">
        <v>59</v>
      </c>
      <c r="CE31" s="107" t="s">
        <v>73</v>
      </c>
      <c r="CF31" s="471" t="s">
        <v>4</v>
      </c>
      <c r="CG31" s="1004">
        <f>60+7</f>
        <v>67</v>
      </c>
      <c r="CH31" s="1005">
        <f t="shared" ref="CH31" si="45">(BO32*BP32*BQ32)+(BR32*BS32*BT32)+(BU32*BV32*BW32)+(BX32*BY32*BZ32)+(CA32*CB32*CC32)+(CD32*CE32*CF32)</f>
        <v>5915.9000000000005</v>
      </c>
      <c r="CI31" s="940"/>
      <c r="CJ31" s="1016"/>
      <c r="CL31" s="1049"/>
      <c r="CM31" s="107" t="s">
        <v>59</v>
      </c>
      <c r="CN31" s="107" t="s">
        <v>73</v>
      </c>
      <c r="CO31" s="108" t="s">
        <v>4</v>
      </c>
      <c r="CP31" s="107" t="s">
        <v>59</v>
      </c>
      <c r="CQ31" s="107" t="s">
        <v>73</v>
      </c>
      <c r="CR31" s="108" t="s">
        <v>4</v>
      </c>
      <c r="CS31" s="107" t="s">
        <v>59</v>
      </c>
      <c r="CT31" s="107" t="s">
        <v>73</v>
      </c>
      <c r="CU31" s="108" t="s">
        <v>4</v>
      </c>
      <c r="CV31" s="107" t="s">
        <v>59</v>
      </c>
      <c r="CW31" s="107" t="s">
        <v>73</v>
      </c>
      <c r="CX31" s="108" t="s">
        <v>4</v>
      </c>
      <c r="CY31" s="107" t="s">
        <v>59</v>
      </c>
      <c r="CZ31" s="107" t="s">
        <v>73</v>
      </c>
      <c r="DA31" s="108" t="s">
        <v>4</v>
      </c>
      <c r="DB31" s="107" t="s">
        <v>59</v>
      </c>
      <c r="DC31" s="107" t="s">
        <v>73</v>
      </c>
      <c r="DD31" s="471" t="s">
        <v>4</v>
      </c>
      <c r="DE31" s="1004">
        <v>0</v>
      </c>
      <c r="DF31" s="1005">
        <f>(CM32*CN32*CO32)+(CP32*CQ32*CR32)+(CS32*CT32*CU32)+(CV32*CW32*CX32)+(CY32*CZ32*DA32)+(DB32*DC32*DD32)</f>
        <v>0</v>
      </c>
      <c r="DG31" s="940"/>
      <c r="DH31" s="1016"/>
      <c r="DJ31" s="1062"/>
      <c r="DK31" s="460" t="s">
        <v>59</v>
      </c>
      <c r="DL31" s="460" t="s">
        <v>73</v>
      </c>
      <c r="DM31" s="461" t="s">
        <v>4</v>
      </c>
      <c r="DN31" s="460" t="s">
        <v>59</v>
      </c>
      <c r="DO31" s="460" t="s">
        <v>73</v>
      </c>
      <c r="DP31" s="461" t="s">
        <v>4</v>
      </c>
      <c r="DQ31" s="460" t="s">
        <v>59</v>
      </c>
      <c r="DR31" s="460" t="s">
        <v>73</v>
      </c>
      <c r="DS31" s="461" t="s">
        <v>4</v>
      </c>
      <c r="DT31" s="460" t="s">
        <v>59</v>
      </c>
      <c r="DU31" s="460" t="s">
        <v>73</v>
      </c>
      <c r="DV31" s="461" t="s">
        <v>4</v>
      </c>
      <c r="DW31" s="460" t="s">
        <v>59</v>
      </c>
      <c r="DX31" s="460" t="s">
        <v>73</v>
      </c>
      <c r="DY31" s="461" t="s">
        <v>4</v>
      </c>
      <c r="DZ31" s="460" t="s">
        <v>59</v>
      </c>
      <c r="EA31" s="460" t="s">
        <v>73</v>
      </c>
      <c r="EB31" s="473" t="s">
        <v>4</v>
      </c>
      <c r="EC31" s="1004"/>
      <c r="ED31" s="1005">
        <f>(DK32*DL32*DM32)+(DN32*DO32*DP32)+(DQ32*DR32*DS32)+(DT32*DU32*DV32)+(DW32*DX32*DY32)+(DZ32*EA32*EB32)</f>
        <v>0</v>
      </c>
      <c r="EE31" s="940"/>
      <c r="EF31" s="1016"/>
      <c r="EH31" s="1039"/>
      <c r="EI31" s="460" t="s">
        <v>59</v>
      </c>
      <c r="EJ31" s="460" t="s">
        <v>73</v>
      </c>
      <c r="EK31" s="461" t="s">
        <v>4</v>
      </c>
      <c r="EL31" s="460" t="s">
        <v>59</v>
      </c>
      <c r="EM31" s="460" t="s">
        <v>73</v>
      </c>
      <c r="EN31" s="461" t="s">
        <v>4</v>
      </c>
      <c r="EO31" s="460" t="s">
        <v>59</v>
      </c>
      <c r="EP31" s="460" t="s">
        <v>73</v>
      </c>
      <c r="EQ31" s="461" t="s">
        <v>4</v>
      </c>
      <c r="ER31" s="460" t="s">
        <v>59</v>
      </c>
      <c r="ES31" s="460" t="s">
        <v>73</v>
      </c>
      <c r="ET31" s="461" t="s">
        <v>4</v>
      </c>
      <c r="EU31" s="460" t="s">
        <v>59</v>
      </c>
      <c r="EV31" s="460" t="s">
        <v>73</v>
      </c>
      <c r="EW31" s="461" t="s">
        <v>4</v>
      </c>
      <c r="EX31" s="460" t="s">
        <v>59</v>
      </c>
      <c r="EY31" s="460" t="s">
        <v>73</v>
      </c>
      <c r="EZ31" s="473" t="s">
        <v>4</v>
      </c>
      <c r="FA31" s="1004"/>
      <c r="FB31" s="1005">
        <f>(EI32*EJ32*EK32)+(EL32*EM32*EN32)+(EO32*EP32*EQ32)+(ER32*ES32*ET32)+(EU32*EV32*EW32)+(EX32*EY32*EZ32)</f>
        <v>0</v>
      </c>
      <c r="FC31" s="940"/>
      <c r="FD31" s="1016"/>
      <c r="FF31" s="1049"/>
      <c r="FG31" s="460" t="s">
        <v>59</v>
      </c>
      <c r="FH31" s="460" t="s">
        <v>73</v>
      </c>
      <c r="FI31" s="461" t="s">
        <v>4</v>
      </c>
      <c r="FJ31" s="460" t="s">
        <v>59</v>
      </c>
      <c r="FK31" s="460" t="s">
        <v>73</v>
      </c>
      <c r="FL31" s="461" t="s">
        <v>4</v>
      </c>
      <c r="FM31" s="460" t="s">
        <v>59</v>
      </c>
      <c r="FN31" s="460" t="s">
        <v>73</v>
      </c>
      <c r="FO31" s="461" t="s">
        <v>4</v>
      </c>
      <c r="FP31" s="460" t="s">
        <v>59</v>
      </c>
      <c r="FQ31" s="460" t="s">
        <v>73</v>
      </c>
      <c r="FR31" s="461" t="s">
        <v>4</v>
      </c>
      <c r="FS31" s="460" t="s">
        <v>59</v>
      </c>
      <c r="FT31" s="460" t="s">
        <v>73</v>
      </c>
      <c r="FU31" s="461" t="s">
        <v>4</v>
      </c>
      <c r="FV31" s="460" t="s">
        <v>59</v>
      </c>
      <c r="FW31" s="460" t="s">
        <v>73</v>
      </c>
      <c r="FX31" s="473" t="s">
        <v>4</v>
      </c>
      <c r="FY31" s="1004"/>
      <c r="FZ31" s="1005">
        <f>(FG32*FH32*FI32)+(FJ32*FK32*FL32)+(FM32*FN32*FO32)+(FP32*FQ32*FR32)+(FS32*FT32*FU32)+(FV32*FW32*FX32)</f>
        <v>0</v>
      </c>
      <c r="GA31" s="940"/>
      <c r="GB31" s="1016"/>
      <c r="GD31" s="1065"/>
      <c r="GE31" s="460" t="s">
        <v>59</v>
      </c>
      <c r="GF31" s="460" t="s">
        <v>73</v>
      </c>
      <c r="GG31" s="461" t="s">
        <v>4</v>
      </c>
      <c r="GH31" s="460" t="s">
        <v>59</v>
      </c>
      <c r="GI31" s="460" t="s">
        <v>73</v>
      </c>
      <c r="GJ31" s="461" t="s">
        <v>4</v>
      </c>
      <c r="GK31" s="460" t="s">
        <v>59</v>
      </c>
      <c r="GL31" s="460" t="s">
        <v>73</v>
      </c>
      <c r="GM31" s="461" t="s">
        <v>4</v>
      </c>
      <c r="GN31" s="460" t="s">
        <v>59</v>
      </c>
      <c r="GO31" s="460" t="s">
        <v>73</v>
      </c>
      <c r="GP31" s="461" t="s">
        <v>4</v>
      </c>
      <c r="GQ31" s="460" t="s">
        <v>59</v>
      </c>
      <c r="GR31" s="460" t="s">
        <v>73</v>
      </c>
      <c r="GS31" s="461" t="s">
        <v>4</v>
      </c>
      <c r="GT31" s="460" t="s">
        <v>59</v>
      </c>
      <c r="GU31" s="460" t="s">
        <v>73</v>
      </c>
      <c r="GV31" s="473" t="s">
        <v>4</v>
      </c>
      <c r="GW31" s="1004"/>
      <c r="GX31" s="1005">
        <f>(GE32*GF32*GG32)+(GH32*GI32*GJ32)+(GK32*GL32*GM32)+(GN32*GO32*GP32)+(GQ32*GR32*GS32)+(GT32*GU32*GV32)</f>
        <v>0</v>
      </c>
      <c r="GY31" s="940"/>
      <c r="GZ31" s="1016"/>
      <c r="HB31" s="1042"/>
      <c r="HC31" s="460" t="s">
        <v>59</v>
      </c>
      <c r="HD31" s="460" t="s">
        <v>73</v>
      </c>
      <c r="HE31" s="461" t="s">
        <v>4</v>
      </c>
      <c r="HF31" s="460" t="s">
        <v>59</v>
      </c>
      <c r="HG31" s="460" t="s">
        <v>73</v>
      </c>
      <c r="HH31" s="461" t="s">
        <v>4</v>
      </c>
      <c r="HI31" s="460" t="s">
        <v>59</v>
      </c>
      <c r="HJ31" s="460" t="s">
        <v>73</v>
      </c>
      <c r="HK31" s="461" t="s">
        <v>4</v>
      </c>
      <c r="HL31" s="460" t="s">
        <v>59</v>
      </c>
      <c r="HM31" s="460" t="s">
        <v>73</v>
      </c>
      <c r="HN31" s="461" t="s">
        <v>4</v>
      </c>
      <c r="HO31" s="460" t="s">
        <v>59</v>
      </c>
      <c r="HP31" s="460" t="s">
        <v>73</v>
      </c>
      <c r="HQ31" s="461" t="s">
        <v>4</v>
      </c>
      <c r="HR31" s="460" t="s">
        <v>59</v>
      </c>
      <c r="HS31" s="460" t="s">
        <v>73</v>
      </c>
      <c r="HT31" s="473" t="s">
        <v>4</v>
      </c>
      <c r="HU31" s="1004"/>
      <c r="HV31" s="1005">
        <f>(HC32*HD32*HE32)+(HF32*HG32*HH32)+(HI32*HJ32*HK32)+(HL32*HM32*HN32)+(HO32*HP32*HQ32)+(HR32*HS32*HT32)</f>
        <v>0</v>
      </c>
      <c r="HW31" s="940"/>
      <c r="HX31" s="1016"/>
      <c r="HZ31" s="1052"/>
      <c r="IA31" s="491" t="s">
        <v>59</v>
      </c>
      <c r="IB31" s="491" t="s">
        <v>73</v>
      </c>
      <c r="IC31" s="492" t="s">
        <v>4</v>
      </c>
      <c r="ID31" s="491" t="s">
        <v>59</v>
      </c>
      <c r="IE31" s="491" t="s">
        <v>73</v>
      </c>
      <c r="IF31" s="492" t="s">
        <v>4</v>
      </c>
      <c r="IG31" s="491" t="s">
        <v>59</v>
      </c>
      <c r="IH31" s="491" t="s">
        <v>73</v>
      </c>
      <c r="II31" s="492" t="s">
        <v>4</v>
      </c>
      <c r="IJ31" s="491" t="s">
        <v>59</v>
      </c>
      <c r="IK31" s="491" t="s">
        <v>73</v>
      </c>
      <c r="IL31" s="492" t="s">
        <v>4</v>
      </c>
      <c r="IM31" s="491" t="s">
        <v>59</v>
      </c>
      <c r="IN31" s="491" t="s">
        <v>73</v>
      </c>
      <c r="IO31" s="492" t="s">
        <v>4</v>
      </c>
      <c r="IP31" s="491" t="s">
        <v>59</v>
      </c>
      <c r="IQ31" s="491" t="s">
        <v>73</v>
      </c>
      <c r="IR31" s="493" t="s">
        <v>4</v>
      </c>
      <c r="IS31" s="1071"/>
      <c r="IT31" s="1072">
        <f>(IA32*IB32*IC32)+(ID32*IE32*IF32)+(IG32*IH32*II32)+(IJ32*IK32*IL32)+(IM32*IN32*IO32)+(IP32*IQ32*IR32)</f>
        <v>0</v>
      </c>
      <c r="IU31" s="1068"/>
      <c r="IV31" s="1070"/>
      <c r="IX31" s="1075"/>
      <c r="IY31" s="460" t="s">
        <v>59</v>
      </c>
      <c r="IZ31" s="460" t="s">
        <v>73</v>
      </c>
      <c r="JA31" s="461" t="s">
        <v>4</v>
      </c>
      <c r="JB31" s="460" t="s">
        <v>59</v>
      </c>
      <c r="JC31" s="460" t="s">
        <v>73</v>
      </c>
      <c r="JD31" s="461" t="s">
        <v>4</v>
      </c>
      <c r="JE31" s="460" t="s">
        <v>59</v>
      </c>
      <c r="JF31" s="460" t="s">
        <v>73</v>
      </c>
      <c r="JG31" s="461" t="s">
        <v>4</v>
      </c>
      <c r="JH31" s="460" t="s">
        <v>59</v>
      </c>
      <c r="JI31" s="460" t="s">
        <v>73</v>
      </c>
      <c r="JJ31" s="461" t="s">
        <v>4</v>
      </c>
      <c r="JK31" s="460" t="s">
        <v>59</v>
      </c>
      <c r="JL31" s="460" t="s">
        <v>73</v>
      </c>
      <c r="JM31" s="461" t="s">
        <v>4</v>
      </c>
      <c r="JN31" s="460" t="s">
        <v>59</v>
      </c>
      <c r="JO31" s="460" t="s">
        <v>73</v>
      </c>
      <c r="JP31" s="473" t="s">
        <v>4</v>
      </c>
      <c r="JQ31" s="1004"/>
      <c r="JR31" s="1005">
        <f>(IY32*IZ32*JA32)+(JB32*JC32*JD32)+(JE32*JF32*JG32)+(JH32*JI32*JJ32)+(JK32*JL32*JM32)+(JN32*JO32*JP32)</f>
        <v>0</v>
      </c>
      <c r="JS31" s="940"/>
      <c r="JT31" s="1016"/>
      <c r="JV31" s="1042"/>
      <c r="JW31" s="460" t="s">
        <v>59</v>
      </c>
      <c r="JX31" s="460" t="s">
        <v>73</v>
      </c>
      <c r="JY31" s="461" t="s">
        <v>4</v>
      </c>
      <c r="JZ31" s="460" t="s">
        <v>59</v>
      </c>
      <c r="KA31" s="460" t="s">
        <v>73</v>
      </c>
      <c r="KB31" s="461" t="s">
        <v>4</v>
      </c>
      <c r="KC31" s="460" t="s">
        <v>59</v>
      </c>
      <c r="KD31" s="460" t="s">
        <v>73</v>
      </c>
      <c r="KE31" s="461" t="s">
        <v>4</v>
      </c>
      <c r="KF31" s="460" t="s">
        <v>59</v>
      </c>
      <c r="KG31" s="460" t="s">
        <v>73</v>
      </c>
      <c r="KH31" s="461" t="s">
        <v>4</v>
      </c>
      <c r="KI31" s="460" t="s">
        <v>59</v>
      </c>
      <c r="KJ31" s="460" t="s">
        <v>73</v>
      </c>
      <c r="KK31" s="461" t="s">
        <v>4</v>
      </c>
      <c r="KL31" s="460" t="s">
        <v>59</v>
      </c>
      <c r="KM31" s="460" t="s">
        <v>73</v>
      </c>
      <c r="KN31" s="473" t="s">
        <v>4</v>
      </c>
      <c r="KO31" s="1004"/>
      <c r="KP31" s="1005">
        <f>(JW32*JX32*JY32)+(JZ32*KA32*KB32)+(KC32*KD32*KE32)+(KF32*KG32*KH32)+(KI32*KJ32*KK32)+(KL32*KM32*KN32)</f>
        <v>0</v>
      </c>
      <c r="KQ31" s="940"/>
      <c r="KR31" s="1016"/>
      <c r="KT31" s="1062"/>
      <c r="KU31" s="460" t="s">
        <v>59</v>
      </c>
      <c r="KV31" s="460" t="s">
        <v>73</v>
      </c>
      <c r="KW31" s="461" t="s">
        <v>4</v>
      </c>
      <c r="KX31" s="460" t="s">
        <v>59</v>
      </c>
      <c r="KY31" s="460" t="s">
        <v>73</v>
      </c>
      <c r="KZ31" s="461" t="s">
        <v>4</v>
      </c>
      <c r="LA31" s="460" t="s">
        <v>59</v>
      </c>
      <c r="LB31" s="460" t="s">
        <v>73</v>
      </c>
      <c r="LC31" s="461" t="s">
        <v>4</v>
      </c>
      <c r="LD31" s="460" t="s">
        <v>59</v>
      </c>
      <c r="LE31" s="460" t="s">
        <v>73</v>
      </c>
      <c r="LF31" s="461" t="s">
        <v>4</v>
      </c>
      <c r="LG31" s="460" t="s">
        <v>59</v>
      </c>
      <c r="LH31" s="460" t="s">
        <v>73</v>
      </c>
      <c r="LI31" s="461" t="s">
        <v>4</v>
      </c>
      <c r="LJ31" s="460" t="s">
        <v>59</v>
      </c>
      <c r="LK31" s="460" t="s">
        <v>73</v>
      </c>
      <c r="LL31" s="473" t="s">
        <v>4</v>
      </c>
      <c r="LM31" s="1004"/>
      <c r="LN31" s="1005">
        <f>(KU32*KV32*KW32)+(KX32*KY32*KZ32)+(LA32*LB32*LC32)+(LD32*LE32*LF32)+(LG32*LH32*LI32)+(LJ32*LK32*LL32)</f>
        <v>0</v>
      </c>
      <c r="LO31" s="940"/>
      <c r="LP31" s="1016"/>
      <c r="LR31" s="61">
        <v>29</v>
      </c>
      <c r="LS31" s="62" t="str" cm="1">
        <f t="array" ref="LS31">IF(INDEX(S:S, (ROW()-ROW($S$3))*3 + 3) &lt;&gt; "", "✔", "")</f>
        <v>✔</v>
      </c>
      <c r="LT31" s="76"/>
      <c r="LU31" s="77" t="str" cm="1">
        <f t="array" ref="LU31">IF(INDEX(AQ:AQ, (ROW()-ROW($AQ$3))*3 + 3) &lt;&gt; "", "✔", "")</f>
        <v/>
      </c>
      <c r="LV31" s="61">
        <v>29</v>
      </c>
      <c r="LW31" s="501" t="str" cm="1">
        <f t="array" ref="LW31">IF(INDEX(BO:BO, (ROW()-ROW($BO$3))*3 + 3) &lt;&gt; "", "✔", "")</f>
        <v>✔</v>
      </c>
      <c r="LX31" s="503">
        <v>29</v>
      </c>
      <c r="LY31" s="485" t="str" cm="1">
        <f t="array" ref="LY31">IF(INDEX(CM:CM, (ROW()-ROW($CM$3))*3 + 3) &lt;&gt; "", "✔", "")</f>
        <v/>
      </c>
      <c r="LZ31" s="507">
        <v>29</v>
      </c>
      <c r="MA31" s="485" t="str" cm="1">
        <f t="array" ref="MA31">IF(INDEX(DK:DK, (ROW()-ROW($DK$3))*3 + 3) &lt;&gt; "", "✔", "")</f>
        <v/>
      </c>
      <c r="MB31" s="503">
        <v>29</v>
      </c>
      <c r="MC31" s="485" t="str" cm="1">
        <f t="array" ref="MC31">IF(INDEX(EI:EI, (ROW()-ROW($EI$3))*3 + 3) &lt;&gt; "", "✔", "")</f>
        <v/>
      </c>
      <c r="MD31" s="503">
        <v>29</v>
      </c>
      <c r="ME31" s="485" t="str" cm="1">
        <f t="array" ref="ME31">IF(INDEX(FG:FG, (ROW()-ROW($FG$3))*3 + 3) &lt;&gt; "", "✔", "")</f>
        <v/>
      </c>
      <c r="MF31" s="503">
        <v>29</v>
      </c>
      <c r="MG31" s="485" t="str" cm="1">
        <f t="array" ref="MG31">IF(INDEX(GE:GE, (ROW()-ROW($GE$3))*3 + 3) &lt;&gt; "", "✔", "")</f>
        <v/>
      </c>
      <c r="MH31" s="503">
        <v>29</v>
      </c>
      <c r="MI31" s="485" t="str" cm="1">
        <f t="array" ref="MI31">IF(INDEX(HC:HC, (ROW()-ROW($HC$3))*3 + 3) &lt;&gt; "", "✔", "")</f>
        <v/>
      </c>
      <c r="MJ31" s="503">
        <v>29</v>
      </c>
      <c r="MK31" s="485" t="str" cm="1">
        <f t="array" ref="MK31">IF(INDEX(IA:IA, (ROW()-ROW($IA$3))*3 + 3) &lt;&gt; "", "✔", "")</f>
        <v/>
      </c>
      <c r="ML31" s="503">
        <v>29</v>
      </c>
      <c r="MM31" s="485" t="str" cm="1">
        <f t="array" ref="MM31">IF(INDEX(IY:IY, (ROW()-ROW($IY$3))*3 + 3) &lt;&gt; "", "✔", "")</f>
        <v/>
      </c>
      <c r="MN31" s="503">
        <v>29</v>
      </c>
      <c r="MO31" s="485" t="str" cm="1">
        <f t="array" ref="MO31">IF(INDEX(JW:JW, (ROW()-ROW($JW$3))*3 + 3) &lt;&gt; "", "✔", "")</f>
        <v/>
      </c>
      <c r="MP31" s="503">
        <v>29</v>
      </c>
      <c r="MQ31" s="13" t="str" cm="1">
        <f t="array" ref="MQ31">IF(INDEX(KU:KU, (ROW()-ROW($KU$3))*3 + 3) &lt;&gt; "", "✔", "")</f>
        <v/>
      </c>
    </row>
    <row r="32" spans="1:355" ht="15">
      <c r="A32" s="231"/>
      <c r="B32" s="231"/>
      <c r="C32" s="395" t="s">
        <v>129</v>
      </c>
      <c r="D32" s="231" t="s">
        <v>554</v>
      </c>
      <c r="E32" s="231" t="s">
        <v>569</v>
      </c>
      <c r="F32" s="231" t="s">
        <v>556</v>
      </c>
      <c r="G32" s="231" t="s">
        <v>557</v>
      </c>
      <c r="H32" s="231" t="s">
        <v>562</v>
      </c>
      <c r="I32" s="395" t="s">
        <v>570</v>
      </c>
      <c r="R32" s="842"/>
      <c r="S32" s="494"/>
      <c r="T32" s="494"/>
      <c r="U32" s="494"/>
      <c r="V32" s="494"/>
      <c r="W32" s="494"/>
      <c r="X32" s="494"/>
      <c r="Y32" s="494"/>
      <c r="Z32" s="494"/>
      <c r="AA32" s="494"/>
      <c r="AB32" s="494"/>
      <c r="AC32" s="494"/>
      <c r="AD32" s="494"/>
      <c r="AE32" s="494"/>
      <c r="AF32" s="494"/>
      <c r="AG32" s="494"/>
      <c r="AH32" s="494"/>
      <c r="AI32" s="494"/>
      <c r="AJ32" s="497"/>
      <c r="AK32" s="1004"/>
      <c r="AL32" s="1002"/>
      <c r="AM32" s="941"/>
      <c r="AN32" s="855"/>
      <c r="AO32" s="118"/>
      <c r="AP32" s="858"/>
      <c r="AQ32" s="229">
        <v>1</v>
      </c>
      <c r="AR32" s="229">
        <v>45</v>
      </c>
      <c r="AS32" s="229">
        <f>BL30</f>
        <v>77.150000000000006</v>
      </c>
      <c r="AT32" s="233"/>
      <c r="AU32" s="233"/>
      <c r="AV32" s="233"/>
      <c r="AW32" s="233"/>
      <c r="AX32" s="233"/>
      <c r="AY32" s="233"/>
      <c r="AZ32" s="233"/>
      <c r="BA32" s="233"/>
      <c r="BB32" s="233"/>
      <c r="BC32" s="233"/>
      <c r="BD32" s="233"/>
      <c r="BE32" s="233"/>
      <c r="BF32" s="233"/>
      <c r="BG32" s="233"/>
      <c r="BH32" s="472"/>
      <c r="BI32" s="1004"/>
      <c r="BJ32" s="1003"/>
      <c r="BK32" s="941"/>
      <c r="BL32" s="1016"/>
      <c r="BM32" s="118"/>
      <c r="BN32" s="858"/>
      <c r="BO32" s="229">
        <v>4</v>
      </c>
      <c r="BP32" s="126">
        <f>((12*4))/4</f>
        <v>12</v>
      </c>
      <c r="BQ32" s="229">
        <f>((36*1)+(68*3))/4</f>
        <v>60</v>
      </c>
      <c r="BR32" s="229">
        <v>4</v>
      </c>
      <c r="BS32" s="126">
        <f>((12*1)+(8*2)+(10*1))/4</f>
        <v>9.5</v>
      </c>
      <c r="BT32" s="229">
        <f>((11.3*1)+(22.7*3))/4</f>
        <v>19.849999999999998</v>
      </c>
      <c r="BU32" s="229">
        <v>4</v>
      </c>
      <c r="BV32" s="126">
        <f>((12*3)+(10*1))/4</f>
        <v>11.5</v>
      </c>
      <c r="BW32" s="229">
        <f>((13.6*1)+(27.2*3))/4</f>
        <v>23.799999999999997</v>
      </c>
      <c r="BX32" s="229">
        <v>4</v>
      </c>
      <c r="BY32" s="126">
        <f>((12*4))/4</f>
        <v>12</v>
      </c>
      <c r="BZ32" s="229">
        <f>((5*1)+(7.5*3))/4</f>
        <v>6.875</v>
      </c>
      <c r="CA32" s="229">
        <v>4</v>
      </c>
      <c r="CB32" s="126">
        <f>((12*1)+(8*3))/4</f>
        <v>9</v>
      </c>
      <c r="CC32" s="229">
        <f>((13.6*1)+(27.2*3))/4</f>
        <v>23.799999999999997</v>
      </c>
      <c r="CD32" s="233"/>
      <c r="CE32" s="233"/>
      <c r="CF32" s="472"/>
      <c r="CG32" s="1004"/>
      <c r="CH32" s="1006"/>
      <c r="CI32" s="941"/>
      <c r="CJ32" s="1016"/>
      <c r="CL32" s="1050"/>
      <c r="CM32" s="233"/>
      <c r="CN32" s="233"/>
      <c r="CO32" s="233"/>
      <c r="CP32" s="233"/>
      <c r="CQ32" s="233"/>
      <c r="CR32" s="233"/>
      <c r="CS32" s="233"/>
      <c r="CT32" s="233"/>
      <c r="CU32" s="233"/>
      <c r="CV32" s="233"/>
      <c r="CW32" s="233"/>
      <c r="CX32" s="233"/>
      <c r="CY32" s="233"/>
      <c r="CZ32" s="233"/>
      <c r="DA32" s="233"/>
      <c r="DB32" s="233"/>
      <c r="DC32" s="233"/>
      <c r="DD32" s="477"/>
      <c r="DE32" s="1004"/>
      <c r="DF32" s="1006"/>
      <c r="DG32" s="941"/>
      <c r="DH32" s="1016"/>
      <c r="DJ32" s="1063"/>
      <c r="DK32" s="462"/>
      <c r="DL32" s="462"/>
      <c r="DM32" s="462"/>
      <c r="DN32" s="462"/>
      <c r="DO32" s="462"/>
      <c r="DP32" s="462"/>
      <c r="DQ32" s="462"/>
      <c r="DR32" s="462"/>
      <c r="DS32" s="462"/>
      <c r="DT32" s="462"/>
      <c r="DU32" s="462"/>
      <c r="DV32" s="462"/>
      <c r="DW32" s="462"/>
      <c r="DX32" s="462"/>
      <c r="DY32" s="462"/>
      <c r="DZ32" s="462"/>
      <c r="EA32" s="462"/>
      <c r="EB32" s="474"/>
      <c r="EC32" s="1004"/>
      <c r="ED32" s="1006"/>
      <c r="EE32" s="941"/>
      <c r="EF32" s="1016"/>
      <c r="EH32" s="1040"/>
      <c r="EI32" s="462"/>
      <c r="EJ32" s="462"/>
      <c r="EK32" s="462"/>
      <c r="EL32" s="462"/>
      <c r="EM32" s="462"/>
      <c r="EN32" s="462"/>
      <c r="EO32" s="462"/>
      <c r="EP32" s="462"/>
      <c r="EQ32" s="462"/>
      <c r="ER32" s="462"/>
      <c r="ES32" s="462"/>
      <c r="ET32" s="462"/>
      <c r="EU32" s="462"/>
      <c r="EV32" s="462"/>
      <c r="EW32" s="462"/>
      <c r="EX32" s="462"/>
      <c r="EY32" s="462"/>
      <c r="EZ32" s="474"/>
      <c r="FA32" s="1004"/>
      <c r="FB32" s="1006"/>
      <c r="FC32" s="941"/>
      <c r="FD32" s="1016"/>
      <c r="FF32" s="1050"/>
      <c r="FG32" s="462"/>
      <c r="FH32" s="462"/>
      <c r="FI32" s="462"/>
      <c r="FJ32" s="462"/>
      <c r="FK32" s="462"/>
      <c r="FL32" s="462"/>
      <c r="FM32" s="462"/>
      <c r="FN32" s="462"/>
      <c r="FO32" s="462"/>
      <c r="FP32" s="462"/>
      <c r="FQ32" s="462"/>
      <c r="FR32" s="462"/>
      <c r="FS32" s="462"/>
      <c r="FT32" s="462"/>
      <c r="FU32" s="462"/>
      <c r="FV32" s="462"/>
      <c r="FW32" s="462"/>
      <c r="FX32" s="474"/>
      <c r="FY32" s="1004"/>
      <c r="FZ32" s="1006"/>
      <c r="GA32" s="941"/>
      <c r="GB32" s="1016"/>
      <c r="GD32" s="1066"/>
      <c r="GE32" s="462"/>
      <c r="GF32" s="462"/>
      <c r="GG32" s="462"/>
      <c r="GH32" s="462"/>
      <c r="GI32" s="462"/>
      <c r="GJ32" s="462"/>
      <c r="GK32" s="462"/>
      <c r="GL32" s="462"/>
      <c r="GM32" s="462"/>
      <c r="GN32" s="462"/>
      <c r="GO32" s="462"/>
      <c r="GP32" s="462"/>
      <c r="GQ32" s="462"/>
      <c r="GR32" s="462"/>
      <c r="GS32" s="462"/>
      <c r="GT32" s="462"/>
      <c r="GU32" s="462"/>
      <c r="GV32" s="474"/>
      <c r="GW32" s="1004"/>
      <c r="GX32" s="1006"/>
      <c r="GY32" s="941"/>
      <c r="GZ32" s="1016"/>
      <c r="HB32" s="1043"/>
      <c r="HC32" s="462"/>
      <c r="HD32" s="462"/>
      <c r="HE32" s="462"/>
      <c r="HF32" s="462"/>
      <c r="HG32" s="462"/>
      <c r="HH32" s="462"/>
      <c r="HI32" s="462"/>
      <c r="HJ32" s="462"/>
      <c r="HK32" s="462"/>
      <c r="HL32" s="462"/>
      <c r="HM32" s="462"/>
      <c r="HN32" s="462"/>
      <c r="HO32" s="462"/>
      <c r="HP32" s="462"/>
      <c r="HQ32" s="462"/>
      <c r="HR32" s="462"/>
      <c r="HS32" s="462"/>
      <c r="HT32" s="474"/>
      <c r="HU32" s="1004"/>
      <c r="HV32" s="1006"/>
      <c r="HW32" s="941"/>
      <c r="HX32" s="1016"/>
      <c r="HZ32" s="1053"/>
      <c r="IA32" s="494"/>
      <c r="IB32" s="494"/>
      <c r="IC32" s="494"/>
      <c r="ID32" s="494"/>
      <c r="IE32" s="494"/>
      <c r="IF32" s="494"/>
      <c r="IG32" s="494"/>
      <c r="IH32" s="494"/>
      <c r="II32" s="494"/>
      <c r="IJ32" s="494"/>
      <c r="IK32" s="494"/>
      <c r="IL32" s="494"/>
      <c r="IM32" s="494"/>
      <c r="IN32" s="494"/>
      <c r="IO32" s="494"/>
      <c r="IP32" s="494"/>
      <c r="IQ32" s="494"/>
      <c r="IR32" s="495"/>
      <c r="IS32" s="1071"/>
      <c r="IT32" s="1073"/>
      <c r="IU32" s="1069"/>
      <c r="IV32" s="1070"/>
      <c r="IX32" s="1076"/>
      <c r="IY32" s="462"/>
      <c r="IZ32" s="462"/>
      <c r="JA32" s="462"/>
      <c r="JB32" s="462"/>
      <c r="JC32" s="462"/>
      <c r="JD32" s="462"/>
      <c r="JE32" s="462"/>
      <c r="JF32" s="462"/>
      <c r="JG32" s="462"/>
      <c r="JH32" s="462"/>
      <c r="JI32" s="462"/>
      <c r="JJ32" s="462"/>
      <c r="JK32" s="462"/>
      <c r="JL32" s="462"/>
      <c r="JM32" s="462"/>
      <c r="JN32" s="462"/>
      <c r="JO32" s="462"/>
      <c r="JP32" s="474"/>
      <c r="JQ32" s="1004"/>
      <c r="JR32" s="1006"/>
      <c r="JS32" s="941"/>
      <c r="JT32" s="1016"/>
      <c r="JV32" s="1043"/>
      <c r="JW32" s="462"/>
      <c r="JX32" s="462"/>
      <c r="JY32" s="462"/>
      <c r="JZ32" s="462"/>
      <c r="KA32" s="462"/>
      <c r="KB32" s="462"/>
      <c r="KC32" s="462"/>
      <c r="KD32" s="462"/>
      <c r="KE32" s="462"/>
      <c r="KF32" s="462"/>
      <c r="KG32" s="462"/>
      <c r="KH32" s="462"/>
      <c r="KI32" s="462"/>
      <c r="KJ32" s="462"/>
      <c r="KK32" s="462"/>
      <c r="KL32" s="462"/>
      <c r="KM32" s="462"/>
      <c r="KN32" s="474"/>
      <c r="KO32" s="1004"/>
      <c r="KP32" s="1006"/>
      <c r="KQ32" s="941"/>
      <c r="KR32" s="1016"/>
      <c r="KT32" s="1063"/>
      <c r="KU32" s="462"/>
      <c r="KV32" s="462"/>
      <c r="KW32" s="462"/>
      <c r="KX32" s="462"/>
      <c r="KY32" s="462"/>
      <c r="KZ32" s="462"/>
      <c r="LA32" s="462"/>
      <c r="LB32" s="462"/>
      <c r="LC32" s="462"/>
      <c r="LD32" s="462"/>
      <c r="LE32" s="462"/>
      <c r="LF32" s="462"/>
      <c r="LG32" s="462"/>
      <c r="LH32" s="462"/>
      <c r="LI32" s="462"/>
      <c r="LJ32" s="462"/>
      <c r="LK32" s="462"/>
      <c r="LL32" s="474"/>
      <c r="LM32" s="1004"/>
      <c r="LN32" s="1006"/>
      <c r="LO32" s="941"/>
      <c r="LP32" s="1016"/>
      <c r="LR32" s="61">
        <v>30</v>
      </c>
      <c r="LS32" s="62" t="str" cm="1">
        <f t="array" ref="LS32">IF(INDEX(S:S, (ROW()-ROW($S$3))*3 + 3) &lt;&gt; "", "✔", "")</f>
        <v>✔</v>
      </c>
      <c r="LT32" s="76"/>
      <c r="LU32" s="77" t="str" cm="1">
        <f t="array" ref="LU32">IF(INDEX(AQ:AQ, (ROW()-ROW($AQ$3))*3 + 3) &lt;&gt; "", "✔", "")</f>
        <v/>
      </c>
      <c r="LV32" s="61">
        <v>30</v>
      </c>
      <c r="LW32" s="501" t="str" cm="1">
        <f t="array" ref="LW32">IF(INDEX(BO:BO, (ROW()-ROW($BO$3))*3 + 3) &lt;&gt; "", "✔", "")</f>
        <v>✔</v>
      </c>
      <c r="LX32" s="503">
        <v>30</v>
      </c>
      <c r="LY32" s="485" t="str" cm="1">
        <f t="array" ref="LY32">IF(INDEX(CM:CM, (ROW()-ROW($CM$3))*3 + 3) &lt;&gt; "", "✔", "")</f>
        <v/>
      </c>
      <c r="LZ32" s="507">
        <v>30</v>
      </c>
      <c r="MA32" s="485" t="str" cm="1">
        <f t="array" ref="MA32">IF(INDEX(DK:DK, (ROW()-ROW($DK$3))*3 + 3) &lt;&gt; "", "✔", "")</f>
        <v/>
      </c>
      <c r="MB32" s="503">
        <v>30</v>
      </c>
      <c r="MC32" s="485" t="str" cm="1">
        <f t="array" ref="MC32">IF(INDEX(EI:EI, (ROW()-ROW($EI$3))*3 + 3) &lt;&gt; "", "✔", "")</f>
        <v/>
      </c>
      <c r="MD32" s="503">
        <v>30</v>
      </c>
      <c r="ME32" s="485" t="str" cm="1">
        <f t="array" ref="ME32">IF(INDEX(FG:FG, (ROW()-ROW($FG$3))*3 + 3) &lt;&gt; "", "✔", "")</f>
        <v/>
      </c>
      <c r="MF32" s="503">
        <v>30</v>
      </c>
      <c r="MG32" s="485" t="str" cm="1">
        <f t="array" ref="MG32">IF(INDEX(GE:GE, (ROW()-ROW($GE$3))*3 + 3) &lt;&gt; "", "✔", "")</f>
        <v/>
      </c>
      <c r="MH32" s="503">
        <v>30</v>
      </c>
      <c r="MI32" s="485" t="str" cm="1">
        <f t="array" ref="MI32">IF(INDEX(HC:HC, (ROW()-ROW($HC$3))*3 + 3) &lt;&gt; "", "✔", "")</f>
        <v/>
      </c>
      <c r="MJ32" s="503">
        <v>30</v>
      </c>
      <c r="MK32" s="485" t="str" cm="1">
        <f t="array" ref="MK32">IF(INDEX(IA:IA, (ROW()-ROW($IA$3))*3 + 3) &lt;&gt; "", "✔", "")</f>
        <v/>
      </c>
      <c r="ML32" s="503">
        <v>30</v>
      </c>
      <c r="MM32" s="485" t="str" cm="1">
        <f t="array" ref="MM32">IF(INDEX(IY:IY, (ROW()-ROW($IY$3))*3 + 3) &lt;&gt; "", "✔", "")</f>
        <v/>
      </c>
      <c r="MN32" s="503">
        <v>30</v>
      </c>
      <c r="MO32" s="485" t="str" cm="1">
        <f t="array" ref="MO32">IF(INDEX(JW:JW, (ROW()-ROW($JW$3))*3 + 3) &lt;&gt; "", "✔", "")</f>
        <v/>
      </c>
      <c r="MP32" s="503">
        <v>30</v>
      </c>
      <c r="MQ32" s="13" t="str" cm="1">
        <f t="array" ref="MQ32">IF(INDEX(KU:KU, (ROW()-ROW($KU$3))*3 + 3) &lt;&gt; "", "✔", "")</f>
        <v/>
      </c>
    </row>
    <row r="33" spans="1:355" ht="15.75" thickBot="1">
      <c r="A33" s="396" t="s">
        <v>571</v>
      </c>
      <c r="B33" s="396" t="s">
        <v>572</v>
      </c>
      <c r="C33" s="395" t="s">
        <v>396</v>
      </c>
      <c r="D33" s="231" t="s">
        <v>573</v>
      </c>
      <c r="E33" s="231" t="s">
        <v>397</v>
      </c>
      <c r="F33" s="231" t="s">
        <v>9</v>
      </c>
      <c r="G33" s="231" t="s">
        <v>9</v>
      </c>
      <c r="H33" s="231" t="s">
        <v>572</v>
      </c>
      <c r="I33" s="395"/>
      <c r="R33" s="864">
        <v>46033</v>
      </c>
      <c r="S33" s="848" t="s">
        <v>147</v>
      </c>
      <c r="T33" s="848"/>
      <c r="U33" s="848"/>
      <c r="V33" s="890" t="s">
        <v>379</v>
      </c>
      <c r="W33" s="890"/>
      <c r="X33" s="890"/>
      <c r="Y33" s="848" t="s">
        <v>129</v>
      </c>
      <c r="Z33" s="848"/>
      <c r="AA33" s="848"/>
      <c r="AB33" s="848" t="s">
        <v>380</v>
      </c>
      <c r="AC33" s="848"/>
      <c r="AD33" s="848"/>
      <c r="AE33" s="882" t="s">
        <v>103</v>
      </c>
      <c r="AF33" s="883"/>
      <c r="AG33" s="884"/>
      <c r="AH33" s="882" t="s">
        <v>146</v>
      </c>
      <c r="AI33" s="883"/>
      <c r="AJ33" s="883"/>
      <c r="AK33" s="459" t="s">
        <v>425</v>
      </c>
      <c r="AL33" s="1">
        <f t="shared" ref="AL33" si="46">COUNTA(S33:AJ33)</f>
        <v>6</v>
      </c>
      <c r="AM33" s="939"/>
      <c r="AN33" s="855">
        <v>77</v>
      </c>
      <c r="AO33" s="118"/>
      <c r="AP33" s="845">
        <v>46064</v>
      </c>
      <c r="AQ33" s="849" t="s">
        <v>156</v>
      </c>
      <c r="AR33" s="849"/>
      <c r="AS33" s="849"/>
      <c r="AT33" s="848" t="s">
        <v>103</v>
      </c>
      <c r="AU33" s="848"/>
      <c r="AV33" s="848"/>
      <c r="AW33" s="848" t="s">
        <v>68</v>
      </c>
      <c r="AX33" s="848"/>
      <c r="AY33" s="848"/>
      <c r="AZ33" s="848" t="s">
        <v>417</v>
      </c>
      <c r="BA33" s="848"/>
      <c r="BB33" s="848"/>
      <c r="BC33" s="834"/>
      <c r="BD33" s="835"/>
      <c r="BE33" s="836"/>
      <c r="BF33" s="834"/>
      <c r="BG33" s="835"/>
      <c r="BH33" s="835"/>
      <c r="BI33" s="459" t="s">
        <v>425</v>
      </c>
      <c r="BJ33" s="482">
        <f t="shared" si="32"/>
        <v>4</v>
      </c>
      <c r="BK33" s="939"/>
      <c r="BL33" s="1016">
        <v>77.2</v>
      </c>
      <c r="BM33" s="118"/>
      <c r="BN33" s="845">
        <v>46092</v>
      </c>
      <c r="BO33" s="849" t="s">
        <v>156</v>
      </c>
      <c r="BP33" s="849"/>
      <c r="BQ33" s="849"/>
      <c r="BR33" s="848" t="s">
        <v>103</v>
      </c>
      <c r="BS33" s="848"/>
      <c r="BT33" s="848"/>
      <c r="BU33" s="848" t="s">
        <v>68</v>
      </c>
      <c r="BV33" s="848"/>
      <c r="BW33" s="848"/>
      <c r="BX33" s="848" t="s">
        <v>417</v>
      </c>
      <c r="BY33" s="848"/>
      <c r="BZ33" s="848"/>
      <c r="CA33" s="834"/>
      <c r="CB33" s="835"/>
      <c r="CC33" s="836"/>
      <c r="CD33" s="834"/>
      <c r="CE33" s="835"/>
      <c r="CF33" s="835"/>
      <c r="CG33" s="459" t="s">
        <v>425</v>
      </c>
      <c r="CH33" s="482">
        <f t="shared" ref="CH33" si="47">COUNTA(BO33:CF33)</f>
        <v>4</v>
      </c>
      <c r="CI33" s="939">
        <v>9</v>
      </c>
      <c r="CJ33" s="1016">
        <v>78.599999999999994</v>
      </c>
      <c r="CL33" s="1051">
        <v>46123</v>
      </c>
      <c r="CM33" s="1023"/>
      <c r="CN33" s="1023"/>
      <c r="CO33" s="1023"/>
      <c r="CP33" s="1023"/>
      <c r="CQ33" s="1023"/>
      <c r="CR33" s="1023"/>
      <c r="CS33" s="1023"/>
      <c r="CT33" s="1023"/>
      <c r="CU33" s="1023"/>
      <c r="CV33" s="1023"/>
      <c r="CW33" s="1023"/>
      <c r="CX33" s="1023"/>
      <c r="CY33" s="1021"/>
      <c r="CZ33" s="1022"/>
      <c r="DA33" s="1024"/>
      <c r="DB33" s="1021"/>
      <c r="DC33" s="1022"/>
      <c r="DD33" s="1022"/>
      <c r="DE33" s="576" t="s">
        <v>425</v>
      </c>
      <c r="DF33" s="577">
        <f>COUNTA(CM33:DD33)</f>
        <v>0</v>
      </c>
      <c r="DG33" s="939">
        <v>0</v>
      </c>
      <c r="DH33" s="1016">
        <f t="shared" ref="DH33" si="48">DH30</f>
        <v>77.900000000000006</v>
      </c>
      <c r="DJ33" s="1064">
        <v>46153</v>
      </c>
      <c r="DK33" s="960"/>
      <c r="DL33" s="960"/>
      <c r="DM33" s="960"/>
      <c r="DN33" s="960"/>
      <c r="DO33" s="960"/>
      <c r="DP33" s="960"/>
      <c r="DQ33" s="960"/>
      <c r="DR33" s="960"/>
      <c r="DS33" s="960"/>
      <c r="DT33" s="960"/>
      <c r="DU33" s="960"/>
      <c r="DV33" s="960"/>
      <c r="DW33" s="961"/>
      <c r="DX33" s="962"/>
      <c r="DY33" s="963"/>
      <c r="DZ33" s="961"/>
      <c r="EA33" s="962"/>
      <c r="EB33" s="962"/>
      <c r="EC33" s="459" t="s">
        <v>425</v>
      </c>
      <c r="ED33" s="482">
        <f>COUNTA(DK33:EB33)</f>
        <v>0</v>
      </c>
      <c r="EE33" s="939"/>
      <c r="EF33" s="1016"/>
      <c r="EH33" s="1041">
        <v>46184</v>
      </c>
      <c r="EI33" s="960"/>
      <c r="EJ33" s="960"/>
      <c r="EK33" s="960"/>
      <c r="EL33" s="960"/>
      <c r="EM33" s="960"/>
      <c r="EN33" s="960"/>
      <c r="EO33" s="960"/>
      <c r="EP33" s="960"/>
      <c r="EQ33" s="960"/>
      <c r="ER33" s="960"/>
      <c r="ES33" s="960"/>
      <c r="ET33" s="960"/>
      <c r="EU33" s="961"/>
      <c r="EV33" s="962"/>
      <c r="EW33" s="963"/>
      <c r="EX33" s="961"/>
      <c r="EY33" s="962"/>
      <c r="EZ33" s="962"/>
      <c r="FA33" s="459" t="s">
        <v>425</v>
      </c>
      <c r="FB33" s="482">
        <f>COUNTA(EI33:EZ33)</f>
        <v>0</v>
      </c>
      <c r="FC33" s="939"/>
      <c r="FD33" s="1016"/>
      <c r="FF33" s="1051">
        <v>46214</v>
      </c>
      <c r="FG33" s="1023"/>
      <c r="FH33" s="1023"/>
      <c r="FI33" s="1023"/>
      <c r="FJ33" s="1023"/>
      <c r="FK33" s="1023"/>
      <c r="FL33" s="1023"/>
      <c r="FM33" s="1023"/>
      <c r="FN33" s="1023"/>
      <c r="FO33" s="1023"/>
      <c r="FP33" s="1023"/>
      <c r="FQ33" s="1023"/>
      <c r="FR33" s="1023"/>
      <c r="FS33" s="1021"/>
      <c r="FT33" s="1022"/>
      <c r="FU33" s="1024"/>
      <c r="FV33" s="1021"/>
      <c r="FW33" s="1022"/>
      <c r="FX33" s="1022"/>
      <c r="FY33" s="489" t="s">
        <v>425</v>
      </c>
      <c r="FZ33" s="496">
        <f>COUNTA(FG33:FX33)</f>
        <v>0</v>
      </c>
      <c r="GA33" s="1067"/>
      <c r="GB33" s="1070"/>
      <c r="GD33" s="1074">
        <v>46245</v>
      </c>
      <c r="GE33" s="960"/>
      <c r="GF33" s="960"/>
      <c r="GG33" s="960"/>
      <c r="GH33" s="960"/>
      <c r="GI33" s="960"/>
      <c r="GJ33" s="960"/>
      <c r="GK33" s="960"/>
      <c r="GL33" s="960"/>
      <c r="GM33" s="960"/>
      <c r="GN33" s="960"/>
      <c r="GO33" s="960"/>
      <c r="GP33" s="960"/>
      <c r="GQ33" s="961"/>
      <c r="GR33" s="962"/>
      <c r="GS33" s="963"/>
      <c r="GT33" s="961"/>
      <c r="GU33" s="962"/>
      <c r="GV33" s="962"/>
      <c r="GW33" s="459" t="s">
        <v>425</v>
      </c>
      <c r="GX33" s="482">
        <f>COUNTA(GE33:GV33)</f>
        <v>0</v>
      </c>
      <c r="GY33" s="939"/>
      <c r="GZ33" s="1016"/>
      <c r="HB33" s="1048">
        <v>46276</v>
      </c>
      <c r="HC33" s="960"/>
      <c r="HD33" s="960"/>
      <c r="HE33" s="960"/>
      <c r="HF33" s="960"/>
      <c r="HG33" s="960"/>
      <c r="HH33" s="960"/>
      <c r="HI33" s="960"/>
      <c r="HJ33" s="960"/>
      <c r="HK33" s="960"/>
      <c r="HL33" s="960"/>
      <c r="HM33" s="960"/>
      <c r="HN33" s="960"/>
      <c r="HO33" s="961"/>
      <c r="HP33" s="962"/>
      <c r="HQ33" s="963"/>
      <c r="HR33" s="961"/>
      <c r="HS33" s="962"/>
      <c r="HT33" s="962"/>
      <c r="HU33" s="459" t="s">
        <v>425</v>
      </c>
      <c r="HV33" s="482">
        <f>COUNTA(HC33:HT33)</f>
        <v>0</v>
      </c>
      <c r="HW33" s="939"/>
      <c r="HX33" s="1016"/>
      <c r="HZ33" s="1061">
        <v>46306</v>
      </c>
      <c r="IA33" s="960"/>
      <c r="IB33" s="960"/>
      <c r="IC33" s="960"/>
      <c r="ID33" s="960"/>
      <c r="IE33" s="960"/>
      <c r="IF33" s="960"/>
      <c r="IG33" s="960"/>
      <c r="IH33" s="960"/>
      <c r="II33" s="960"/>
      <c r="IJ33" s="960"/>
      <c r="IK33" s="960"/>
      <c r="IL33" s="960"/>
      <c r="IM33" s="961"/>
      <c r="IN33" s="962"/>
      <c r="IO33" s="963"/>
      <c r="IP33" s="961"/>
      <c r="IQ33" s="962"/>
      <c r="IR33" s="962"/>
      <c r="IS33" s="459" t="s">
        <v>425</v>
      </c>
      <c r="IT33" s="482">
        <f>COUNTA(IA33:IR33)</f>
        <v>0</v>
      </c>
      <c r="IU33" s="939"/>
      <c r="IV33" s="1016"/>
      <c r="IX33" s="1038">
        <v>46337</v>
      </c>
      <c r="IY33" s="960"/>
      <c r="IZ33" s="960"/>
      <c r="JA33" s="960"/>
      <c r="JB33" s="960"/>
      <c r="JC33" s="960"/>
      <c r="JD33" s="960"/>
      <c r="JE33" s="960"/>
      <c r="JF33" s="960"/>
      <c r="JG33" s="960"/>
      <c r="JH33" s="960"/>
      <c r="JI33" s="960"/>
      <c r="JJ33" s="960"/>
      <c r="JK33" s="961"/>
      <c r="JL33" s="962"/>
      <c r="JM33" s="963"/>
      <c r="JN33" s="961"/>
      <c r="JO33" s="962"/>
      <c r="JP33" s="962"/>
      <c r="JQ33" s="459" t="s">
        <v>425</v>
      </c>
      <c r="JR33" s="482">
        <f>COUNTA(IY33:JP33)</f>
        <v>0</v>
      </c>
      <c r="JS33" s="939"/>
      <c r="JT33" s="1016"/>
      <c r="JV33" s="1048">
        <v>46367</v>
      </c>
      <c r="JW33" s="960"/>
      <c r="JX33" s="960"/>
      <c r="JY33" s="960"/>
      <c r="JZ33" s="960"/>
      <c r="KA33" s="960"/>
      <c r="KB33" s="960"/>
      <c r="KC33" s="960"/>
      <c r="KD33" s="960"/>
      <c r="KE33" s="960"/>
      <c r="KF33" s="960"/>
      <c r="KG33" s="960"/>
      <c r="KH33" s="960"/>
      <c r="KI33" s="961"/>
      <c r="KJ33" s="962"/>
      <c r="KK33" s="963"/>
      <c r="KL33" s="961"/>
      <c r="KM33" s="962"/>
      <c r="KN33" s="962"/>
      <c r="KO33" s="459" t="s">
        <v>425</v>
      </c>
      <c r="KP33" s="482">
        <f>COUNTA(JW33:KN33)</f>
        <v>0</v>
      </c>
      <c r="KQ33" s="939"/>
      <c r="KR33" s="1016"/>
      <c r="KT33" s="1064">
        <v>46398</v>
      </c>
      <c r="KU33" s="960"/>
      <c r="KV33" s="960"/>
      <c r="KW33" s="960"/>
      <c r="KX33" s="960"/>
      <c r="KY33" s="960"/>
      <c r="KZ33" s="960"/>
      <c r="LA33" s="960"/>
      <c r="LB33" s="960"/>
      <c r="LC33" s="960"/>
      <c r="LD33" s="960"/>
      <c r="LE33" s="960"/>
      <c r="LF33" s="960"/>
      <c r="LG33" s="961"/>
      <c r="LH33" s="962"/>
      <c r="LI33" s="963"/>
      <c r="LJ33" s="961"/>
      <c r="LK33" s="962"/>
      <c r="LL33" s="962"/>
      <c r="LM33" s="459" t="s">
        <v>425</v>
      </c>
      <c r="LN33" s="482">
        <f>COUNTA(KU33:LL33)</f>
        <v>0</v>
      </c>
      <c r="LO33" s="939"/>
      <c r="LP33" s="1016"/>
      <c r="LR33" s="63">
        <v>31</v>
      </c>
      <c r="LS33" s="62" t="str" cm="1">
        <f t="array" ref="LS33">IF(INDEX(S:S, (ROW()-ROW($S$3))*3 + 3) &lt;&gt; "", "✔", "")</f>
        <v/>
      </c>
      <c r="LT33" s="110"/>
      <c r="LU33" s="77" t="str" cm="1">
        <f t="array" ref="LU33">IF(INDEX(AQ:AQ, (ROW()-ROW($AQ$3))*3 + 3) &lt;&gt; "", "✔", "")</f>
        <v/>
      </c>
      <c r="LV33" s="63">
        <v>31</v>
      </c>
      <c r="LW33" s="501" t="str" cm="1">
        <f t="array" ref="LW33">IF(INDEX(BO:BO, (ROW()-ROW($BO$3))*3 + 3) &lt;&gt; "", "✔", "")</f>
        <v>✔</v>
      </c>
      <c r="LX33" s="510"/>
      <c r="LY33" s="511"/>
      <c r="LZ33" s="507">
        <v>31</v>
      </c>
      <c r="MA33" s="506" t="str" cm="1">
        <f t="array" ref="MA33">IF(INDEX(DK:DK, (ROW()-ROW($DK$3))*3 + 3) &lt;&gt; "", "✔", "")</f>
        <v/>
      </c>
      <c r="MB33" s="510"/>
      <c r="MC33" s="512"/>
      <c r="MD33" s="502">
        <v>31</v>
      </c>
      <c r="ME33" s="506" t="str" cm="1">
        <f t="array" ref="ME33">IF(INDEX(FG:FG, (ROW()-ROW($FG$3))*3 + 3) &lt;&gt; "", "✔", "")</f>
        <v/>
      </c>
      <c r="MF33" s="502">
        <v>31</v>
      </c>
      <c r="MG33" s="506" t="str" cm="1">
        <f t="array" ref="MG33">IF(INDEX(GE:GE, (ROW()-ROW($GE$3))*3 + 3) &lt;&gt; "", "✔", "")</f>
        <v/>
      </c>
      <c r="MH33" s="510"/>
      <c r="MI33" s="512"/>
      <c r="MJ33" s="502">
        <v>31</v>
      </c>
      <c r="MK33" s="506" t="str" cm="1">
        <f t="array" ref="MK33">IF(INDEX(IA:IA, (ROW()-ROW($IA$3))*3 + 3) &lt;&gt; "", "✔", "")</f>
        <v/>
      </c>
      <c r="ML33" s="510"/>
      <c r="MM33" s="512"/>
      <c r="MN33" s="502">
        <v>31</v>
      </c>
      <c r="MO33" s="506" t="str" cm="1">
        <f t="array" ref="MO33">IF(INDEX(JW:JW, (ROW()-ROW($JW$3))*3 + 3) &lt;&gt; "", "✔", "")</f>
        <v/>
      </c>
      <c r="MP33" s="502">
        <v>31</v>
      </c>
      <c r="MQ33" s="15" t="str" cm="1">
        <f t="array" ref="MQ33">IF(INDEX(KU:KU, (ROW()-ROW($KU$3))*3 + 3) &lt;&gt; "", "✔", "")</f>
        <v/>
      </c>
    </row>
    <row r="34" spans="1:355" ht="15">
      <c r="A34" s="396" t="s">
        <v>402</v>
      </c>
      <c r="B34" s="396" t="s">
        <v>574</v>
      </c>
      <c r="C34" s="395" t="s">
        <v>69</v>
      </c>
      <c r="D34" s="231" t="s">
        <v>554</v>
      </c>
      <c r="E34" s="231" t="s">
        <v>559</v>
      </c>
      <c r="F34" s="231" t="s">
        <v>556</v>
      </c>
      <c r="G34" s="231" t="s">
        <v>557</v>
      </c>
      <c r="H34" s="231" t="s">
        <v>564</v>
      </c>
      <c r="I34" s="395" t="s">
        <v>385</v>
      </c>
      <c r="R34" s="865"/>
      <c r="S34" s="231" t="s">
        <v>59</v>
      </c>
      <c r="T34" s="231" t="s">
        <v>73</v>
      </c>
      <c r="U34" s="102" t="s">
        <v>4</v>
      </c>
      <c r="V34" s="231" t="s">
        <v>59</v>
      </c>
      <c r="W34" s="231" t="s">
        <v>73</v>
      </c>
      <c r="X34" s="102" t="s">
        <v>4</v>
      </c>
      <c r="Y34" s="231" t="s">
        <v>59</v>
      </c>
      <c r="Z34" s="231" t="s">
        <v>73</v>
      </c>
      <c r="AA34" s="102" t="s">
        <v>4</v>
      </c>
      <c r="AB34" s="231" t="s">
        <v>59</v>
      </c>
      <c r="AC34" s="231" t="s">
        <v>73</v>
      </c>
      <c r="AD34" s="102" t="s">
        <v>4</v>
      </c>
      <c r="AE34" s="231" t="s">
        <v>59</v>
      </c>
      <c r="AF34" s="231" t="s">
        <v>73</v>
      </c>
      <c r="AG34" s="102" t="s">
        <v>4</v>
      </c>
      <c r="AH34" s="231" t="s">
        <v>59</v>
      </c>
      <c r="AI34" s="231" t="s">
        <v>73</v>
      </c>
      <c r="AJ34" s="476" t="s">
        <v>4</v>
      </c>
      <c r="AK34" s="1004">
        <v>74</v>
      </c>
      <c r="AL34" s="1002">
        <f t="shared" ref="AL34" si="49">(S35*T35*U35)+(V35*W35*X35)+(Y35*Z35*AA35)+(AB35*AC35*AD35)+(AE35*AF35*AG35)+(AH35*AI35*AJ35)</f>
        <v>3904.3999999999996</v>
      </c>
      <c r="AM34" s="940"/>
      <c r="AN34" s="855"/>
      <c r="AO34" s="118"/>
      <c r="AP34" s="846"/>
      <c r="AQ34" s="231" t="s">
        <v>59</v>
      </c>
      <c r="AR34" s="231" t="s">
        <v>73</v>
      </c>
      <c r="AS34" s="102" t="s">
        <v>4</v>
      </c>
      <c r="AT34" s="231" t="s">
        <v>59</v>
      </c>
      <c r="AU34" s="231" t="s">
        <v>73</v>
      </c>
      <c r="AV34" s="102" t="s">
        <v>4</v>
      </c>
      <c r="AW34" s="231" t="s">
        <v>59</v>
      </c>
      <c r="AX34" s="231" t="s">
        <v>73</v>
      </c>
      <c r="AY34" s="102" t="s">
        <v>4</v>
      </c>
      <c r="AZ34" s="231" t="s">
        <v>59</v>
      </c>
      <c r="BA34" s="231" t="s">
        <v>73</v>
      </c>
      <c r="BB34" s="102" t="s">
        <v>4</v>
      </c>
      <c r="BC34" s="107" t="s">
        <v>59</v>
      </c>
      <c r="BD34" s="107" t="s">
        <v>73</v>
      </c>
      <c r="BE34" s="108" t="s">
        <v>4</v>
      </c>
      <c r="BF34" s="107" t="s">
        <v>59</v>
      </c>
      <c r="BG34" s="107" t="s">
        <v>73</v>
      </c>
      <c r="BH34" s="471" t="s">
        <v>4</v>
      </c>
      <c r="BI34" s="1004">
        <v>74</v>
      </c>
      <c r="BJ34" s="1003">
        <f t="shared" si="35"/>
        <v>7054.1</v>
      </c>
      <c r="BK34" s="940"/>
      <c r="BL34" s="1016"/>
      <c r="BM34" s="118"/>
      <c r="BN34" s="846"/>
      <c r="BO34" s="231" t="s">
        <v>59</v>
      </c>
      <c r="BP34" s="231" t="s">
        <v>73</v>
      </c>
      <c r="BQ34" s="102" t="s">
        <v>4</v>
      </c>
      <c r="BR34" s="231" t="s">
        <v>59</v>
      </c>
      <c r="BS34" s="231" t="s">
        <v>73</v>
      </c>
      <c r="BT34" s="102" t="s">
        <v>4</v>
      </c>
      <c r="BU34" s="231" t="s">
        <v>59</v>
      </c>
      <c r="BV34" s="231" t="s">
        <v>73</v>
      </c>
      <c r="BW34" s="102" t="s">
        <v>4</v>
      </c>
      <c r="BX34" s="231" t="s">
        <v>59</v>
      </c>
      <c r="BY34" s="231" t="s">
        <v>73</v>
      </c>
      <c r="BZ34" s="102" t="s">
        <v>4</v>
      </c>
      <c r="CA34" s="107" t="s">
        <v>59</v>
      </c>
      <c r="CB34" s="107" t="s">
        <v>73</v>
      </c>
      <c r="CC34" s="108" t="s">
        <v>4</v>
      </c>
      <c r="CD34" s="107" t="s">
        <v>59</v>
      </c>
      <c r="CE34" s="107" t="s">
        <v>73</v>
      </c>
      <c r="CF34" s="471" t="s">
        <v>4</v>
      </c>
      <c r="CG34" s="1004">
        <f>60+11</f>
        <v>71</v>
      </c>
      <c r="CH34" s="1005">
        <f t="shared" ref="CH34" si="50">(BO35*BP35*BQ35)+(BR35*BS35*BT35)+(BU35*BV35*BW35)+(BX35*BY35*BZ35)+(CA35*CB35*CC35)+(CD35*CE35*CF35)</f>
        <v>8246.5999999999985</v>
      </c>
      <c r="CI34" s="940"/>
      <c r="CJ34" s="1016"/>
      <c r="CL34" s="1052"/>
      <c r="CM34" s="491" t="s">
        <v>59</v>
      </c>
      <c r="CN34" s="491" t="s">
        <v>73</v>
      </c>
      <c r="CO34" s="492" t="s">
        <v>4</v>
      </c>
      <c r="CP34" s="491" t="s">
        <v>59</v>
      </c>
      <c r="CQ34" s="491" t="s">
        <v>73</v>
      </c>
      <c r="CR34" s="492" t="s">
        <v>4</v>
      </c>
      <c r="CS34" s="491" t="s">
        <v>59</v>
      </c>
      <c r="CT34" s="491" t="s">
        <v>73</v>
      </c>
      <c r="CU34" s="492" t="s">
        <v>4</v>
      </c>
      <c r="CV34" s="491" t="s">
        <v>59</v>
      </c>
      <c r="CW34" s="491" t="s">
        <v>73</v>
      </c>
      <c r="CX34" s="492" t="s">
        <v>4</v>
      </c>
      <c r="CY34" s="491" t="s">
        <v>59</v>
      </c>
      <c r="CZ34" s="491" t="s">
        <v>73</v>
      </c>
      <c r="DA34" s="492" t="s">
        <v>4</v>
      </c>
      <c r="DB34" s="491" t="s">
        <v>59</v>
      </c>
      <c r="DC34" s="491" t="s">
        <v>73</v>
      </c>
      <c r="DD34" s="493" t="s">
        <v>4</v>
      </c>
      <c r="DE34" s="1058">
        <v>0</v>
      </c>
      <c r="DF34" s="1059">
        <f>(CM35*CN35*CO35)+(CP35*CQ35*CR35)+(CS35*CT35*CU35)+(CV35*CW35*CX35)+(CY35*CZ35*DA35)+(DB35*DC35*DD35)</f>
        <v>0</v>
      </c>
      <c r="DG34" s="940"/>
      <c r="DH34" s="1016"/>
      <c r="DJ34" s="1065"/>
      <c r="DK34" s="460" t="s">
        <v>59</v>
      </c>
      <c r="DL34" s="460" t="s">
        <v>73</v>
      </c>
      <c r="DM34" s="461" t="s">
        <v>4</v>
      </c>
      <c r="DN34" s="460" t="s">
        <v>59</v>
      </c>
      <c r="DO34" s="460" t="s">
        <v>73</v>
      </c>
      <c r="DP34" s="461" t="s">
        <v>4</v>
      </c>
      <c r="DQ34" s="460" t="s">
        <v>59</v>
      </c>
      <c r="DR34" s="460" t="s">
        <v>73</v>
      </c>
      <c r="DS34" s="461" t="s">
        <v>4</v>
      </c>
      <c r="DT34" s="460" t="s">
        <v>59</v>
      </c>
      <c r="DU34" s="460" t="s">
        <v>73</v>
      </c>
      <c r="DV34" s="461" t="s">
        <v>4</v>
      </c>
      <c r="DW34" s="460" t="s">
        <v>59</v>
      </c>
      <c r="DX34" s="460" t="s">
        <v>73</v>
      </c>
      <c r="DY34" s="461" t="s">
        <v>4</v>
      </c>
      <c r="DZ34" s="460" t="s">
        <v>59</v>
      </c>
      <c r="EA34" s="460" t="s">
        <v>73</v>
      </c>
      <c r="EB34" s="473" t="s">
        <v>4</v>
      </c>
      <c r="EC34" s="1004"/>
      <c r="ED34" s="1005">
        <f>(DK35*DL35*DM35)+(DN35*DO35*DP35)+(DQ35*DR35*DS35)+(DT35*DU35*DV35)+(DW35*DX35*DY35)+(DZ35*EA35*EB35)</f>
        <v>0</v>
      </c>
      <c r="EE34" s="940"/>
      <c r="EF34" s="1016"/>
      <c r="EH34" s="1042"/>
      <c r="EI34" s="460" t="s">
        <v>59</v>
      </c>
      <c r="EJ34" s="460" t="s">
        <v>73</v>
      </c>
      <c r="EK34" s="461" t="s">
        <v>4</v>
      </c>
      <c r="EL34" s="460" t="s">
        <v>59</v>
      </c>
      <c r="EM34" s="460" t="s">
        <v>73</v>
      </c>
      <c r="EN34" s="461" t="s">
        <v>4</v>
      </c>
      <c r="EO34" s="460" t="s">
        <v>59</v>
      </c>
      <c r="EP34" s="460" t="s">
        <v>73</v>
      </c>
      <c r="EQ34" s="461" t="s">
        <v>4</v>
      </c>
      <c r="ER34" s="460" t="s">
        <v>59</v>
      </c>
      <c r="ES34" s="460" t="s">
        <v>73</v>
      </c>
      <c r="ET34" s="461" t="s">
        <v>4</v>
      </c>
      <c r="EU34" s="460" t="s">
        <v>59</v>
      </c>
      <c r="EV34" s="460" t="s">
        <v>73</v>
      </c>
      <c r="EW34" s="461" t="s">
        <v>4</v>
      </c>
      <c r="EX34" s="460" t="s">
        <v>59</v>
      </c>
      <c r="EY34" s="460" t="s">
        <v>73</v>
      </c>
      <c r="EZ34" s="473" t="s">
        <v>4</v>
      </c>
      <c r="FA34" s="1004"/>
      <c r="FB34" s="1005">
        <f>(EI35*EJ35*EK35)+(EL35*EM35*EN35)+(EO35*EP35*EQ35)+(ER35*ES35*ET35)+(EU35*EV35*EW35)+(EX35*EY35*EZ35)</f>
        <v>0</v>
      </c>
      <c r="FC34" s="940"/>
      <c r="FD34" s="1016"/>
      <c r="FF34" s="1052"/>
      <c r="FG34" s="491" t="s">
        <v>59</v>
      </c>
      <c r="FH34" s="491" t="s">
        <v>73</v>
      </c>
      <c r="FI34" s="492" t="s">
        <v>4</v>
      </c>
      <c r="FJ34" s="491" t="s">
        <v>59</v>
      </c>
      <c r="FK34" s="491" t="s">
        <v>73</v>
      </c>
      <c r="FL34" s="492" t="s">
        <v>4</v>
      </c>
      <c r="FM34" s="491" t="s">
        <v>59</v>
      </c>
      <c r="FN34" s="491" t="s">
        <v>73</v>
      </c>
      <c r="FO34" s="492" t="s">
        <v>4</v>
      </c>
      <c r="FP34" s="491" t="s">
        <v>59</v>
      </c>
      <c r="FQ34" s="491" t="s">
        <v>73</v>
      </c>
      <c r="FR34" s="492" t="s">
        <v>4</v>
      </c>
      <c r="FS34" s="491" t="s">
        <v>59</v>
      </c>
      <c r="FT34" s="491" t="s">
        <v>73</v>
      </c>
      <c r="FU34" s="492" t="s">
        <v>4</v>
      </c>
      <c r="FV34" s="491" t="s">
        <v>59</v>
      </c>
      <c r="FW34" s="491" t="s">
        <v>73</v>
      </c>
      <c r="FX34" s="493" t="s">
        <v>4</v>
      </c>
      <c r="FY34" s="1071"/>
      <c r="FZ34" s="1072">
        <f>(FG35*FH35*FI35)+(FJ35*FK35*FL35)+(FM35*FN35*FO35)+(FP35*FQ35*FR35)+(FS35*FT35*FU35)+(FV35*FW35*FX35)</f>
        <v>0</v>
      </c>
      <c r="GA34" s="1068"/>
      <c r="GB34" s="1070"/>
      <c r="GD34" s="1075"/>
      <c r="GE34" s="460" t="s">
        <v>59</v>
      </c>
      <c r="GF34" s="460" t="s">
        <v>73</v>
      </c>
      <c r="GG34" s="461" t="s">
        <v>4</v>
      </c>
      <c r="GH34" s="460" t="s">
        <v>59</v>
      </c>
      <c r="GI34" s="460" t="s">
        <v>73</v>
      </c>
      <c r="GJ34" s="461" t="s">
        <v>4</v>
      </c>
      <c r="GK34" s="460" t="s">
        <v>59</v>
      </c>
      <c r="GL34" s="460" t="s">
        <v>73</v>
      </c>
      <c r="GM34" s="461" t="s">
        <v>4</v>
      </c>
      <c r="GN34" s="460" t="s">
        <v>59</v>
      </c>
      <c r="GO34" s="460" t="s">
        <v>73</v>
      </c>
      <c r="GP34" s="461" t="s">
        <v>4</v>
      </c>
      <c r="GQ34" s="460" t="s">
        <v>59</v>
      </c>
      <c r="GR34" s="460" t="s">
        <v>73</v>
      </c>
      <c r="GS34" s="461" t="s">
        <v>4</v>
      </c>
      <c r="GT34" s="460" t="s">
        <v>59</v>
      </c>
      <c r="GU34" s="460" t="s">
        <v>73</v>
      </c>
      <c r="GV34" s="473" t="s">
        <v>4</v>
      </c>
      <c r="GW34" s="1004"/>
      <c r="GX34" s="1005">
        <f>(GE35*GF35*GG35)+(GH35*GI35*GJ35)+(GK35*GL35*GM35)+(GN35*GO35*GP35)+(GQ35*GR35*GS35)+(GT35*GU35*GV35)</f>
        <v>0</v>
      </c>
      <c r="GY34" s="940"/>
      <c r="GZ34" s="1016"/>
      <c r="HB34" s="1049"/>
      <c r="HC34" s="460" t="s">
        <v>59</v>
      </c>
      <c r="HD34" s="460" t="s">
        <v>73</v>
      </c>
      <c r="HE34" s="461" t="s">
        <v>4</v>
      </c>
      <c r="HF34" s="460" t="s">
        <v>59</v>
      </c>
      <c r="HG34" s="460" t="s">
        <v>73</v>
      </c>
      <c r="HH34" s="461" t="s">
        <v>4</v>
      </c>
      <c r="HI34" s="460" t="s">
        <v>59</v>
      </c>
      <c r="HJ34" s="460" t="s">
        <v>73</v>
      </c>
      <c r="HK34" s="461" t="s">
        <v>4</v>
      </c>
      <c r="HL34" s="460" t="s">
        <v>59</v>
      </c>
      <c r="HM34" s="460" t="s">
        <v>73</v>
      </c>
      <c r="HN34" s="461" t="s">
        <v>4</v>
      </c>
      <c r="HO34" s="460" t="s">
        <v>59</v>
      </c>
      <c r="HP34" s="460" t="s">
        <v>73</v>
      </c>
      <c r="HQ34" s="461" t="s">
        <v>4</v>
      </c>
      <c r="HR34" s="460" t="s">
        <v>59</v>
      </c>
      <c r="HS34" s="460" t="s">
        <v>73</v>
      </c>
      <c r="HT34" s="473" t="s">
        <v>4</v>
      </c>
      <c r="HU34" s="1004"/>
      <c r="HV34" s="1005">
        <f>(HC35*HD35*HE35)+(HF35*HG35*HH35)+(HI35*HJ35*HK35)+(HL35*HM35*HN35)+(HO35*HP35*HQ35)+(HR35*HS35*HT35)</f>
        <v>0</v>
      </c>
      <c r="HW34" s="940"/>
      <c r="HX34" s="1016"/>
      <c r="HZ34" s="1062"/>
      <c r="IA34" s="460" t="s">
        <v>59</v>
      </c>
      <c r="IB34" s="460" t="s">
        <v>73</v>
      </c>
      <c r="IC34" s="461" t="s">
        <v>4</v>
      </c>
      <c r="ID34" s="460" t="s">
        <v>59</v>
      </c>
      <c r="IE34" s="460" t="s">
        <v>73</v>
      </c>
      <c r="IF34" s="461" t="s">
        <v>4</v>
      </c>
      <c r="IG34" s="460" t="s">
        <v>59</v>
      </c>
      <c r="IH34" s="460" t="s">
        <v>73</v>
      </c>
      <c r="II34" s="461" t="s">
        <v>4</v>
      </c>
      <c r="IJ34" s="460" t="s">
        <v>59</v>
      </c>
      <c r="IK34" s="460" t="s">
        <v>73</v>
      </c>
      <c r="IL34" s="461" t="s">
        <v>4</v>
      </c>
      <c r="IM34" s="460" t="s">
        <v>59</v>
      </c>
      <c r="IN34" s="460" t="s">
        <v>73</v>
      </c>
      <c r="IO34" s="461" t="s">
        <v>4</v>
      </c>
      <c r="IP34" s="460" t="s">
        <v>59</v>
      </c>
      <c r="IQ34" s="460" t="s">
        <v>73</v>
      </c>
      <c r="IR34" s="473" t="s">
        <v>4</v>
      </c>
      <c r="IS34" s="1004"/>
      <c r="IT34" s="1005">
        <f>(IA35*IB35*IC35)+(ID35*IE35*IF35)+(IG35*IH35*II35)+(IJ35*IK35*IL35)+(IM35*IN35*IO35)+(IP35*IQ35*IR35)</f>
        <v>0</v>
      </c>
      <c r="IU34" s="940"/>
      <c r="IV34" s="1016"/>
      <c r="IX34" s="1039"/>
      <c r="IY34" s="460" t="s">
        <v>59</v>
      </c>
      <c r="IZ34" s="460" t="s">
        <v>73</v>
      </c>
      <c r="JA34" s="461" t="s">
        <v>4</v>
      </c>
      <c r="JB34" s="460" t="s">
        <v>59</v>
      </c>
      <c r="JC34" s="460" t="s">
        <v>73</v>
      </c>
      <c r="JD34" s="461" t="s">
        <v>4</v>
      </c>
      <c r="JE34" s="460" t="s">
        <v>59</v>
      </c>
      <c r="JF34" s="460" t="s">
        <v>73</v>
      </c>
      <c r="JG34" s="461" t="s">
        <v>4</v>
      </c>
      <c r="JH34" s="460" t="s">
        <v>59</v>
      </c>
      <c r="JI34" s="460" t="s">
        <v>73</v>
      </c>
      <c r="JJ34" s="461" t="s">
        <v>4</v>
      </c>
      <c r="JK34" s="460" t="s">
        <v>59</v>
      </c>
      <c r="JL34" s="460" t="s">
        <v>73</v>
      </c>
      <c r="JM34" s="461" t="s">
        <v>4</v>
      </c>
      <c r="JN34" s="460" t="s">
        <v>59</v>
      </c>
      <c r="JO34" s="460" t="s">
        <v>73</v>
      </c>
      <c r="JP34" s="473" t="s">
        <v>4</v>
      </c>
      <c r="JQ34" s="1004"/>
      <c r="JR34" s="1005">
        <f>(IY35*IZ35*JA35)+(JB35*JC35*JD35)+(JE35*JF35*JG35)+(JH35*JI35*JJ35)+(JK35*JL35*JM35)+(JN35*JO35*JP35)</f>
        <v>0</v>
      </c>
      <c r="JS34" s="940"/>
      <c r="JT34" s="1016"/>
      <c r="JV34" s="1049"/>
      <c r="JW34" s="460" t="s">
        <v>59</v>
      </c>
      <c r="JX34" s="460" t="s">
        <v>73</v>
      </c>
      <c r="JY34" s="461" t="s">
        <v>4</v>
      </c>
      <c r="JZ34" s="460" t="s">
        <v>59</v>
      </c>
      <c r="KA34" s="460" t="s">
        <v>73</v>
      </c>
      <c r="KB34" s="461" t="s">
        <v>4</v>
      </c>
      <c r="KC34" s="460" t="s">
        <v>59</v>
      </c>
      <c r="KD34" s="460" t="s">
        <v>73</v>
      </c>
      <c r="KE34" s="461" t="s">
        <v>4</v>
      </c>
      <c r="KF34" s="460" t="s">
        <v>59</v>
      </c>
      <c r="KG34" s="460" t="s">
        <v>73</v>
      </c>
      <c r="KH34" s="461" t="s">
        <v>4</v>
      </c>
      <c r="KI34" s="460" t="s">
        <v>59</v>
      </c>
      <c r="KJ34" s="460" t="s">
        <v>73</v>
      </c>
      <c r="KK34" s="461" t="s">
        <v>4</v>
      </c>
      <c r="KL34" s="460" t="s">
        <v>59</v>
      </c>
      <c r="KM34" s="460" t="s">
        <v>73</v>
      </c>
      <c r="KN34" s="473" t="s">
        <v>4</v>
      </c>
      <c r="KO34" s="1004"/>
      <c r="KP34" s="1005">
        <f>(JW35*JX35*JY35)+(JZ35*KA35*KB35)+(KC35*KD35*KE35)+(KF35*KG35*KH35)+(KI35*KJ35*KK35)+(KL35*KM35*KN35)</f>
        <v>0</v>
      </c>
      <c r="KQ34" s="940"/>
      <c r="KR34" s="1016"/>
      <c r="KT34" s="1065"/>
      <c r="KU34" s="460" t="s">
        <v>59</v>
      </c>
      <c r="KV34" s="460" t="s">
        <v>73</v>
      </c>
      <c r="KW34" s="461" t="s">
        <v>4</v>
      </c>
      <c r="KX34" s="460" t="s">
        <v>59</v>
      </c>
      <c r="KY34" s="460" t="s">
        <v>73</v>
      </c>
      <c r="KZ34" s="461" t="s">
        <v>4</v>
      </c>
      <c r="LA34" s="460" t="s">
        <v>59</v>
      </c>
      <c r="LB34" s="460" t="s">
        <v>73</v>
      </c>
      <c r="LC34" s="461" t="s">
        <v>4</v>
      </c>
      <c r="LD34" s="460" t="s">
        <v>59</v>
      </c>
      <c r="LE34" s="460" t="s">
        <v>73</v>
      </c>
      <c r="LF34" s="461" t="s">
        <v>4</v>
      </c>
      <c r="LG34" s="460" t="s">
        <v>59</v>
      </c>
      <c r="LH34" s="460" t="s">
        <v>73</v>
      </c>
      <c r="LI34" s="461" t="s">
        <v>4</v>
      </c>
      <c r="LJ34" s="460" t="s">
        <v>59</v>
      </c>
      <c r="LK34" s="460" t="s">
        <v>73</v>
      </c>
      <c r="LL34" s="473" t="s">
        <v>4</v>
      </c>
      <c r="LM34" s="1004"/>
      <c r="LN34" s="1005">
        <f>(KU35*KV35*KW35)+(KX35*KY35*KZ35)+(LA35*LB35*LC35)+(LD35*LE35*LF35)+(LG35*LH35*LI35)+(LJ35*LK35*LL35)</f>
        <v>0</v>
      </c>
      <c r="LO34" s="940"/>
      <c r="LP34" s="1016"/>
      <c r="LR34" s="813" t="s">
        <v>55</v>
      </c>
      <c r="LS34" s="78">
        <f>COUNTIF(LS3:LS33,"✔")</f>
        <v>21</v>
      </c>
      <c r="LT34" s="813" t="s">
        <v>55</v>
      </c>
      <c r="LU34" s="78">
        <f>COUNTIF(LU3:LU33,"✔")</f>
        <v>24</v>
      </c>
      <c r="LV34" s="813" t="s">
        <v>55</v>
      </c>
      <c r="LW34" s="78">
        <f>COUNTIF(LW3:LW33,"✔")</f>
        <v>27</v>
      </c>
      <c r="LX34" s="813" t="s">
        <v>55</v>
      </c>
      <c r="LY34" s="78">
        <f>COUNTIF(LY3:LY33,"✔")</f>
        <v>7</v>
      </c>
      <c r="LZ34" s="813" t="s">
        <v>55</v>
      </c>
      <c r="MA34" s="78">
        <f>COUNTIF(MA3:MA33,"✔")</f>
        <v>0</v>
      </c>
      <c r="MB34" s="813" t="s">
        <v>55</v>
      </c>
      <c r="MC34" s="78">
        <f>COUNTIF(MC3:MC33,"✔")</f>
        <v>0</v>
      </c>
      <c r="MD34" s="813" t="s">
        <v>55</v>
      </c>
      <c r="ME34" s="78">
        <f>COUNTIF(ME3:ME33,"✔")</f>
        <v>0</v>
      </c>
      <c r="MF34" s="813" t="s">
        <v>55</v>
      </c>
      <c r="MG34" s="78">
        <f>COUNTIF(MG3:MG33,"✔")</f>
        <v>0</v>
      </c>
      <c r="MH34" s="813" t="s">
        <v>55</v>
      </c>
      <c r="MI34" s="78">
        <f>COUNTIF(MI3:MI33,"✔")</f>
        <v>0</v>
      </c>
      <c r="MJ34" s="813" t="s">
        <v>55</v>
      </c>
      <c r="MK34" s="78">
        <f>COUNTIF(MK3:MK33,"✔")</f>
        <v>0</v>
      </c>
      <c r="ML34" s="813" t="s">
        <v>55</v>
      </c>
      <c r="MM34" s="78">
        <f>COUNTIF(MM3:MM33,"✔")</f>
        <v>0</v>
      </c>
      <c r="MN34" s="813" t="s">
        <v>55</v>
      </c>
      <c r="MO34" s="78">
        <f>COUNTIF(MO3:MO33,"✔")</f>
        <v>0</v>
      </c>
      <c r="MP34" s="813" t="s">
        <v>55</v>
      </c>
      <c r="MQ34" s="78">
        <f>COUNTIF(MQ3:MQ33,"✔")</f>
        <v>0</v>
      </c>
    </row>
    <row r="35" spans="1:355" ht="15.75" thickBot="1">
      <c r="A35" s="231"/>
      <c r="B35" s="231"/>
      <c r="C35" s="395" t="s">
        <v>103</v>
      </c>
      <c r="D35" s="231" t="s">
        <v>554</v>
      </c>
      <c r="E35" s="231" t="s">
        <v>569</v>
      </c>
      <c r="F35" s="231" t="s">
        <v>556</v>
      </c>
      <c r="G35" s="231" t="s">
        <v>557</v>
      </c>
      <c r="H35" s="231" t="s">
        <v>575</v>
      </c>
      <c r="I35" s="395" t="s">
        <v>561</v>
      </c>
      <c r="R35" s="866"/>
      <c r="S35" s="229">
        <v>4</v>
      </c>
      <c r="T35" s="229">
        <f>((1*1)+(2*3))/4</f>
        <v>1.75</v>
      </c>
      <c r="U35" s="229">
        <f>AN33</f>
        <v>77</v>
      </c>
      <c r="V35" s="229">
        <v>4</v>
      </c>
      <c r="W35" s="229">
        <v>12</v>
      </c>
      <c r="X35" s="229">
        <f>+((3.5*1)+(8.5*1)+(12.25*1)+(13*1))/4</f>
        <v>9.3125</v>
      </c>
      <c r="Y35" s="229">
        <v>4</v>
      </c>
      <c r="Z35" s="229">
        <v>12</v>
      </c>
      <c r="AA35" s="229">
        <f>((9.1*1)+(15.9*1)+(18.1*1)+(20.4*1))/4</f>
        <v>15.875</v>
      </c>
      <c r="AB35" s="229">
        <v>4</v>
      </c>
      <c r="AC35" s="229">
        <v>12</v>
      </c>
      <c r="AD35" s="229">
        <f>((9.1*1)+(15.9*1)+(24.9*1)+(27.2*1))/4</f>
        <v>19.274999999999999</v>
      </c>
      <c r="AE35" s="229">
        <v>4</v>
      </c>
      <c r="AF35" s="229">
        <f>((12*3)+(8*1))/4</f>
        <v>11</v>
      </c>
      <c r="AG35" s="229">
        <f>((7.5*1)+(15*1)+(17.5*1)+(20*1))/4</f>
        <v>15</v>
      </c>
      <c r="AH35" s="229">
        <v>4</v>
      </c>
      <c r="AI35" s="229">
        <v>12</v>
      </c>
      <c r="AJ35" s="470">
        <f>((6.8*1)+(11.3*1)+(13.6*1)+(15.9*1))/4</f>
        <v>11.9</v>
      </c>
      <c r="AK35" s="1007"/>
      <c r="AL35" s="1002"/>
      <c r="AM35" s="941"/>
      <c r="AN35" s="855"/>
      <c r="AO35" s="118"/>
      <c r="AP35" s="847"/>
      <c r="AQ35" s="229">
        <v>4</v>
      </c>
      <c r="AR35" s="126">
        <v>12</v>
      </c>
      <c r="AS35" s="229">
        <f>((8.5*1)+(16*3))/4</f>
        <v>14.125</v>
      </c>
      <c r="AT35" s="229">
        <v>4</v>
      </c>
      <c r="AU35" s="229">
        <f>((12*2)+(8*2)+(10*1))/4</f>
        <v>12.5</v>
      </c>
      <c r="AV35" s="126">
        <f>((15*1)+(35*2)+(40*1))/4</f>
        <v>31.25</v>
      </c>
      <c r="AW35" s="229">
        <v>4</v>
      </c>
      <c r="AX35" s="229">
        <v>12</v>
      </c>
      <c r="AY35" s="229">
        <f>((32*1)+(63*3))/4</f>
        <v>55.25</v>
      </c>
      <c r="AZ35" s="229">
        <v>4</v>
      </c>
      <c r="BA35" s="229">
        <f>((12*1)+(24*3))/4</f>
        <v>21</v>
      </c>
      <c r="BB35" s="229">
        <f>(1/3)*BL33</f>
        <v>25.733333333333334</v>
      </c>
      <c r="BC35" s="233"/>
      <c r="BD35" s="233"/>
      <c r="BE35" s="233"/>
      <c r="BF35" s="233"/>
      <c r="BG35" s="233"/>
      <c r="BH35" s="472"/>
      <c r="BI35" s="1004"/>
      <c r="BJ35" s="1003"/>
      <c r="BK35" s="941"/>
      <c r="BL35" s="1016"/>
      <c r="BM35" s="118"/>
      <c r="BN35" s="847"/>
      <c r="BO35" s="229">
        <v>4</v>
      </c>
      <c r="BP35" s="126">
        <f>((12*1)+(6*2)+(8*1))/4</f>
        <v>8</v>
      </c>
      <c r="BQ35" s="126">
        <f>((22.5*1)+(45*3))/4</f>
        <v>39.375</v>
      </c>
      <c r="BR35" s="229">
        <v>4</v>
      </c>
      <c r="BS35" s="126">
        <f>((12*1)+(8*3))/4</f>
        <v>9</v>
      </c>
      <c r="BT35" s="229">
        <f>((20*1)+(45*3))/4</f>
        <v>38.75</v>
      </c>
      <c r="BU35" s="229">
        <v>4</v>
      </c>
      <c r="BV35" s="229">
        <f>((12*4))/4</f>
        <v>12</v>
      </c>
      <c r="BW35" s="229">
        <f>((36*1)+(72*3))/4</f>
        <v>63</v>
      </c>
      <c r="BX35" s="229">
        <v>4</v>
      </c>
      <c r="BY35" s="126">
        <f>((14*1)+(28*3))/4</f>
        <v>24.5</v>
      </c>
      <c r="BZ35" s="229">
        <f>(1/3)*CJ33</f>
        <v>26.199999999999996</v>
      </c>
      <c r="CA35" s="233"/>
      <c r="CB35" s="233"/>
      <c r="CC35" s="233"/>
      <c r="CD35" s="233"/>
      <c r="CE35" s="233"/>
      <c r="CF35" s="472"/>
      <c r="CG35" s="1004"/>
      <c r="CH35" s="1006"/>
      <c r="CI35" s="941"/>
      <c r="CJ35" s="1016"/>
      <c r="CL35" s="1053"/>
      <c r="CM35" s="494"/>
      <c r="CN35" s="494"/>
      <c r="CO35" s="494"/>
      <c r="CP35" s="494"/>
      <c r="CQ35" s="494"/>
      <c r="CR35" s="494"/>
      <c r="CS35" s="494"/>
      <c r="CT35" s="494"/>
      <c r="CU35" s="494"/>
      <c r="CV35" s="494"/>
      <c r="CW35" s="494"/>
      <c r="CX35" s="494"/>
      <c r="CY35" s="494"/>
      <c r="CZ35" s="494"/>
      <c r="DA35" s="494"/>
      <c r="DB35" s="494"/>
      <c r="DC35" s="494"/>
      <c r="DD35" s="495"/>
      <c r="DE35" s="1058"/>
      <c r="DF35" s="1060"/>
      <c r="DG35" s="941"/>
      <c r="DH35" s="1016"/>
      <c r="DJ35" s="1066"/>
      <c r="DK35" s="462"/>
      <c r="DL35" s="462"/>
      <c r="DM35" s="462"/>
      <c r="DN35" s="462"/>
      <c r="DO35" s="462"/>
      <c r="DP35" s="462"/>
      <c r="DQ35" s="462"/>
      <c r="DR35" s="462"/>
      <c r="DS35" s="462"/>
      <c r="DT35" s="462"/>
      <c r="DU35" s="462"/>
      <c r="DV35" s="462"/>
      <c r="DW35" s="462"/>
      <c r="DX35" s="462"/>
      <c r="DY35" s="462"/>
      <c r="DZ35" s="462"/>
      <c r="EA35" s="462"/>
      <c r="EB35" s="474"/>
      <c r="EC35" s="1004"/>
      <c r="ED35" s="1006"/>
      <c r="EE35" s="941"/>
      <c r="EF35" s="1016"/>
      <c r="EH35" s="1043"/>
      <c r="EI35" s="462"/>
      <c r="EJ35" s="462"/>
      <c r="EK35" s="462"/>
      <c r="EL35" s="462"/>
      <c r="EM35" s="462"/>
      <c r="EN35" s="462"/>
      <c r="EO35" s="462"/>
      <c r="EP35" s="462"/>
      <c r="EQ35" s="462"/>
      <c r="ER35" s="462"/>
      <c r="ES35" s="462"/>
      <c r="ET35" s="462"/>
      <c r="EU35" s="462"/>
      <c r="EV35" s="462"/>
      <c r="EW35" s="462"/>
      <c r="EX35" s="462"/>
      <c r="EY35" s="462"/>
      <c r="EZ35" s="474"/>
      <c r="FA35" s="1004"/>
      <c r="FB35" s="1006"/>
      <c r="FC35" s="941"/>
      <c r="FD35" s="1016"/>
      <c r="FF35" s="1053"/>
      <c r="FG35" s="494"/>
      <c r="FH35" s="494"/>
      <c r="FI35" s="494"/>
      <c r="FJ35" s="494"/>
      <c r="FK35" s="494"/>
      <c r="FL35" s="494"/>
      <c r="FM35" s="494"/>
      <c r="FN35" s="494"/>
      <c r="FO35" s="494"/>
      <c r="FP35" s="494"/>
      <c r="FQ35" s="494"/>
      <c r="FR35" s="494"/>
      <c r="FS35" s="494"/>
      <c r="FT35" s="494"/>
      <c r="FU35" s="494"/>
      <c r="FV35" s="494"/>
      <c r="FW35" s="494"/>
      <c r="FX35" s="495"/>
      <c r="FY35" s="1071"/>
      <c r="FZ35" s="1073"/>
      <c r="GA35" s="1069"/>
      <c r="GB35" s="1070"/>
      <c r="GD35" s="1076"/>
      <c r="GE35" s="462"/>
      <c r="GF35" s="462"/>
      <c r="GG35" s="462"/>
      <c r="GH35" s="462"/>
      <c r="GI35" s="462"/>
      <c r="GJ35" s="462"/>
      <c r="GK35" s="462"/>
      <c r="GL35" s="462"/>
      <c r="GM35" s="462"/>
      <c r="GN35" s="462"/>
      <c r="GO35" s="462"/>
      <c r="GP35" s="462"/>
      <c r="GQ35" s="462"/>
      <c r="GR35" s="462"/>
      <c r="GS35" s="462"/>
      <c r="GT35" s="462"/>
      <c r="GU35" s="462"/>
      <c r="GV35" s="474"/>
      <c r="GW35" s="1004"/>
      <c r="GX35" s="1006"/>
      <c r="GY35" s="941"/>
      <c r="GZ35" s="1016"/>
      <c r="HB35" s="1050"/>
      <c r="HC35" s="462"/>
      <c r="HD35" s="462"/>
      <c r="HE35" s="462"/>
      <c r="HF35" s="462"/>
      <c r="HG35" s="462"/>
      <c r="HH35" s="462"/>
      <c r="HI35" s="462"/>
      <c r="HJ35" s="462"/>
      <c r="HK35" s="462"/>
      <c r="HL35" s="462"/>
      <c r="HM35" s="462"/>
      <c r="HN35" s="462"/>
      <c r="HO35" s="462"/>
      <c r="HP35" s="462"/>
      <c r="HQ35" s="462"/>
      <c r="HR35" s="462"/>
      <c r="HS35" s="462"/>
      <c r="HT35" s="474"/>
      <c r="HU35" s="1004"/>
      <c r="HV35" s="1006"/>
      <c r="HW35" s="941"/>
      <c r="HX35" s="1016"/>
      <c r="HZ35" s="1063"/>
      <c r="IA35" s="462"/>
      <c r="IB35" s="462"/>
      <c r="IC35" s="462"/>
      <c r="ID35" s="462"/>
      <c r="IE35" s="462"/>
      <c r="IF35" s="462"/>
      <c r="IG35" s="462"/>
      <c r="IH35" s="462"/>
      <c r="II35" s="462"/>
      <c r="IJ35" s="462"/>
      <c r="IK35" s="462"/>
      <c r="IL35" s="462"/>
      <c r="IM35" s="462"/>
      <c r="IN35" s="462"/>
      <c r="IO35" s="462"/>
      <c r="IP35" s="462"/>
      <c r="IQ35" s="462"/>
      <c r="IR35" s="474"/>
      <c r="IS35" s="1004"/>
      <c r="IT35" s="1006"/>
      <c r="IU35" s="941"/>
      <c r="IV35" s="1016"/>
      <c r="IX35" s="1040"/>
      <c r="IY35" s="462"/>
      <c r="IZ35" s="462"/>
      <c r="JA35" s="462"/>
      <c r="JB35" s="462"/>
      <c r="JC35" s="462"/>
      <c r="JD35" s="462"/>
      <c r="JE35" s="462"/>
      <c r="JF35" s="462"/>
      <c r="JG35" s="462"/>
      <c r="JH35" s="462"/>
      <c r="JI35" s="462"/>
      <c r="JJ35" s="462"/>
      <c r="JK35" s="462"/>
      <c r="JL35" s="462"/>
      <c r="JM35" s="462"/>
      <c r="JN35" s="462"/>
      <c r="JO35" s="462"/>
      <c r="JP35" s="474"/>
      <c r="JQ35" s="1004"/>
      <c r="JR35" s="1006"/>
      <c r="JS35" s="941"/>
      <c r="JT35" s="1016"/>
      <c r="JV35" s="1050"/>
      <c r="JW35" s="462"/>
      <c r="JX35" s="462"/>
      <c r="JY35" s="462"/>
      <c r="JZ35" s="462"/>
      <c r="KA35" s="462"/>
      <c r="KB35" s="462"/>
      <c r="KC35" s="462"/>
      <c r="KD35" s="462"/>
      <c r="KE35" s="462"/>
      <c r="KF35" s="462"/>
      <c r="KG35" s="462"/>
      <c r="KH35" s="462"/>
      <c r="KI35" s="462"/>
      <c r="KJ35" s="462"/>
      <c r="KK35" s="462"/>
      <c r="KL35" s="462"/>
      <c r="KM35" s="462"/>
      <c r="KN35" s="474"/>
      <c r="KO35" s="1004"/>
      <c r="KP35" s="1006"/>
      <c r="KQ35" s="941"/>
      <c r="KR35" s="1016"/>
      <c r="KT35" s="1066"/>
      <c r="KU35" s="462"/>
      <c r="KV35" s="462"/>
      <c r="KW35" s="462"/>
      <c r="KX35" s="462"/>
      <c r="KY35" s="462"/>
      <c r="KZ35" s="462"/>
      <c r="LA35" s="462"/>
      <c r="LB35" s="462"/>
      <c r="LC35" s="462"/>
      <c r="LD35" s="462"/>
      <c r="LE35" s="462"/>
      <c r="LF35" s="462"/>
      <c r="LG35" s="462"/>
      <c r="LH35" s="462"/>
      <c r="LI35" s="462"/>
      <c r="LJ35" s="462"/>
      <c r="LK35" s="462"/>
      <c r="LL35" s="474"/>
      <c r="LM35" s="1004"/>
      <c r="LN35" s="1006"/>
      <c r="LO35" s="941"/>
      <c r="LP35" s="1016"/>
      <c r="LR35" s="814"/>
      <c r="LS35" s="79">
        <f>LS34/(COUNT(LR3:LR33)-4)</f>
        <v>0.77777777777777779</v>
      </c>
      <c r="LT35" s="814"/>
      <c r="LU35" s="79">
        <f>LU34/(COUNT(LT3:LT33)-4)</f>
        <v>1</v>
      </c>
      <c r="LV35" s="814"/>
      <c r="LW35" s="79">
        <f>LW34/(COUNT(LV3:LV33)-4)</f>
        <v>1</v>
      </c>
      <c r="LX35" s="814"/>
      <c r="LY35" s="79">
        <f>LY34/(COUNT(LX3:LX33)-4)</f>
        <v>0.26923076923076922</v>
      </c>
      <c r="LZ35" s="814"/>
      <c r="MA35" s="79">
        <f>MA34/(COUNT(LZ3:LZ33)-4)</f>
        <v>0</v>
      </c>
      <c r="MB35" s="814"/>
      <c r="MC35" s="79">
        <f>MC34/(COUNT(MB3:MB33)-4)</f>
        <v>0</v>
      </c>
      <c r="MD35" s="814"/>
      <c r="ME35" s="79">
        <f>ME34/(COUNT(MD3:MD33)-4)</f>
        <v>0</v>
      </c>
      <c r="MF35" s="814"/>
      <c r="MG35" s="79">
        <f>MG34/(COUNT(MF3:MF33)-4)</f>
        <v>0</v>
      </c>
      <c r="MH35" s="814"/>
      <c r="MI35" s="79">
        <f>MI34/(COUNT(MH3:MH33)-4)</f>
        <v>0</v>
      </c>
      <c r="MJ35" s="814"/>
      <c r="MK35" s="79">
        <f>MK34/(COUNT(MJ3:MJ33)-4)</f>
        <v>0</v>
      </c>
      <c r="ML35" s="814"/>
      <c r="MM35" s="79">
        <f>MM34/(COUNT(ML3:ML33)-4)</f>
        <v>0</v>
      </c>
      <c r="MN35" s="814"/>
      <c r="MO35" s="79">
        <f>MO34/(COUNT(MN3:MN33)-4)</f>
        <v>0</v>
      </c>
      <c r="MP35" s="814"/>
      <c r="MQ35" s="79">
        <f>MQ34/(COUNT(MP3:MP33)-4)</f>
        <v>0</v>
      </c>
    </row>
    <row r="36" spans="1:355" ht="15">
      <c r="A36" s="231"/>
      <c r="B36" s="231"/>
      <c r="C36" s="395" t="s">
        <v>99</v>
      </c>
      <c r="D36" s="231" t="s">
        <v>554</v>
      </c>
      <c r="E36" s="231" t="s">
        <v>569</v>
      </c>
      <c r="F36" s="231" t="s">
        <v>556</v>
      </c>
      <c r="G36" s="231" t="s">
        <v>557</v>
      </c>
      <c r="H36" s="231" t="s">
        <v>564</v>
      </c>
      <c r="I36" s="395" t="s">
        <v>387</v>
      </c>
      <c r="R36" s="870">
        <v>46034</v>
      </c>
      <c r="S36" s="886" t="s">
        <v>78</v>
      </c>
      <c r="T36" s="886"/>
      <c r="U36" s="886"/>
      <c r="V36" s="848" t="s">
        <v>85</v>
      </c>
      <c r="W36" s="848"/>
      <c r="X36" s="848"/>
      <c r="Y36" s="848" t="s">
        <v>147</v>
      </c>
      <c r="Z36" s="848"/>
      <c r="AA36" s="848"/>
      <c r="AB36" s="890" t="s">
        <v>131</v>
      </c>
      <c r="AC36" s="890"/>
      <c r="AD36" s="890"/>
      <c r="AE36" s="834"/>
      <c r="AF36" s="835"/>
      <c r="AG36" s="836"/>
      <c r="AH36" s="834"/>
      <c r="AI36" s="835"/>
      <c r="AJ36" s="835"/>
      <c r="AK36" s="459" t="s">
        <v>425</v>
      </c>
      <c r="AL36" s="1">
        <f t="shared" ref="AL36" si="51">COUNTA(S36:AJ36)</f>
        <v>4</v>
      </c>
      <c r="AM36" s="939"/>
      <c r="AN36" s="855">
        <v>76.5</v>
      </c>
      <c r="AO36" s="118"/>
      <c r="AP36" s="873">
        <v>46065</v>
      </c>
      <c r="AQ36" s="973" t="s">
        <v>72</v>
      </c>
      <c r="AR36" s="973"/>
      <c r="AS36" s="973"/>
      <c r="AT36" s="977" t="s">
        <v>102</v>
      </c>
      <c r="AU36" s="977"/>
      <c r="AV36" s="977"/>
      <c r="AW36" s="977" t="s">
        <v>424</v>
      </c>
      <c r="AX36" s="977"/>
      <c r="AY36" s="977"/>
      <c r="AZ36" s="977" t="s">
        <v>380</v>
      </c>
      <c r="BA36" s="977"/>
      <c r="BB36" s="977"/>
      <c r="BC36" s="978" t="s">
        <v>78</v>
      </c>
      <c r="BD36" s="979"/>
      <c r="BE36" s="980"/>
      <c r="BF36" s="834"/>
      <c r="BG36" s="835"/>
      <c r="BH36" s="835"/>
      <c r="BI36" s="459" t="s">
        <v>425</v>
      </c>
      <c r="BJ36" s="482">
        <f t="shared" si="32"/>
        <v>5</v>
      </c>
      <c r="BK36" s="939"/>
      <c r="BL36" s="1016">
        <v>77.099999999999994</v>
      </c>
      <c r="BM36" s="118"/>
      <c r="BN36" s="873">
        <v>46093</v>
      </c>
      <c r="BO36" s="973" t="s">
        <v>72</v>
      </c>
      <c r="BP36" s="973"/>
      <c r="BQ36" s="973"/>
      <c r="BR36" s="977" t="s">
        <v>102</v>
      </c>
      <c r="BS36" s="977"/>
      <c r="BT36" s="977"/>
      <c r="BU36" s="977" t="s">
        <v>502</v>
      </c>
      <c r="BV36" s="977"/>
      <c r="BW36" s="977"/>
      <c r="BX36" s="848" t="s">
        <v>380</v>
      </c>
      <c r="BY36" s="848"/>
      <c r="BZ36" s="848"/>
      <c r="CA36" s="978" t="s">
        <v>78</v>
      </c>
      <c r="CB36" s="979"/>
      <c r="CC36" s="980"/>
      <c r="CD36" s="834"/>
      <c r="CE36" s="835"/>
      <c r="CF36" s="835"/>
      <c r="CG36" s="459" t="s">
        <v>425</v>
      </c>
      <c r="CH36" s="482">
        <f t="shared" ref="CH36" si="52">COUNTA(BO36:CF36)</f>
        <v>5</v>
      </c>
      <c r="CI36" s="939">
        <v>8</v>
      </c>
      <c r="CJ36" s="1016">
        <v>79.099999999999994</v>
      </c>
      <c r="CL36" s="1061">
        <v>46124</v>
      </c>
      <c r="CM36" s="844"/>
      <c r="CN36" s="844"/>
      <c r="CO36" s="844"/>
      <c r="CP36" s="844"/>
      <c r="CQ36" s="844"/>
      <c r="CR36" s="844"/>
      <c r="CS36" s="844"/>
      <c r="CT36" s="844"/>
      <c r="CU36" s="844"/>
      <c r="CV36" s="844"/>
      <c r="CW36" s="844"/>
      <c r="CX36" s="844"/>
      <c r="CY36" s="834"/>
      <c r="CZ36" s="835"/>
      <c r="DA36" s="836"/>
      <c r="DB36" s="834"/>
      <c r="DC36" s="835"/>
      <c r="DD36" s="835"/>
      <c r="DE36" s="459" t="s">
        <v>425</v>
      </c>
      <c r="DF36" s="482">
        <f>COUNTA(CM36:DD36)</f>
        <v>0</v>
      </c>
      <c r="DG36" s="939">
        <v>0</v>
      </c>
      <c r="DH36" s="1016">
        <f t="shared" ref="DH36" si="53">DH33</f>
        <v>77.900000000000006</v>
      </c>
      <c r="DJ36" s="1074">
        <v>46154</v>
      </c>
      <c r="DK36" s="960"/>
      <c r="DL36" s="960"/>
      <c r="DM36" s="960"/>
      <c r="DN36" s="960"/>
      <c r="DO36" s="960"/>
      <c r="DP36" s="960"/>
      <c r="DQ36" s="960"/>
      <c r="DR36" s="960"/>
      <c r="DS36" s="960"/>
      <c r="DT36" s="960"/>
      <c r="DU36" s="960"/>
      <c r="DV36" s="960"/>
      <c r="DW36" s="961"/>
      <c r="DX36" s="962"/>
      <c r="DY36" s="963"/>
      <c r="DZ36" s="961"/>
      <c r="EA36" s="962"/>
      <c r="EB36" s="962"/>
      <c r="EC36" s="459" t="s">
        <v>425</v>
      </c>
      <c r="ED36" s="482">
        <f>COUNTA(DK36:EB36)</f>
        <v>0</v>
      </c>
      <c r="EE36" s="939"/>
      <c r="EF36" s="1016"/>
      <c r="EH36" s="1048">
        <v>46185</v>
      </c>
      <c r="EI36" s="960"/>
      <c r="EJ36" s="960"/>
      <c r="EK36" s="960"/>
      <c r="EL36" s="960"/>
      <c r="EM36" s="960"/>
      <c r="EN36" s="960"/>
      <c r="EO36" s="960"/>
      <c r="EP36" s="960"/>
      <c r="EQ36" s="960"/>
      <c r="ER36" s="960"/>
      <c r="ES36" s="960"/>
      <c r="ET36" s="960"/>
      <c r="EU36" s="961"/>
      <c r="EV36" s="962"/>
      <c r="EW36" s="963"/>
      <c r="EX36" s="961"/>
      <c r="EY36" s="962"/>
      <c r="EZ36" s="962"/>
      <c r="FA36" s="459" t="s">
        <v>425</v>
      </c>
      <c r="FB36" s="482">
        <f>COUNTA(EI36:EZ36)</f>
        <v>0</v>
      </c>
      <c r="FC36" s="939"/>
      <c r="FD36" s="1016"/>
      <c r="FF36" s="1061">
        <v>46215</v>
      </c>
      <c r="FG36" s="960"/>
      <c r="FH36" s="960"/>
      <c r="FI36" s="960"/>
      <c r="FJ36" s="960"/>
      <c r="FK36" s="960"/>
      <c r="FL36" s="960"/>
      <c r="FM36" s="960"/>
      <c r="FN36" s="960"/>
      <c r="FO36" s="960"/>
      <c r="FP36" s="960"/>
      <c r="FQ36" s="960"/>
      <c r="FR36" s="960"/>
      <c r="FS36" s="961"/>
      <c r="FT36" s="962"/>
      <c r="FU36" s="963"/>
      <c r="FV36" s="961"/>
      <c r="FW36" s="962"/>
      <c r="FX36" s="962"/>
      <c r="FY36" s="459" t="s">
        <v>425</v>
      </c>
      <c r="FZ36" s="482">
        <f>COUNTA(FG36:FX36)</f>
        <v>0</v>
      </c>
      <c r="GA36" s="939"/>
      <c r="GB36" s="1016"/>
      <c r="GD36" s="1038">
        <v>46246</v>
      </c>
      <c r="GE36" s="960"/>
      <c r="GF36" s="960"/>
      <c r="GG36" s="960"/>
      <c r="GH36" s="960"/>
      <c r="GI36" s="960"/>
      <c r="GJ36" s="960"/>
      <c r="GK36" s="960"/>
      <c r="GL36" s="960"/>
      <c r="GM36" s="960"/>
      <c r="GN36" s="960"/>
      <c r="GO36" s="960"/>
      <c r="GP36" s="960"/>
      <c r="GQ36" s="961"/>
      <c r="GR36" s="962"/>
      <c r="GS36" s="963"/>
      <c r="GT36" s="961"/>
      <c r="GU36" s="962"/>
      <c r="GV36" s="962"/>
      <c r="GW36" s="459" t="s">
        <v>425</v>
      </c>
      <c r="GX36" s="482">
        <f>COUNTA(GE36:GV36)</f>
        <v>0</v>
      </c>
      <c r="GY36" s="939"/>
      <c r="GZ36" s="1016"/>
      <c r="HB36" s="1051">
        <v>46277</v>
      </c>
      <c r="HC36" s="1023"/>
      <c r="HD36" s="1023"/>
      <c r="HE36" s="1023"/>
      <c r="HF36" s="1023"/>
      <c r="HG36" s="1023"/>
      <c r="HH36" s="1023"/>
      <c r="HI36" s="1023"/>
      <c r="HJ36" s="1023"/>
      <c r="HK36" s="1023"/>
      <c r="HL36" s="1023"/>
      <c r="HM36" s="1023"/>
      <c r="HN36" s="1023"/>
      <c r="HO36" s="1021"/>
      <c r="HP36" s="1022"/>
      <c r="HQ36" s="1024"/>
      <c r="HR36" s="1021"/>
      <c r="HS36" s="1022"/>
      <c r="HT36" s="1022"/>
      <c r="HU36" s="489" t="s">
        <v>425</v>
      </c>
      <c r="HV36" s="496">
        <f>COUNTA(HC36:HT36)</f>
        <v>0</v>
      </c>
      <c r="HW36" s="1067"/>
      <c r="HX36" s="1070"/>
      <c r="HZ36" s="1064">
        <v>46307</v>
      </c>
      <c r="IA36" s="960"/>
      <c r="IB36" s="960"/>
      <c r="IC36" s="960"/>
      <c r="ID36" s="960"/>
      <c r="IE36" s="960"/>
      <c r="IF36" s="960"/>
      <c r="IG36" s="960"/>
      <c r="IH36" s="960"/>
      <c r="II36" s="960"/>
      <c r="IJ36" s="960"/>
      <c r="IK36" s="960"/>
      <c r="IL36" s="960"/>
      <c r="IM36" s="961"/>
      <c r="IN36" s="962"/>
      <c r="IO36" s="963"/>
      <c r="IP36" s="961"/>
      <c r="IQ36" s="962"/>
      <c r="IR36" s="962"/>
      <c r="IS36" s="459" t="s">
        <v>425</v>
      </c>
      <c r="IT36" s="482">
        <f>COUNTA(IA36:IR36)</f>
        <v>0</v>
      </c>
      <c r="IU36" s="939"/>
      <c r="IV36" s="1016"/>
      <c r="IX36" s="1041">
        <v>46338</v>
      </c>
      <c r="IY36" s="960"/>
      <c r="IZ36" s="960"/>
      <c r="JA36" s="960"/>
      <c r="JB36" s="960"/>
      <c r="JC36" s="960"/>
      <c r="JD36" s="960"/>
      <c r="JE36" s="960"/>
      <c r="JF36" s="960"/>
      <c r="JG36" s="960"/>
      <c r="JH36" s="960"/>
      <c r="JI36" s="960"/>
      <c r="JJ36" s="960"/>
      <c r="JK36" s="961"/>
      <c r="JL36" s="962"/>
      <c r="JM36" s="963"/>
      <c r="JN36" s="961"/>
      <c r="JO36" s="962"/>
      <c r="JP36" s="962"/>
      <c r="JQ36" s="459" t="s">
        <v>425</v>
      </c>
      <c r="JR36" s="482">
        <f>COUNTA(IY36:JP36)</f>
        <v>0</v>
      </c>
      <c r="JS36" s="939"/>
      <c r="JT36" s="1016"/>
      <c r="JV36" s="1051">
        <v>46368</v>
      </c>
      <c r="JW36" s="1023"/>
      <c r="JX36" s="1023"/>
      <c r="JY36" s="1023"/>
      <c r="JZ36" s="1023"/>
      <c r="KA36" s="1023"/>
      <c r="KB36" s="1023"/>
      <c r="KC36" s="1023"/>
      <c r="KD36" s="1023"/>
      <c r="KE36" s="1023"/>
      <c r="KF36" s="1023"/>
      <c r="KG36" s="1023"/>
      <c r="KH36" s="1023"/>
      <c r="KI36" s="1021"/>
      <c r="KJ36" s="1022"/>
      <c r="KK36" s="1024"/>
      <c r="KL36" s="1021"/>
      <c r="KM36" s="1022"/>
      <c r="KN36" s="1022"/>
      <c r="KO36" s="489" t="s">
        <v>425</v>
      </c>
      <c r="KP36" s="496">
        <f>COUNTA(JW36:KN36)</f>
        <v>0</v>
      </c>
      <c r="KQ36" s="1067"/>
      <c r="KR36" s="1070"/>
      <c r="KT36" s="1074">
        <v>46399</v>
      </c>
      <c r="KU36" s="960"/>
      <c r="KV36" s="960"/>
      <c r="KW36" s="960"/>
      <c r="KX36" s="960"/>
      <c r="KY36" s="960"/>
      <c r="KZ36" s="960"/>
      <c r="LA36" s="960"/>
      <c r="LB36" s="960"/>
      <c r="LC36" s="960"/>
      <c r="LD36" s="960"/>
      <c r="LE36" s="960"/>
      <c r="LF36" s="960"/>
      <c r="LG36" s="961"/>
      <c r="LH36" s="962"/>
      <c r="LI36" s="963"/>
      <c r="LJ36" s="961"/>
      <c r="LK36" s="962"/>
      <c r="LL36" s="962"/>
      <c r="LM36" s="459" t="s">
        <v>425</v>
      </c>
      <c r="LN36" s="482">
        <f>COUNTA(KU36:LL36)</f>
        <v>0</v>
      </c>
      <c r="LO36" s="939"/>
      <c r="LP36" s="1016"/>
      <c r="LY36" s="504"/>
      <c r="MA36" s="504"/>
      <c r="MC36" s="504"/>
      <c r="ME36" s="504"/>
      <c r="MG36" s="504"/>
      <c r="MI36" s="504"/>
      <c r="MK36" s="504"/>
      <c r="MM36" s="504"/>
      <c r="MO36" s="504"/>
      <c r="MQ36" s="504"/>
    </row>
    <row r="37" spans="1:355" ht="15">
      <c r="A37" s="231"/>
      <c r="B37" s="231"/>
      <c r="C37" s="395" t="s">
        <v>411</v>
      </c>
      <c r="D37" s="231" t="s">
        <v>554</v>
      </c>
      <c r="E37" s="231" t="s">
        <v>576</v>
      </c>
      <c r="F37" s="231" t="s">
        <v>556</v>
      </c>
      <c r="G37" s="231" t="s">
        <v>557</v>
      </c>
      <c r="H37" s="231" t="s">
        <v>575</v>
      </c>
      <c r="I37" s="395" t="s">
        <v>561</v>
      </c>
      <c r="R37" s="871"/>
      <c r="S37" s="231" t="s">
        <v>59</v>
      </c>
      <c r="T37" s="231" t="s">
        <v>73</v>
      </c>
      <c r="U37" s="102" t="s">
        <v>4</v>
      </c>
      <c r="V37" s="231" t="s">
        <v>59</v>
      </c>
      <c r="W37" s="231" t="s">
        <v>73</v>
      </c>
      <c r="X37" s="102" t="s">
        <v>4</v>
      </c>
      <c r="Y37" s="231" t="s">
        <v>59</v>
      </c>
      <c r="Z37" s="231" t="s">
        <v>73</v>
      </c>
      <c r="AA37" s="102" t="s">
        <v>4</v>
      </c>
      <c r="AB37" s="231" t="s">
        <v>59</v>
      </c>
      <c r="AC37" s="231" t="s">
        <v>73</v>
      </c>
      <c r="AD37" s="102" t="s">
        <v>4</v>
      </c>
      <c r="AE37" s="107" t="s">
        <v>59</v>
      </c>
      <c r="AF37" s="107" t="s">
        <v>73</v>
      </c>
      <c r="AG37" s="108" t="s">
        <v>4</v>
      </c>
      <c r="AH37" s="107" t="s">
        <v>59</v>
      </c>
      <c r="AI37" s="107" t="s">
        <v>73</v>
      </c>
      <c r="AJ37" s="471" t="s">
        <v>4</v>
      </c>
      <c r="AK37" s="1004">
        <v>33</v>
      </c>
      <c r="AL37" s="1002">
        <f t="shared" ref="AL37" si="54">(S38*T38*U38)+(V38*W38*X38)+(Y38*Z38*AA38)+(AB38*AC38*AD38)+(AE38*AF38*AG38)+(AH38*AI38*AJ38)</f>
        <v>5306.666666666667</v>
      </c>
      <c r="AM37" s="940"/>
      <c r="AN37" s="855"/>
      <c r="AO37" s="118"/>
      <c r="AP37" s="874"/>
      <c r="AQ37" s="303" t="s">
        <v>59</v>
      </c>
      <c r="AR37" s="303" t="s">
        <v>73</v>
      </c>
      <c r="AS37" s="304" t="s">
        <v>4</v>
      </c>
      <c r="AT37" s="303" t="s">
        <v>59</v>
      </c>
      <c r="AU37" s="303" t="s">
        <v>73</v>
      </c>
      <c r="AV37" s="304" t="s">
        <v>4</v>
      </c>
      <c r="AW37" s="303" t="s">
        <v>59</v>
      </c>
      <c r="AX37" s="303" t="s">
        <v>73</v>
      </c>
      <c r="AY37" s="304" t="s">
        <v>4</v>
      </c>
      <c r="AZ37" s="303" t="s">
        <v>59</v>
      </c>
      <c r="BA37" s="303" t="s">
        <v>73</v>
      </c>
      <c r="BB37" s="304" t="s">
        <v>4</v>
      </c>
      <c r="BC37" s="303" t="s">
        <v>59</v>
      </c>
      <c r="BD37" s="303" t="s">
        <v>73</v>
      </c>
      <c r="BE37" s="304" t="s">
        <v>4</v>
      </c>
      <c r="BF37" s="107" t="s">
        <v>59</v>
      </c>
      <c r="BG37" s="107" t="s">
        <v>73</v>
      </c>
      <c r="BH37" s="471" t="s">
        <v>4</v>
      </c>
      <c r="BI37" s="1004">
        <v>65</v>
      </c>
      <c r="BJ37" s="1003">
        <f t="shared" si="35"/>
        <v>6064.9500000000007</v>
      </c>
      <c r="BK37" s="940"/>
      <c r="BL37" s="1016"/>
      <c r="BM37" s="118"/>
      <c r="BN37" s="874"/>
      <c r="BO37" s="303" t="s">
        <v>59</v>
      </c>
      <c r="BP37" s="303" t="s">
        <v>73</v>
      </c>
      <c r="BQ37" s="304" t="s">
        <v>4</v>
      </c>
      <c r="BR37" s="303" t="s">
        <v>59</v>
      </c>
      <c r="BS37" s="303" t="s">
        <v>73</v>
      </c>
      <c r="BT37" s="304" t="s">
        <v>4</v>
      </c>
      <c r="BU37" s="303" t="s">
        <v>59</v>
      </c>
      <c r="BV37" s="303" t="s">
        <v>73</v>
      </c>
      <c r="BW37" s="304" t="s">
        <v>4</v>
      </c>
      <c r="BX37" s="231" t="s">
        <v>59</v>
      </c>
      <c r="BY37" s="231" t="s">
        <v>73</v>
      </c>
      <c r="BZ37" s="102" t="s">
        <v>4</v>
      </c>
      <c r="CA37" s="303" t="s">
        <v>59</v>
      </c>
      <c r="CB37" s="303" t="s">
        <v>73</v>
      </c>
      <c r="CC37" s="304" t="s">
        <v>4</v>
      </c>
      <c r="CD37" s="107" t="s">
        <v>59</v>
      </c>
      <c r="CE37" s="107" t="s">
        <v>73</v>
      </c>
      <c r="CF37" s="471" t="s">
        <v>4</v>
      </c>
      <c r="CG37" s="1004">
        <f>60+23</f>
        <v>83</v>
      </c>
      <c r="CH37" s="1005">
        <f t="shared" ref="CH37" si="55">(BO38*BP38*BQ38)+(BR38*BS38*BT38)+(BU38*BV38*BW38)+(BX38*BY38*BZ38)+(CA38*CB38*CC38)+(CD38*CE38*CF38)</f>
        <v>7390.5</v>
      </c>
      <c r="CI37" s="940"/>
      <c r="CJ37" s="1016"/>
      <c r="CL37" s="1062"/>
      <c r="CM37" s="107" t="s">
        <v>59</v>
      </c>
      <c r="CN37" s="107" t="s">
        <v>73</v>
      </c>
      <c r="CO37" s="108" t="s">
        <v>4</v>
      </c>
      <c r="CP37" s="107" t="s">
        <v>59</v>
      </c>
      <c r="CQ37" s="107" t="s">
        <v>73</v>
      </c>
      <c r="CR37" s="108" t="s">
        <v>4</v>
      </c>
      <c r="CS37" s="107" t="s">
        <v>59</v>
      </c>
      <c r="CT37" s="107" t="s">
        <v>73</v>
      </c>
      <c r="CU37" s="108" t="s">
        <v>4</v>
      </c>
      <c r="CV37" s="107" t="s">
        <v>59</v>
      </c>
      <c r="CW37" s="107" t="s">
        <v>73</v>
      </c>
      <c r="CX37" s="108" t="s">
        <v>4</v>
      </c>
      <c r="CY37" s="107" t="s">
        <v>59</v>
      </c>
      <c r="CZ37" s="107" t="s">
        <v>73</v>
      </c>
      <c r="DA37" s="108" t="s">
        <v>4</v>
      </c>
      <c r="DB37" s="107" t="s">
        <v>59</v>
      </c>
      <c r="DC37" s="107" t="s">
        <v>73</v>
      </c>
      <c r="DD37" s="471" t="s">
        <v>4</v>
      </c>
      <c r="DE37" s="1004">
        <v>0</v>
      </c>
      <c r="DF37" s="1005">
        <f>(CM38*CN38*CO38)+(CP38*CQ38*CR38)+(CS38*CT38*CU38)+(CV38*CW38*CX38)+(CY38*CZ38*DA38)+(DB38*DC38*DD38)</f>
        <v>0</v>
      </c>
      <c r="DG37" s="940"/>
      <c r="DH37" s="1016"/>
      <c r="DJ37" s="1075"/>
      <c r="DK37" s="460" t="s">
        <v>59</v>
      </c>
      <c r="DL37" s="460" t="s">
        <v>73</v>
      </c>
      <c r="DM37" s="461" t="s">
        <v>4</v>
      </c>
      <c r="DN37" s="460" t="s">
        <v>59</v>
      </c>
      <c r="DO37" s="460" t="s">
        <v>73</v>
      </c>
      <c r="DP37" s="461" t="s">
        <v>4</v>
      </c>
      <c r="DQ37" s="460" t="s">
        <v>59</v>
      </c>
      <c r="DR37" s="460" t="s">
        <v>73</v>
      </c>
      <c r="DS37" s="461" t="s">
        <v>4</v>
      </c>
      <c r="DT37" s="460" t="s">
        <v>59</v>
      </c>
      <c r="DU37" s="460" t="s">
        <v>73</v>
      </c>
      <c r="DV37" s="461" t="s">
        <v>4</v>
      </c>
      <c r="DW37" s="460" t="s">
        <v>59</v>
      </c>
      <c r="DX37" s="460" t="s">
        <v>73</v>
      </c>
      <c r="DY37" s="461" t="s">
        <v>4</v>
      </c>
      <c r="DZ37" s="460" t="s">
        <v>59</v>
      </c>
      <c r="EA37" s="460" t="s">
        <v>73</v>
      </c>
      <c r="EB37" s="473" t="s">
        <v>4</v>
      </c>
      <c r="EC37" s="1004"/>
      <c r="ED37" s="1005">
        <f>(DK38*DL38*DM38)+(DN38*DO38*DP38)+(DQ38*DR38*DS38)+(DT38*DU38*DV38)+(DW38*DX38*DY38)+(DZ38*EA38*EB38)</f>
        <v>0</v>
      </c>
      <c r="EE37" s="940"/>
      <c r="EF37" s="1016"/>
      <c r="EH37" s="1049"/>
      <c r="EI37" s="460" t="s">
        <v>59</v>
      </c>
      <c r="EJ37" s="460" t="s">
        <v>73</v>
      </c>
      <c r="EK37" s="461" t="s">
        <v>4</v>
      </c>
      <c r="EL37" s="460" t="s">
        <v>59</v>
      </c>
      <c r="EM37" s="460" t="s">
        <v>73</v>
      </c>
      <c r="EN37" s="461" t="s">
        <v>4</v>
      </c>
      <c r="EO37" s="460" t="s">
        <v>59</v>
      </c>
      <c r="EP37" s="460" t="s">
        <v>73</v>
      </c>
      <c r="EQ37" s="461" t="s">
        <v>4</v>
      </c>
      <c r="ER37" s="460" t="s">
        <v>59</v>
      </c>
      <c r="ES37" s="460" t="s">
        <v>73</v>
      </c>
      <c r="ET37" s="461" t="s">
        <v>4</v>
      </c>
      <c r="EU37" s="460" t="s">
        <v>59</v>
      </c>
      <c r="EV37" s="460" t="s">
        <v>73</v>
      </c>
      <c r="EW37" s="461" t="s">
        <v>4</v>
      </c>
      <c r="EX37" s="460" t="s">
        <v>59</v>
      </c>
      <c r="EY37" s="460" t="s">
        <v>73</v>
      </c>
      <c r="EZ37" s="473" t="s">
        <v>4</v>
      </c>
      <c r="FA37" s="1004"/>
      <c r="FB37" s="1005">
        <f>(EI38*EJ38*EK38)+(EL38*EM38*EN38)+(EO38*EP38*EQ38)+(ER38*ES38*ET38)+(EU38*EV38*EW38)+(EX38*EY38*EZ38)</f>
        <v>0</v>
      </c>
      <c r="FC37" s="940"/>
      <c r="FD37" s="1016"/>
      <c r="FF37" s="1062"/>
      <c r="FG37" s="460" t="s">
        <v>59</v>
      </c>
      <c r="FH37" s="460" t="s">
        <v>73</v>
      </c>
      <c r="FI37" s="461" t="s">
        <v>4</v>
      </c>
      <c r="FJ37" s="460" t="s">
        <v>59</v>
      </c>
      <c r="FK37" s="460" t="s">
        <v>73</v>
      </c>
      <c r="FL37" s="461" t="s">
        <v>4</v>
      </c>
      <c r="FM37" s="460" t="s">
        <v>59</v>
      </c>
      <c r="FN37" s="460" t="s">
        <v>73</v>
      </c>
      <c r="FO37" s="461" t="s">
        <v>4</v>
      </c>
      <c r="FP37" s="460" t="s">
        <v>59</v>
      </c>
      <c r="FQ37" s="460" t="s">
        <v>73</v>
      </c>
      <c r="FR37" s="461" t="s">
        <v>4</v>
      </c>
      <c r="FS37" s="460" t="s">
        <v>59</v>
      </c>
      <c r="FT37" s="460" t="s">
        <v>73</v>
      </c>
      <c r="FU37" s="461" t="s">
        <v>4</v>
      </c>
      <c r="FV37" s="460" t="s">
        <v>59</v>
      </c>
      <c r="FW37" s="460" t="s">
        <v>73</v>
      </c>
      <c r="FX37" s="473" t="s">
        <v>4</v>
      </c>
      <c r="FY37" s="1004"/>
      <c r="FZ37" s="1005">
        <f>(FG38*FH38*FI38)+(FJ38*FK38*FL38)+(FM38*FN38*FO38)+(FP38*FQ38*FR38)+(FS38*FT38*FU38)+(FV38*FW38*FX38)</f>
        <v>0</v>
      </c>
      <c r="GA37" s="940"/>
      <c r="GB37" s="1016"/>
      <c r="GD37" s="1039"/>
      <c r="GE37" s="460" t="s">
        <v>59</v>
      </c>
      <c r="GF37" s="460" t="s">
        <v>73</v>
      </c>
      <c r="GG37" s="461" t="s">
        <v>4</v>
      </c>
      <c r="GH37" s="460" t="s">
        <v>59</v>
      </c>
      <c r="GI37" s="460" t="s">
        <v>73</v>
      </c>
      <c r="GJ37" s="461" t="s">
        <v>4</v>
      </c>
      <c r="GK37" s="460" t="s">
        <v>59</v>
      </c>
      <c r="GL37" s="460" t="s">
        <v>73</v>
      </c>
      <c r="GM37" s="461" t="s">
        <v>4</v>
      </c>
      <c r="GN37" s="460" t="s">
        <v>59</v>
      </c>
      <c r="GO37" s="460" t="s">
        <v>73</v>
      </c>
      <c r="GP37" s="461" t="s">
        <v>4</v>
      </c>
      <c r="GQ37" s="460" t="s">
        <v>59</v>
      </c>
      <c r="GR37" s="460" t="s">
        <v>73</v>
      </c>
      <c r="GS37" s="461" t="s">
        <v>4</v>
      </c>
      <c r="GT37" s="460" t="s">
        <v>59</v>
      </c>
      <c r="GU37" s="460" t="s">
        <v>73</v>
      </c>
      <c r="GV37" s="473" t="s">
        <v>4</v>
      </c>
      <c r="GW37" s="1004"/>
      <c r="GX37" s="1005">
        <f>(GE38*GF38*GG38)+(GH38*GI38*GJ38)+(GK38*GL38*GM38)+(GN38*GO38*GP38)+(GQ38*GR38*GS38)+(GT38*GU38*GV38)</f>
        <v>0</v>
      </c>
      <c r="GY37" s="940"/>
      <c r="GZ37" s="1016"/>
      <c r="HB37" s="1052"/>
      <c r="HC37" s="491" t="s">
        <v>59</v>
      </c>
      <c r="HD37" s="491" t="s">
        <v>73</v>
      </c>
      <c r="HE37" s="492" t="s">
        <v>4</v>
      </c>
      <c r="HF37" s="491" t="s">
        <v>59</v>
      </c>
      <c r="HG37" s="491" t="s">
        <v>73</v>
      </c>
      <c r="HH37" s="492" t="s">
        <v>4</v>
      </c>
      <c r="HI37" s="491" t="s">
        <v>59</v>
      </c>
      <c r="HJ37" s="491" t="s">
        <v>73</v>
      </c>
      <c r="HK37" s="492" t="s">
        <v>4</v>
      </c>
      <c r="HL37" s="491" t="s">
        <v>59</v>
      </c>
      <c r="HM37" s="491" t="s">
        <v>73</v>
      </c>
      <c r="HN37" s="492" t="s">
        <v>4</v>
      </c>
      <c r="HO37" s="491" t="s">
        <v>59</v>
      </c>
      <c r="HP37" s="491" t="s">
        <v>73</v>
      </c>
      <c r="HQ37" s="492" t="s">
        <v>4</v>
      </c>
      <c r="HR37" s="491" t="s">
        <v>59</v>
      </c>
      <c r="HS37" s="491" t="s">
        <v>73</v>
      </c>
      <c r="HT37" s="493" t="s">
        <v>4</v>
      </c>
      <c r="HU37" s="1071"/>
      <c r="HV37" s="1072">
        <f>(HC38*HD38*HE38)+(HF38*HG38*HH38)+(HI38*HJ38*HK38)+(HL38*HM38*HN38)+(HO38*HP38*HQ38)+(HR38*HS38*HT38)</f>
        <v>0</v>
      </c>
      <c r="HW37" s="1068"/>
      <c r="HX37" s="1070"/>
      <c r="HZ37" s="1065"/>
      <c r="IA37" s="460" t="s">
        <v>59</v>
      </c>
      <c r="IB37" s="460" t="s">
        <v>73</v>
      </c>
      <c r="IC37" s="461" t="s">
        <v>4</v>
      </c>
      <c r="ID37" s="460" t="s">
        <v>59</v>
      </c>
      <c r="IE37" s="460" t="s">
        <v>73</v>
      </c>
      <c r="IF37" s="461" t="s">
        <v>4</v>
      </c>
      <c r="IG37" s="460" t="s">
        <v>59</v>
      </c>
      <c r="IH37" s="460" t="s">
        <v>73</v>
      </c>
      <c r="II37" s="461" t="s">
        <v>4</v>
      </c>
      <c r="IJ37" s="460" t="s">
        <v>59</v>
      </c>
      <c r="IK37" s="460" t="s">
        <v>73</v>
      </c>
      <c r="IL37" s="461" t="s">
        <v>4</v>
      </c>
      <c r="IM37" s="460" t="s">
        <v>59</v>
      </c>
      <c r="IN37" s="460" t="s">
        <v>73</v>
      </c>
      <c r="IO37" s="461" t="s">
        <v>4</v>
      </c>
      <c r="IP37" s="460" t="s">
        <v>59</v>
      </c>
      <c r="IQ37" s="460" t="s">
        <v>73</v>
      </c>
      <c r="IR37" s="473" t="s">
        <v>4</v>
      </c>
      <c r="IS37" s="1004"/>
      <c r="IT37" s="1005">
        <f>(IA38*IB38*IC38)+(ID38*IE38*IF38)+(IG38*IH38*II38)+(IJ38*IK38*IL38)+(IM38*IN38*IO38)+(IP38*IQ38*IR38)</f>
        <v>0</v>
      </c>
      <c r="IU37" s="940"/>
      <c r="IV37" s="1016"/>
      <c r="IX37" s="1042"/>
      <c r="IY37" s="460" t="s">
        <v>59</v>
      </c>
      <c r="IZ37" s="460" t="s">
        <v>73</v>
      </c>
      <c r="JA37" s="461" t="s">
        <v>4</v>
      </c>
      <c r="JB37" s="460" t="s">
        <v>59</v>
      </c>
      <c r="JC37" s="460" t="s">
        <v>73</v>
      </c>
      <c r="JD37" s="461" t="s">
        <v>4</v>
      </c>
      <c r="JE37" s="460" t="s">
        <v>59</v>
      </c>
      <c r="JF37" s="460" t="s">
        <v>73</v>
      </c>
      <c r="JG37" s="461" t="s">
        <v>4</v>
      </c>
      <c r="JH37" s="460" t="s">
        <v>59</v>
      </c>
      <c r="JI37" s="460" t="s">
        <v>73</v>
      </c>
      <c r="JJ37" s="461" t="s">
        <v>4</v>
      </c>
      <c r="JK37" s="460" t="s">
        <v>59</v>
      </c>
      <c r="JL37" s="460" t="s">
        <v>73</v>
      </c>
      <c r="JM37" s="461" t="s">
        <v>4</v>
      </c>
      <c r="JN37" s="460" t="s">
        <v>59</v>
      </c>
      <c r="JO37" s="460" t="s">
        <v>73</v>
      </c>
      <c r="JP37" s="473" t="s">
        <v>4</v>
      </c>
      <c r="JQ37" s="1004"/>
      <c r="JR37" s="1005">
        <f>(IY38*IZ38*JA38)+(JB38*JC38*JD38)+(JE38*JF38*JG38)+(JH38*JI38*JJ38)+(JK38*JL38*JM38)+(JN38*JO38*JP38)</f>
        <v>0</v>
      </c>
      <c r="JS37" s="940"/>
      <c r="JT37" s="1016"/>
      <c r="JV37" s="1052"/>
      <c r="JW37" s="491" t="s">
        <v>59</v>
      </c>
      <c r="JX37" s="491" t="s">
        <v>73</v>
      </c>
      <c r="JY37" s="492" t="s">
        <v>4</v>
      </c>
      <c r="JZ37" s="491" t="s">
        <v>59</v>
      </c>
      <c r="KA37" s="491" t="s">
        <v>73</v>
      </c>
      <c r="KB37" s="492" t="s">
        <v>4</v>
      </c>
      <c r="KC37" s="491" t="s">
        <v>59</v>
      </c>
      <c r="KD37" s="491" t="s">
        <v>73</v>
      </c>
      <c r="KE37" s="492" t="s">
        <v>4</v>
      </c>
      <c r="KF37" s="491" t="s">
        <v>59</v>
      </c>
      <c r="KG37" s="491" t="s">
        <v>73</v>
      </c>
      <c r="KH37" s="492" t="s">
        <v>4</v>
      </c>
      <c r="KI37" s="491" t="s">
        <v>59</v>
      </c>
      <c r="KJ37" s="491" t="s">
        <v>73</v>
      </c>
      <c r="KK37" s="492" t="s">
        <v>4</v>
      </c>
      <c r="KL37" s="491" t="s">
        <v>59</v>
      </c>
      <c r="KM37" s="491" t="s">
        <v>73</v>
      </c>
      <c r="KN37" s="493" t="s">
        <v>4</v>
      </c>
      <c r="KO37" s="1071"/>
      <c r="KP37" s="1072">
        <f>(JW38*JX38*JY38)+(JZ38*KA38*KB38)+(KC38*KD38*KE38)+(KF38*KG38*KH38)+(KI38*KJ38*KK38)+(KL38*KM38*KN38)</f>
        <v>0</v>
      </c>
      <c r="KQ37" s="1068"/>
      <c r="KR37" s="1070"/>
      <c r="KT37" s="1075"/>
      <c r="KU37" s="460" t="s">
        <v>59</v>
      </c>
      <c r="KV37" s="460" t="s">
        <v>73</v>
      </c>
      <c r="KW37" s="461" t="s">
        <v>4</v>
      </c>
      <c r="KX37" s="460" t="s">
        <v>59</v>
      </c>
      <c r="KY37" s="460" t="s">
        <v>73</v>
      </c>
      <c r="KZ37" s="461" t="s">
        <v>4</v>
      </c>
      <c r="LA37" s="460" t="s">
        <v>59</v>
      </c>
      <c r="LB37" s="460" t="s">
        <v>73</v>
      </c>
      <c r="LC37" s="461" t="s">
        <v>4</v>
      </c>
      <c r="LD37" s="460" t="s">
        <v>59</v>
      </c>
      <c r="LE37" s="460" t="s">
        <v>73</v>
      </c>
      <c r="LF37" s="461" t="s">
        <v>4</v>
      </c>
      <c r="LG37" s="460" t="s">
        <v>59</v>
      </c>
      <c r="LH37" s="460" t="s">
        <v>73</v>
      </c>
      <c r="LI37" s="461" t="s">
        <v>4</v>
      </c>
      <c r="LJ37" s="460" t="s">
        <v>59</v>
      </c>
      <c r="LK37" s="460" t="s">
        <v>73</v>
      </c>
      <c r="LL37" s="473" t="s">
        <v>4</v>
      </c>
      <c r="LM37" s="1004"/>
      <c r="LN37" s="1005">
        <f>(KU38*KV38*KW38)+(KX38*KY38*KZ38)+(LA38*LB38*LC38)+(LD38*LE38*LF38)+(LG38*LH38*LI38)+(LJ38*LK38*LL38)</f>
        <v>0</v>
      </c>
      <c r="LO37" s="940"/>
      <c r="LP37" s="1016"/>
    </row>
    <row r="38" spans="1:355" ht="15">
      <c r="A38" s="396" t="s">
        <v>577</v>
      </c>
      <c r="B38" s="396" t="s">
        <v>578</v>
      </c>
      <c r="C38" s="395" t="s">
        <v>72</v>
      </c>
      <c r="D38" s="231" t="s">
        <v>554</v>
      </c>
      <c r="E38" s="231" t="s">
        <v>559</v>
      </c>
      <c r="F38" s="231" t="s">
        <v>556</v>
      </c>
      <c r="G38" s="231" t="s">
        <v>557</v>
      </c>
      <c r="H38" s="231" t="s">
        <v>560</v>
      </c>
      <c r="I38" s="395" t="s">
        <v>385</v>
      </c>
      <c r="R38" s="872"/>
      <c r="S38" s="229">
        <v>4</v>
      </c>
      <c r="T38" s="229">
        <f>((12*1)+(8*3))/4</f>
        <v>9</v>
      </c>
      <c r="U38" s="229">
        <f>((12.5*1)+(17.5*3))/4</f>
        <v>16.25</v>
      </c>
      <c r="V38" s="229">
        <v>4</v>
      </c>
      <c r="W38" s="229">
        <f>((20*1)+(40*3))/4</f>
        <v>35</v>
      </c>
      <c r="X38" s="229">
        <f>AN36*(1.2/3)</f>
        <v>30.599999999999998</v>
      </c>
      <c r="Y38" s="229">
        <v>1</v>
      </c>
      <c r="Z38" s="229">
        <v>2</v>
      </c>
      <c r="AA38" s="229">
        <f>AN36</f>
        <v>76.5</v>
      </c>
      <c r="AB38" s="229">
        <v>3</v>
      </c>
      <c r="AC38" s="229">
        <f>((12*1)+(8*2))/3</f>
        <v>9.3333333333333339</v>
      </c>
      <c r="AD38" s="229">
        <f>((3.5*1)+(13.5*2))/3</f>
        <v>10.166666666666666</v>
      </c>
      <c r="AE38" s="233"/>
      <c r="AF38" s="233"/>
      <c r="AG38" s="233"/>
      <c r="AH38" s="233"/>
      <c r="AI38" s="233"/>
      <c r="AJ38" s="472"/>
      <c r="AK38" s="1007"/>
      <c r="AL38" s="1002"/>
      <c r="AM38" s="941"/>
      <c r="AN38" s="855"/>
      <c r="AO38" s="118"/>
      <c r="AP38" s="875"/>
      <c r="AQ38" s="305">
        <v>4</v>
      </c>
      <c r="AR38" s="306">
        <f>((12*1)+(10*1)+(8*2))/4</f>
        <v>9.5</v>
      </c>
      <c r="AS38" s="305">
        <f>((27*1)+(59*3))/4</f>
        <v>51</v>
      </c>
      <c r="AT38" s="305">
        <v>4</v>
      </c>
      <c r="AU38" s="306">
        <f>((12*1)+(6*2)+(8*1))/4</f>
        <v>8</v>
      </c>
      <c r="AV38" s="305">
        <f>((11.3*1)+(20.1*3))/4</f>
        <v>17.900000000000002</v>
      </c>
      <c r="AW38" s="305">
        <v>4</v>
      </c>
      <c r="AX38" s="306">
        <v>16</v>
      </c>
      <c r="AY38" s="305">
        <f>((12.5*1)+(25*3))/4</f>
        <v>21.875</v>
      </c>
      <c r="AZ38" s="305">
        <v>4</v>
      </c>
      <c r="BA38" s="305">
        <f>((12*1)+(14*3))/4</f>
        <v>13.5</v>
      </c>
      <c r="BB38" s="305">
        <f>((15.9*1)+(34*3))/4</f>
        <v>29.475000000000001</v>
      </c>
      <c r="BC38" s="305">
        <v>4</v>
      </c>
      <c r="BD38" s="305">
        <f>((12*1)+(8*3))/4</f>
        <v>9</v>
      </c>
      <c r="BE38" s="305">
        <f>((10*1)+(17.5*3))/4</f>
        <v>15.625</v>
      </c>
      <c r="BF38" s="233"/>
      <c r="BG38" s="233"/>
      <c r="BH38" s="472"/>
      <c r="BI38" s="1007"/>
      <c r="BJ38" s="1003"/>
      <c r="BK38" s="941"/>
      <c r="BL38" s="1016"/>
      <c r="BM38" s="118"/>
      <c r="BN38" s="875"/>
      <c r="BO38" s="305">
        <v>4</v>
      </c>
      <c r="BP38" s="306">
        <f>((12*4))/4</f>
        <v>12</v>
      </c>
      <c r="BQ38" s="305">
        <f>((32*1)+(59*3))/4</f>
        <v>52.25</v>
      </c>
      <c r="BR38" s="305">
        <v>4</v>
      </c>
      <c r="BS38" s="305">
        <f>((12*1)+(6*3))/4</f>
        <v>7.5</v>
      </c>
      <c r="BT38" s="306">
        <f>((11.3*1)+(22.7*3))/4</f>
        <v>19.849999999999998</v>
      </c>
      <c r="BU38" s="305">
        <v>4</v>
      </c>
      <c r="BV38" s="306">
        <f>((12*1)+(16*3))/4</f>
        <v>15</v>
      </c>
      <c r="BW38" s="305">
        <f>((15.9*1)+(34*3))/4</f>
        <v>29.475000000000001</v>
      </c>
      <c r="BX38" s="229">
        <v>4</v>
      </c>
      <c r="BY38" s="229">
        <f>((12*1)+(16*3))/4</f>
        <v>15</v>
      </c>
      <c r="BZ38" s="229">
        <f>((15.9*1)+(34*3))/4</f>
        <v>29.475000000000001</v>
      </c>
      <c r="CA38" s="305">
        <v>4</v>
      </c>
      <c r="CB38" s="306">
        <f>((12*4))/4</f>
        <v>12</v>
      </c>
      <c r="CC38" s="305">
        <f>((10*1)+(17.5*3))/4</f>
        <v>15.625</v>
      </c>
      <c r="CD38" s="233"/>
      <c r="CE38" s="233"/>
      <c r="CF38" s="472"/>
      <c r="CG38" s="1007"/>
      <c r="CH38" s="1006"/>
      <c r="CI38" s="941"/>
      <c r="CJ38" s="1016"/>
      <c r="CL38" s="1063"/>
      <c r="CM38" s="233"/>
      <c r="CN38" s="233"/>
      <c r="CO38" s="233"/>
      <c r="CP38" s="233"/>
      <c r="CQ38" s="233"/>
      <c r="CR38" s="233"/>
      <c r="CS38" s="233"/>
      <c r="CT38" s="233"/>
      <c r="CU38" s="233"/>
      <c r="CV38" s="233"/>
      <c r="CW38" s="233"/>
      <c r="CX38" s="233"/>
      <c r="CY38" s="233"/>
      <c r="CZ38" s="233"/>
      <c r="DA38" s="233"/>
      <c r="DB38" s="233"/>
      <c r="DC38" s="233"/>
      <c r="DD38" s="477"/>
      <c r="DE38" s="1007"/>
      <c r="DF38" s="1006"/>
      <c r="DG38" s="941"/>
      <c r="DH38" s="1016"/>
      <c r="DJ38" s="1076"/>
      <c r="DK38" s="462"/>
      <c r="DL38" s="462"/>
      <c r="DM38" s="462"/>
      <c r="DN38" s="462"/>
      <c r="DO38" s="462"/>
      <c r="DP38" s="462"/>
      <c r="DQ38" s="462"/>
      <c r="DR38" s="462"/>
      <c r="DS38" s="462"/>
      <c r="DT38" s="462"/>
      <c r="DU38" s="462"/>
      <c r="DV38" s="462"/>
      <c r="DW38" s="462"/>
      <c r="DX38" s="462"/>
      <c r="DY38" s="462"/>
      <c r="DZ38" s="462"/>
      <c r="EA38" s="462"/>
      <c r="EB38" s="474"/>
      <c r="EC38" s="1007"/>
      <c r="ED38" s="1006"/>
      <c r="EE38" s="941"/>
      <c r="EF38" s="1016"/>
      <c r="EH38" s="1050"/>
      <c r="EI38" s="462"/>
      <c r="EJ38" s="462"/>
      <c r="EK38" s="462"/>
      <c r="EL38" s="462"/>
      <c r="EM38" s="462"/>
      <c r="EN38" s="462"/>
      <c r="EO38" s="462"/>
      <c r="EP38" s="462"/>
      <c r="EQ38" s="462"/>
      <c r="ER38" s="462"/>
      <c r="ES38" s="462"/>
      <c r="ET38" s="462"/>
      <c r="EU38" s="462"/>
      <c r="EV38" s="462"/>
      <c r="EW38" s="462"/>
      <c r="EX38" s="462"/>
      <c r="EY38" s="462"/>
      <c r="EZ38" s="474"/>
      <c r="FA38" s="1007"/>
      <c r="FB38" s="1006"/>
      <c r="FC38" s="941"/>
      <c r="FD38" s="1016"/>
      <c r="FF38" s="1063"/>
      <c r="FG38" s="462"/>
      <c r="FH38" s="462"/>
      <c r="FI38" s="462"/>
      <c r="FJ38" s="462"/>
      <c r="FK38" s="462"/>
      <c r="FL38" s="462"/>
      <c r="FM38" s="462"/>
      <c r="FN38" s="462"/>
      <c r="FO38" s="462"/>
      <c r="FP38" s="462"/>
      <c r="FQ38" s="462"/>
      <c r="FR38" s="462"/>
      <c r="FS38" s="462"/>
      <c r="FT38" s="462"/>
      <c r="FU38" s="462"/>
      <c r="FV38" s="462"/>
      <c r="FW38" s="462"/>
      <c r="FX38" s="474"/>
      <c r="FY38" s="1007"/>
      <c r="FZ38" s="1006"/>
      <c r="GA38" s="941"/>
      <c r="GB38" s="1016"/>
      <c r="GD38" s="1040"/>
      <c r="GE38" s="462"/>
      <c r="GF38" s="462"/>
      <c r="GG38" s="462"/>
      <c r="GH38" s="462"/>
      <c r="GI38" s="462"/>
      <c r="GJ38" s="462"/>
      <c r="GK38" s="462"/>
      <c r="GL38" s="462"/>
      <c r="GM38" s="462"/>
      <c r="GN38" s="462"/>
      <c r="GO38" s="462"/>
      <c r="GP38" s="462"/>
      <c r="GQ38" s="462"/>
      <c r="GR38" s="462"/>
      <c r="GS38" s="462"/>
      <c r="GT38" s="462"/>
      <c r="GU38" s="462"/>
      <c r="GV38" s="474"/>
      <c r="GW38" s="1007"/>
      <c r="GX38" s="1006"/>
      <c r="GY38" s="941"/>
      <c r="GZ38" s="1016"/>
      <c r="HB38" s="1053"/>
      <c r="HC38" s="494"/>
      <c r="HD38" s="494"/>
      <c r="HE38" s="494"/>
      <c r="HF38" s="494"/>
      <c r="HG38" s="494"/>
      <c r="HH38" s="494"/>
      <c r="HI38" s="494"/>
      <c r="HJ38" s="494"/>
      <c r="HK38" s="494"/>
      <c r="HL38" s="494"/>
      <c r="HM38" s="494"/>
      <c r="HN38" s="494"/>
      <c r="HO38" s="494"/>
      <c r="HP38" s="494"/>
      <c r="HQ38" s="494"/>
      <c r="HR38" s="494"/>
      <c r="HS38" s="494"/>
      <c r="HT38" s="495"/>
      <c r="HU38" s="1081"/>
      <c r="HV38" s="1073"/>
      <c r="HW38" s="1069"/>
      <c r="HX38" s="1070"/>
      <c r="HZ38" s="1066"/>
      <c r="IA38" s="462"/>
      <c r="IB38" s="462"/>
      <c r="IC38" s="462"/>
      <c r="ID38" s="462"/>
      <c r="IE38" s="462"/>
      <c r="IF38" s="462"/>
      <c r="IG38" s="462"/>
      <c r="IH38" s="462"/>
      <c r="II38" s="462"/>
      <c r="IJ38" s="462"/>
      <c r="IK38" s="462"/>
      <c r="IL38" s="462"/>
      <c r="IM38" s="462"/>
      <c r="IN38" s="462"/>
      <c r="IO38" s="462"/>
      <c r="IP38" s="462"/>
      <c r="IQ38" s="462"/>
      <c r="IR38" s="474"/>
      <c r="IS38" s="1007"/>
      <c r="IT38" s="1006"/>
      <c r="IU38" s="941"/>
      <c r="IV38" s="1016"/>
      <c r="IX38" s="1043"/>
      <c r="IY38" s="462"/>
      <c r="IZ38" s="462"/>
      <c r="JA38" s="462"/>
      <c r="JB38" s="462"/>
      <c r="JC38" s="462"/>
      <c r="JD38" s="462"/>
      <c r="JE38" s="462"/>
      <c r="JF38" s="462"/>
      <c r="JG38" s="462"/>
      <c r="JH38" s="462"/>
      <c r="JI38" s="462"/>
      <c r="JJ38" s="462"/>
      <c r="JK38" s="462"/>
      <c r="JL38" s="462"/>
      <c r="JM38" s="462"/>
      <c r="JN38" s="462"/>
      <c r="JO38" s="462"/>
      <c r="JP38" s="474"/>
      <c r="JQ38" s="1007"/>
      <c r="JR38" s="1006"/>
      <c r="JS38" s="941"/>
      <c r="JT38" s="1016"/>
      <c r="JV38" s="1053"/>
      <c r="JW38" s="494"/>
      <c r="JX38" s="494"/>
      <c r="JY38" s="494"/>
      <c r="JZ38" s="494"/>
      <c r="KA38" s="494"/>
      <c r="KB38" s="494"/>
      <c r="KC38" s="494"/>
      <c r="KD38" s="494"/>
      <c r="KE38" s="494"/>
      <c r="KF38" s="494"/>
      <c r="KG38" s="494"/>
      <c r="KH38" s="494"/>
      <c r="KI38" s="494"/>
      <c r="KJ38" s="494"/>
      <c r="KK38" s="494"/>
      <c r="KL38" s="494"/>
      <c r="KM38" s="494"/>
      <c r="KN38" s="495"/>
      <c r="KO38" s="1081"/>
      <c r="KP38" s="1073"/>
      <c r="KQ38" s="1069"/>
      <c r="KR38" s="1070"/>
      <c r="KT38" s="1076"/>
      <c r="KU38" s="462"/>
      <c r="KV38" s="462"/>
      <c r="KW38" s="462"/>
      <c r="KX38" s="462"/>
      <c r="KY38" s="462"/>
      <c r="KZ38" s="462"/>
      <c r="LA38" s="462"/>
      <c r="LB38" s="462"/>
      <c r="LC38" s="462"/>
      <c r="LD38" s="462"/>
      <c r="LE38" s="462"/>
      <c r="LF38" s="462"/>
      <c r="LG38" s="462"/>
      <c r="LH38" s="462"/>
      <c r="LI38" s="462"/>
      <c r="LJ38" s="462"/>
      <c r="LK38" s="462"/>
      <c r="LL38" s="474"/>
      <c r="LM38" s="1007"/>
      <c r="LN38" s="1006"/>
      <c r="LO38" s="941"/>
      <c r="LP38" s="1016"/>
    </row>
    <row r="39" spans="1:355" ht="15">
      <c r="A39" s="231"/>
      <c r="B39" s="231"/>
      <c r="C39" s="395" t="s">
        <v>146</v>
      </c>
      <c r="D39" s="231" t="s">
        <v>554</v>
      </c>
      <c r="E39" s="231" t="s">
        <v>563</v>
      </c>
      <c r="F39" s="231" t="s">
        <v>556</v>
      </c>
      <c r="G39" s="231" t="s">
        <v>557</v>
      </c>
      <c r="H39" s="231" t="s">
        <v>558</v>
      </c>
      <c r="I39" s="395" t="s">
        <v>561</v>
      </c>
      <c r="R39" s="856">
        <v>46035</v>
      </c>
      <c r="S39" s="844"/>
      <c r="T39" s="844"/>
      <c r="U39" s="844"/>
      <c r="V39" s="844"/>
      <c r="W39" s="844"/>
      <c r="X39" s="844"/>
      <c r="Y39" s="844"/>
      <c r="Z39" s="844"/>
      <c r="AA39" s="844"/>
      <c r="AB39" s="844"/>
      <c r="AC39" s="844"/>
      <c r="AD39" s="844"/>
      <c r="AE39" s="834"/>
      <c r="AF39" s="835"/>
      <c r="AG39" s="836"/>
      <c r="AH39" s="834"/>
      <c r="AI39" s="835"/>
      <c r="AJ39" s="835"/>
      <c r="AK39" s="459" t="s">
        <v>425</v>
      </c>
      <c r="AL39" s="1">
        <f t="shared" ref="AL39" si="56">COUNTA(S39:AJ39)</f>
        <v>0</v>
      </c>
      <c r="AM39" s="939"/>
      <c r="AN39" s="855">
        <f>AN36</f>
        <v>76.5</v>
      </c>
      <c r="AO39" s="118"/>
      <c r="AP39" s="876">
        <v>46066</v>
      </c>
      <c r="AQ39" s="849" t="s">
        <v>434</v>
      </c>
      <c r="AR39" s="849"/>
      <c r="AS39" s="849"/>
      <c r="AT39" s="848" t="s">
        <v>68</v>
      </c>
      <c r="AU39" s="848"/>
      <c r="AV39" s="848"/>
      <c r="AW39" s="848" t="s">
        <v>380</v>
      </c>
      <c r="AX39" s="848"/>
      <c r="AY39" s="848"/>
      <c r="AZ39" s="848" t="s">
        <v>391</v>
      </c>
      <c r="BA39" s="848"/>
      <c r="BB39" s="848"/>
      <c r="BC39" s="834"/>
      <c r="BD39" s="835"/>
      <c r="BE39" s="836"/>
      <c r="BF39" s="834"/>
      <c r="BG39" s="835"/>
      <c r="BH39" s="835"/>
      <c r="BI39" s="459" t="s">
        <v>425</v>
      </c>
      <c r="BJ39" s="482">
        <f t="shared" si="32"/>
        <v>4</v>
      </c>
      <c r="BK39" s="939"/>
      <c r="BL39" s="1016">
        <v>76.900000000000006</v>
      </c>
      <c r="BM39" s="118"/>
      <c r="BN39" s="876">
        <v>46094</v>
      </c>
      <c r="BO39" s="890" t="s">
        <v>379</v>
      </c>
      <c r="BP39" s="890"/>
      <c r="BQ39" s="890"/>
      <c r="BR39" s="848" t="s">
        <v>68</v>
      </c>
      <c r="BS39" s="848"/>
      <c r="BT39" s="848"/>
      <c r="BU39" s="977" t="s">
        <v>380</v>
      </c>
      <c r="BV39" s="977"/>
      <c r="BW39" s="977"/>
      <c r="BX39" s="882" t="s">
        <v>391</v>
      </c>
      <c r="BY39" s="883"/>
      <c r="BZ39" s="884"/>
      <c r="CA39" s="897" t="s">
        <v>617</v>
      </c>
      <c r="CB39" s="898"/>
      <c r="CC39" s="899"/>
      <c r="CD39" s="834"/>
      <c r="CE39" s="835"/>
      <c r="CF39" s="835"/>
      <c r="CG39" s="459" t="s">
        <v>425</v>
      </c>
      <c r="CH39" s="482">
        <f t="shared" ref="CH39" si="57">COUNTA(BO39:CF39)</f>
        <v>5</v>
      </c>
      <c r="CI39" s="939">
        <v>8</v>
      </c>
      <c r="CJ39" s="1016">
        <v>78.5</v>
      </c>
      <c r="CL39" s="1064">
        <v>46125</v>
      </c>
      <c r="CM39" s="890" t="s">
        <v>131</v>
      </c>
      <c r="CN39" s="890"/>
      <c r="CO39" s="890"/>
      <c r="CP39" s="849" t="s">
        <v>72</v>
      </c>
      <c r="CQ39" s="849"/>
      <c r="CR39" s="849"/>
      <c r="CS39" s="977" t="s">
        <v>756</v>
      </c>
      <c r="CT39" s="977"/>
      <c r="CU39" s="977"/>
      <c r="CV39" s="897" t="s">
        <v>617</v>
      </c>
      <c r="CW39" s="898"/>
      <c r="CX39" s="899"/>
      <c r="CY39" s="890" t="s">
        <v>779</v>
      </c>
      <c r="CZ39" s="890"/>
      <c r="DA39" s="890"/>
      <c r="DB39" s="897" t="s">
        <v>106</v>
      </c>
      <c r="DC39" s="898"/>
      <c r="DD39" s="898"/>
      <c r="DE39" s="459" t="s">
        <v>425</v>
      </c>
      <c r="DF39" s="482">
        <f>COUNTA(CM39:DD39)</f>
        <v>6</v>
      </c>
      <c r="DG39" s="939">
        <v>9.5</v>
      </c>
      <c r="DH39" s="1016">
        <v>76.3</v>
      </c>
      <c r="DJ39" s="1038">
        <v>46155</v>
      </c>
      <c r="DK39" s="960"/>
      <c r="DL39" s="960"/>
      <c r="DM39" s="960"/>
      <c r="DN39" s="960"/>
      <c r="DO39" s="960"/>
      <c r="DP39" s="960"/>
      <c r="DQ39" s="960"/>
      <c r="DR39" s="960"/>
      <c r="DS39" s="960"/>
      <c r="DT39" s="960"/>
      <c r="DU39" s="960"/>
      <c r="DV39" s="960"/>
      <c r="DW39" s="961"/>
      <c r="DX39" s="962"/>
      <c r="DY39" s="963"/>
      <c r="DZ39" s="961"/>
      <c r="EA39" s="962"/>
      <c r="EB39" s="962"/>
      <c r="EC39" s="459" t="s">
        <v>425</v>
      </c>
      <c r="ED39" s="482">
        <f>COUNTA(DK39:EB39)</f>
        <v>0</v>
      </c>
      <c r="EE39" s="939"/>
      <c r="EF39" s="1016"/>
      <c r="EH39" s="1051">
        <v>46186</v>
      </c>
      <c r="EI39" s="1023"/>
      <c r="EJ39" s="1023"/>
      <c r="EK39" s="1023"/>
      <c r="EL39" s="1023"/>
      <c r="EM39" s="1023"/>
      <c r="EN39" s="1023"/>
      <c r="EO39" s="1023"/>
      <c r="EP39" s="1023"/>
      <c r="EQ39" s="1023"/>
      <c r="ER39" s="1023"/>
      <c r="ES39" s="1023"/>
      <c r="ET39" s="1023"/>
      <c r="EU39" s="1021"/>
      <c r="EV39" s="1022"/>
      <c r="EW39" s="1024"/>
      <c r="EX39" s="1021"/>
      <c r="EY39" s="1022"/>
      <c r="EZ39" s="1022"/>
      <c r="FA39" s="489" t="s">
        <v>425</v>
      </c>
      <c r="FB39" s="496">
        <f>COUNTA(EI39:EZ39)</f>
        <v>0</v>
      </c>
      <c r="FC39" s="1067"/>
      <c r="FD39" s="1070"/>
      <c r="FF39" s="1064">
        <v>46216</v>
      </c>
      <c r="FG39" s="960"/>
      <c r="FH39" s="960"/>
      <c r="FI39" s="960"/>
      <c r="FJ39" s="960"/>
      <c r="FK39" s="960"/>
      <c r="FL39" s="960"/>
      <c r="FM39" s="960"/>
      <c r="FN39" s="960"/>
      <c r="FO39" s="960"/>
      <c r="FP39" s="960"/>
      <c r="FQ39" s="960"/>
      <c r="FR39" s="960"/>
      <c r="FS39" s="961"/>
      <c r="FT39" s="962"/>
      <c r="FU39" s="963"/>
      <c r="FV39" s="961"/>
      <c r="FW39" s="962"/>
      <c r="FX39" s="962"/>
      <c r="FY39" s="459" t="s">
        <v>425</v>
      </c>
      <c r="FZ39" s="482">
        <f>COUNTA(FG39:FX39)</f>
        <v>0</v>
      </c>
      <c r="GA39" s="939"/>
      <c r="GB39" s="1016"/>
      <c r="GD39" s="1041">
        <v>46247</v>
      </c>
      <c r="GE39" s="960"/>
      <c r="GF39" s="960"/>
      <c r="GG39" s="960"/>
      <c r="GH39" s="960"/>
      <c r="GI39" s="960"/>
      <c r="GJ39" s="960"/>
      <c r="GK39" s="960"/>
      <c r="GL39" s="960"/>
      <c r="GM39" s="960"/>
      <c r="GN39" s="960"/>
      <c r="GO39" s="960"/>
      <c r="GP39" s="960"/>
      <c r="GQ39" s="961"/>
      <c r="GR39" s="962"/>
      <c r="GS39" s="963"/>
      <c r="GT39" s="961"/>
      <c r="GU39" s="962"/>
      <c r="GV39" s="962"/>
      <c r="GW39" s="459" t="s">
        <v>425</v>
      </c>
      <c r="GX39" s="482">
        <f>COUNTA(GE39:GV39)</f>
        <v>0</v>
      </c>
      <c r="GY39" s="939"/>
      <c r="GZ39" s="1016"/>
      <c r="HB39" s="1061">
        <v>46278</v>
      </c>
      <c r="HC39" s="960"/>
      <c r="HD39" s="960"/>
      <c r="HE39" s="960"/>
      <c r="HF39" s="960"/>
      <c r="HG39" s="960"/>
      <c r="HH39" s="960"/>
      <c r="HI39" s="960"/>
      <c r="HJ39" s="960"/>
      <c r="HK39" s="960"/>
      <c r="HL39" s="960"/>
      <c r="HM39" s="960"/>
      <c r="HN39" s="960"/>
      <c r="HO39" s="961"/>
      <c r="HP39" s="962"/>
      <c r="HQ39" s="963"/>
      <c r="HR39" s="961"/>
      <c r="HS39" s="962"/>
      <c r="HT39" s="962"/>
      <c r="HU39" s="459" t="s">
        <v>425</v>
      </c>
      <c r="HV39" s="482">
        <f>COUNTA(HC39:HT39)</f>
        <v>0</v>
      </c>
      <c r="HW39" s="939"/>
      <c r="HX39" s="1016"/>
      <c r="HZ39" s="1074">
        <v>46308</v>
      </c>
      <c r="IA39" s="960"/>
      <c r="IB39" s="960"/>
      <c r="IC39" s="960"/>
      <c r="ID39" s="960"/>
      <c r="IE39" s="960"/>
      <c r="IF39" s="960"/>
      <c r="IG39" s="960"/>
      <c r="IH39" s="960"/>
      <c r="II39" s="960"/>
      <c r="IJ39" s="960"/>
      <c r="IK39" s="960"/>
      <c r="IL39" s="960"/>
      <c r="IM39" s="961"/>
      <c r="IN39" s="962"/>
      <c r="IO39" s="963"/>
      <c r="IP39" s="961"/>
      <c r="IQ39" s="962"/>
      <c r="IR39" s="962"/>
      <c r="IS39" s="459" t="s">
        <v>425</v>
      </c>
      <c r="IT39" s="482">
        <f>COUNTA(IA39:IR39)</f>
        <v>0</v>
      </c>
      <c r="IU39" s="939"/>
      <c r="IV39" s="1016"/>
      <c r="IX39" s="1048">
        <v>46339</v>
      </c>
      <c r="IY39" s="960"/>
      <c r="IZ39" s="960"/>
      <c r="JA39" s="960"/>
      <c r="JB39" s="960"/>
      <c r="JC39" s="960"/>
      <c r="JD39" s="960"/>
      <c r="JE39" s="960"/>
      <c r="JF39" s="960"/>
      <c r="JG39" s="960"/>
      <c r="JH39" s="960"/>
      <c r="JI39" s="960"/>
      <c r="JJ39" s="960"/>
      <c r="JK39" s="961"/>
      <c r="JL39" s="962"/>
      <c r="JM39" s="963"/>
      <c r="JN39" s="961"/>
      <c r="JO39" s="962"/>
      <c r="JP39" s="962"/>
      <c r="JQ39" s="459" t="s">
        <v>425</v>
      </c>
      <c r="JR39" s="482">
        <f>COUNTA(IY39:JP39)</f>
        <v>0</v>
      </c>
      <c r="JS39" s="939"/>
      <c r="JT39" s="1016"/>
      <c r="JV39" s="1061">
        <v>46369</v>
      </c>
      <c r="JW39" s="960"/>
      <c r="JX39" s="960"/>
      <c r="JY39" s="960"/>
      <c r="JZ39" s="960"/>
      <c r="KA39" s="960"/>
      <c r="KB39" s="960"/>
      <c r="KC39" s="960"/>
      <c r="KD39" s="960"/>
      <c r="KE39" s="960"/>
      <c r="KF39" s="960"/>
      <c r="KG39" s="960"/>
      <c r="KH39" s="960"/>
      <c r="KI39" s="961"/>
      <c r="KJ39" s="962"/>
      <c r="KK39" s="963"/>
      <c r="KL39" s="961"/>
      <c r="KM39" s="962"/>
      <c r="KN39" s="962"/>
      <c r="KO39" s="459" t="s">
        <v>425</v>
      </c>
      <c r="KP39" s="482">
        <f>COUNTA(JW39:KN39)</f>
        <v>0</v>
      </c>
      <c r="KQ39" s="939"/>
      <c r="KR39" s="1016"/>
      <c r="KT39" s="1038">
        <v>46400</v>
      </c>
      <c r="KU39" s="960"/>
      <c r="KV39" s="960"/>
      <c r="KW39" s="960"/>
      <c r="KX39" s="960"/>
      <c r="KY39" s="960"/>
      <c r="KZ39" s="960"/>
      <c r="LA39" s="960"/>
      <c r="LB39" s="960"/>
      <c r="LC39" s="960"/>
      <c r="LD39" s="960"/>
      <c r="LE39" s="960"/>
      <c r="LF39" s="960"/>
      <c r="LG39" s="961"/>
      <c r="LH39" s="962"/>
      <c r="LI39" s="963"/>
      <c r="LJ39" s="961"/>
      <c r="LK39" s="962"/>
      <c r="LL39" s="962"/>
      <c r="LM39" s="459" t="s">
        <v>425</v>
      </c>
      <c r="LN39" s="482">
        <f>COUNTA(KU39:LL39)</f>
        <v>0</v>
      </c>
      <c r="LO39" s="939"/>
      <c r="LP39" s="1016"/>
    </row>
    <row r="40" spans="1:355" ht="15">
      <c r="A40" s="231"/>
      <c r="B40" s="231"/>
      <c r="C40" s="395" t="s">
        <v>91</v>
      </c>
      <c r="D40" s="231" t="s">
        <v>554</v>
      </c>
      <c r="E40" s="231" t="s">
        <v>563</v>
      </c>
      <c r="F40" s="231" t="s">
        <v>556</v>
      </c>
      <c r="G40" s="231" t="s">
        <v>557</v>
      </c>
      <c r="H40" s="231" t="s">
        <v>560</v>
      </c>
      <c r="I40" s="395" t="s">
        <v>387</v>
      </c>
      <c r="R40" s="857"/>
      <c r="S40" s="107" t="s">
        <v>59</v>
      </c>
      <c r="T40" s="107" t="s">
        <v>73</v>
      </c>
      <c r="U40" s="108" t="s">
        <v>4</v>
      </c>
      <c r="V40" s="107" t="s">
        <v>59</v>
      </c>
      <c r="W40" s="107" t="s">
        <v>73</v>
      </c>
      <c r="X40" s="108" t="s">
        <v>4</v>
      </c>
      <c r="Y40" s="107" t="s">
        <v>59</v>
      </c>
      <c r="Z40" s="107" t="s">
        <v>73</v>
      </c>
      <c r="AA40" s="108" t="s">
        <v>4</v>
      </c>
      <c r="AB40" s="107" t="s">
        <v>59</v>
      </c>
      <c r="AC40" s="107" t="s">
        <v>73</v>
      </c>
      <c r="AD40" s="108" t="s">
        <v>4</v>
      </c>
      <c r="AE40" s="107" t="s">
        <v>59</v>
      </c>
      <c r="AF40" s="107" t="s">
        <v>73</v>
      </c>
      <c r="AG40" s="108" t="s">
        <v>4</v>
      </c>
      <c r="AH40" s="107" t="s">
        <v>59</v>
      </c>
      <c r="AI40" s="107" t="s">
        <v>73</v>
      </c>
      <c r="AJ40" s="471" t="s">
        <v>4</v>
      </c>
      <c r="AK40" s="1004">
        <v>0</v>
      </c>
      <c r="AL40" s="1002">
        <f t="shared" ref="AL40" si="58">(S41*T41*U41)+(V41*W41*X41)+(Y41*Z41*AA41)+(AB41*AC41*AD41)+(AE41*AF41*AG41)+(AH41*AI41*AJ41)</f>
        <v>0</v>
      </c>
      <c r="AM40" s="940"/>
      <c r="AN40" s="855"/>
      <c r="AO40" s="118"/>
      <c r="AP40" s="877"/>
      <c r="AQ40" s="231" t="s">
        <v>59</v>
      </c>
      <c r="AR40" s="231" t="s">
        <v>73</v>
      </c>
      <c r="AS40" s="102" t="s">
        <v>4</v>
      </c>
      <c r="AT40" s="231" t="s">
        <v>59</v>
      </c>
      <c r="AU40" s="231" t="s">
        <v>73</v>
      </c>
      <c r="AV40" s="102" t="s">
        <v>4</v>
      </c>
      <c r="AW40" s="231" t="s">
        <v>59</v>
      </c>
      <c r="AX40" s="231" t="s">
        <v>73</v>
      </c>
      <c r="AY40" s="102" t="s">
        <v>4</v>
      </c>
      <c r="AZ40" s="231" t="s">
        <v>59</v>
      </c>
      <c r="BA40" s="231" t="s">
        <v>73</v>
      </c>
      <c r="BB40" s="102" t="s">
        <v>4</v>
      </c>
      <c r="BC40" s="107" t="s">
        <v>59</v>
      </c>
      <c r="BD40" s="107" t="s">
        <v>73</v>
      </c>
      <c r="BE40" s="108" t="s">
        <v>4</v>
      </c>
      <c r="BF40" s="107" t="s">
        <v>59</v>
      </c>
      <c r="BG40" s="107" t="s">
        <v>73</v>
      </c>
      <c r="BH40" s="471" t="s">
        <v>4</v>
      </c>
      <c r="BI40" s="1004">
        <v>55</v>
      </c>
      <c r="BJ40" s="1003">
        <f t="shared" si="35"/>
        <v>5757.1388888888887</v>
      </c>
      <c r="BK40" s="940"/>
      <c r="BL40" s="1016"/>
      <c r="BM40" s="118"/>
      <c r="BN40" s="877"/>
      <c r="BO40" s="231" t="s">
        <v>59</v>
      </c>
      <c r="BP40" s="231" t="s">
        <v>73</v>
      </c>
      <c r="BQ40" s="102" t="s">
        <v>4</v>
      </c>
      <c r="BR40" s="231" t="s">
        <v>59</v>
      </c>
      <c r="BS40" s="231" t="s">
        <v>73</v>
      </c>
      <c r="BT40" s="102" t="s">
        <v>4</v>
      </c>
      <c r="BU40" s="303" t="s">
        <v>59</v>
      </c>
      <c r="BV40" s="303" t="s">
        <v>73</v>
      </c>
      <c r="BW40" s="304" t="s">
        <v>4</v>
      </c>
      <c r="BX40" s="231" t="s">
        <v>59</v>
      </c>
      <c r="BY40" s="231" t="s">
        <v>73</v>
      </c>
      <c r="BZ40" s="102" t="s">
        <v>4</v>
      </c>
      <c r="CA40" s="231" t="s">
        <v>59</v>
      </c>
      <c r="CB40" s="231" t="s">
        <v>73</v>
      </c>
      <c r="CC40" s="102" t="s">
        <v>4</v>
      </c>
      <c r="CD40" s="107" t="s">
        <v>59</v>
      </c>
      <c r="CE40" s="107" t="s">
        <v>73</v>
      </c>
      <c r="CF40" s="471" t="s">
        <v>4</v>
      </c>
      <c r="CG40" s="1004">
        <f>60+4</f>
        <v>64</v>
      </c>
      <c r="CH40" s="1005">
        <f t="shared" ref="CH40" si="59">(BO41*BP41*BQ41)+(BR41*BS41*BT41)+(BU41*BV41*BW41)+(BX41*BY41*BZ41)+(CA41*CB41*CC41)+(CD41*CE41*CF41)</f>
        <v>7332</v>
      </c>
      <c r="CI40" s="940"/>
      <c r="CJ40" s="1016"/>
      <c r="CL40" s="1065"/>
      <c r="CM40" s="231" t="s">
        <v>59</v>
      </c>
      <c r="CN40" s="231" t="s">
        <v>73</v>
      </c>
      <c r="CO40" s="102" t="s">
        <v>4</v>
      </c>
      <c r="CP40" s="231" t="s">
        <v>59</v>
      </c>
      <c r="CQ40" s="231" t="s">
        <v>73</v>
      </c>
      <c r="CR40" s="102" t="s">
        <v>4</v>
      </c>
      <c r="CS40" s="231" t="s">
        <v>59</v>
      </c>
      <c r="CT40" s="231" t="s">
        <v>73</v>
      </c>
      <c r="CU40" s="102" t="s">
        <v>4</v>
      </c>
      <c r="CV40" s="231" t="s">
        <v>59</v>
      </c>
      <c r="CW40" s="231" t="s">
        <v>73</v>
      </c>
      <c r="CX40" s="102" t="s">
        <v>4</v>
      </c>
      <c r="CY40" s="231" t="s">
        <v>59</v>
      </c>
      <c r="CZ40" s="231" t="s">
        <v>73</v>
      </c>
      <c r="DA40" s="102" t="s">
        <v>4</v>
      </c>
      <c r="DB40" s="231" t="s">
        <v>59</v>
      </c>
      <c r="DC40" s="231" t="s">
        <v>73</v>
      </c>
      <c r="DD40" s="476" t="s">
        <v>4</v>
      </c>
      <c r="DE40" s="1004">
        <f>60+60+26</f>
        <v>146</v>
      </c>
      <c r="DF40" s="1005">
        <f>(CM41*CN41*CO41)+(CP41*CQ41*CR41)+(CS41*CT41*CU41)+(CV41*CW41*CX41)+(CY41*CZ41*DA41)+(DB41*DC41*DD41)</f>
        <v>6262.25</v>
      </c>
      <c r="DG40" s="940"/>
      <c r="DH40" s="1016"/>
      <c r="DJ40" s="1039"/>
      <c r="DK40" s="460" t="s">
        <v>59</v>
      </c>
      <c r="DL40" s="460" t="s">
        <v>73</v>
      </c>
      <c r="DM40" s="461" t="s">
        <v>4</v>
      </c>
      <c r="DN40" s="460" t="s">
        <v>59</v>
      </c>
      <c r="DO40" s="460" t="s">
        <v>73</v>
      </c>
      <c r="DP40" s="461" t="s">
        <v>4</v>
      </c>
      <c r="DQ40" s="460" t="s">
        <v>59</v>
      </c>
      <c r="DR40" s="460" t="s">
        <v>73</v>
      </c>
      <c r="DS40" s="461" t="s">
        <v>4</v>
      </c>
      <c r="DT40" s="460" t="s">
        <v>59</v>
      </c>
      <c r="DU40" s="460" t="s">
        <v>73</v>
      </c>
      <c r="DV40" s="461" t="s">
        <v>4</v>
      </c>
      <c r="DW40" s="460" t="s">
        <v>59</v>
      </c>
      <c r="DX40" s="460" t="s">
        <v>73</v>
      </c>
      <c r="DY40" s="461" t="s">
        <v>4</v>
      </c>
      <c r="DZ40" s="460" t="s">
        <v>59</v>
      </c>
      <c r="EA40" s="460" t="s">
        <v>73</v>
      </c>
      <c r="EB40" s="473" t="s">
        <v>4</v>
      </c>
      <c r="EC40" s="1004"/>
      <c r="ED40" s="1005">
        <f>(DK41*DL41*DM41)+(DN41*DO41*DP41)+(DQ41*DR41*DS41)+(DT41*DU41*DV41)+(DW41*DX41*DY41)+(DZ41*EA41*EB41)</f>
        <v>0</v>
      </c>
      <c r="EE40" s="940"/>
      <c r="EF40" s="1016"/>
      <c r="EH40" s="1052"/>
      <c r="EI40" s="491" t="s">
        <v>59</v>
      </c>
      <c r="EJ40" s="491" t="s">
        <v>73</v>
      </c>
      <c r="EK40" s="492" t="s">
        <v>4</v>
      </c>
      <c r="EL40" s="491" t="s">
        <v>59</v>
      </c>
      <c r="EM40" s="491" t="s">
        <v>73</v>
      </c>
      <c r="EN40" s="492" t="s">
        <v>4</v>
      </c>
      <c r="EO40" s="491" t="s">
        <v>59</v>
      </c>
      <c r="EP40" s="491" t="s">
        <v>73</v>
      </c>
      <c r="EQ40" s="492" t="s">
        <v>4</v>
      </c>
      <c r="ER40" s="491" t="s">
        <v>59</v>
      </c>
      <c r="ES40" s="491" t="s">
        <v>73</v>
      </c>
      <c r="ET40" s="492" t="s">
        <v>4</v>
      </c>
      <c r="EU40" s="491" t="s">
        <v>59</v>
      </c>
      <c r="EV40" s="491" t="s">
        <v>73</v>
      </c>
      <c r="EW40" s="492" t="s">
        <v>4</v>
      </c>
      <c r="EX40" s="491" t="s">
        <v>59</v>
      </c>
      <c r="EY40" s="491" t="s">
        <v>73</v>
      </c>
      <c r="EZ40" s="493" t="s">
        <v>4</v>
      </c>
      <c r="FA40" s="1071"/>
      <c r="FB40" s="1072">
        <f>(EI41*EJ41*EK41)+(EL41*EM41*EN41)+(EO41*EP41*EQ41)+(ER41*ES41*ET41)+(EU41*EV41*EW41)+(EX41*EY41*EZ41)</f>
        <v>0</v>
      </c>
      <c r="FC40" s="1068"/>
      <c r="FD40" s="1070"/>
      <c r="FF40" s="1065"/>
      <c r="FG40" s="460" t="s">
        <v>59</v>
      </c>
      <c r="FH40" s="460" t="s">
        <v>73</v>
      </c>
      <c r="FI40" s="461" t="s">
        <v>4</v>
      </c>
      <c r="FJ40" s="460" t="s">
        <v>59</v>
      </c>
      <c r="FK40" s="460" t="s">
        <v>73</v>
      </c>
      <c r="FL40" s="461" t="s">
        <v>4</v>
      </c>
      <c r="FM40" s="460" t="s">
        <v>59</v>
      </c>
      <c r="FN40" s="460" t="s">
        <v>73</v>
      </c>
      <c r="FO40" s="461" t="s">
        <v>4</v>
      </c>
      <c r="FP40" s="460" t="s">
        <v>59</v>
      </c>
      <c r="FQ40" s="460" t="s">
        <v>73</v>
      </c>
      <c r="FR40" s="461" t="s">
        <v>4</v>
      </c>
      <c r="FS40" s="460" t="s">
        <v>59</v>
      </c>
      <c r="FT40" s="460" t="s">
        <v>73</v>
      </c>
      <c r="FU40" s="461" t="s">
        <v>4</v>
      </c>
      <c r="FV40" s="460" t="s">
        <v>59</v>
      </c>
      <c r="FW40" s="460" t="s">
        <v>73</v>
      </c>
      <c r="FX40" s="473" t="s">
        <v>4</v>
      </c>
      <c r="FY40" s="1004"/>
      <c r="FZ40" s="1005">
        <f>(FG41*FH41*FI41)+(FJ41*FK41*FL41)+(FM41*FN41*FO41)+(FP41*FQ41*FR41)+(FS41*FT41*FU41)+(FV41*FW41*FX41)</f>
        <v>0</v>
      </c>
      <c r="GA40" s="940"/>
      <c r="GB40" s="1016"/>
      <c r="GD40" s="1042"/>
      <c r="GE40" s="460" t="s">
        <v>59</v>
      </c>
      <c r="GF40" s="460" t="s">
        <v>73</v>
      </c>
      <c r="GG40" s="461" t="s">
        <v>4</v>
      </c>
      <c r="GH40" s="460" t="s">
        <v>59</v>
      </c>
      <c r="GI40" s="460" t="s">
        <v>73</v>
      </c>
      <c r="GJ40" s="461" t="s">
        <v>4</v>
      </c>
      <c r="GK40" s="460" t="s">
        <v>59</v>
      </c>
      <c r="GL40" s="460" t="s">
        <v>73</v>
      </c>
      <c r="GM40" s="461" t="s">
        <v>4</v>
      </c>
      <c r="GN40" s="460" t="s">
        <v>59</v>
      </c>
      <c r="GO40" s="460" t="s">
        <v>73</v>
      </c>
      <c r="GP40" s="461" t="s">
        <v>4</v>
      </c>
      <c r="GQ40" s="460" t="s">
        <v>59</v>
      </c>
      <c r="GR40" s="460" t="s">
        <v>73</v>
      </c>
      <c r="GS40" s="461" t="s">
        <v>4</v>
      </c>
      <c r="GT40" s="460" t="s">
        <v>59</v>
      </c>
      <c r="GU40" s="460" t="s">
        <v>73</v>
      </c>
      <c r="GV40" s="473" t="s">
        <v>4</v>
      </c>
      <c r="GW40" s="1004"/>
      <c r="GX40" s="1005">
        <f>(GE41*GF41*GG41)+(GH41*GI41*GJ41)+(GK41*GL41*GM41)+(GN41*GO41*GP41)+(GQ41*GR41*GS41)+(GT41*GU41*GV41)</f>
        <v>0</v>
      </c>
      <c r="GY40" s="940"/>
      <c r="GZ40" s="1016"/>
      <c r="HB40" s="1062"/>
      <c r="HC40" s="460" t="s">
        <v>59</v>
      </c>
      <c r="HD40" s="460" t="s">
        <v>73</v>
      </c>
      <c r="HE40" s="461" t="s">
        <v>4</v>
      </c>
      <c r="HF40" s="460" t="s">
        <v>59</v>
      </c>
      <c r="HG40" s="460" t="s">
        <v>73</v>
      </c>
      <c r="HH40" s="461" t="s">
        <v>4</v>
      </c>
      <c r="HI40" s="460" t="s">
        <v>59</v>
      </c>
      <c r="HJ40" s="460" t="s">
        <v>73</v>
      </c>
      <c r="HK40" s="461" t="s">
        <v>4</v>
      </c>
      <c r="HL40" s="460" t="s">
        <v>59</v>
      </c>
      <c r="HM40" s="460" t="s">
        <v>73</v>
      </c>
      <c r="HN40" s="461" t="s">
        <v>4</v>
      </c>
      <c r="HO40" s="460" t="s">
        <v>59</v>
      </c>
      <c r="HP40" s="460" t="s">
        <v>73</v>
      </c>
      <c r="HQ40" s="461" t="s">
        <v>4</v>
      </c>
      <c r="HR40" s="460" t="s">
        <v>59</v>
      </c>
      <c r="HS40" s="460" t="s">
        <v>73</v>
      </c>
      <c r="HT40" s="473" t="s">
        <v>4</v>
      </c>
      <c r="HU40" s="1004"/>
      <c r="HV40" s="1005">
        <f>(HC41*HD41*HE41)+(HF41*HG41*HH41)+(HI41*HJ41*HK41)+(HL41*HM41*HN41)+(HO41*HP41*HQ41)+(HR41*HS41*HT41)</f>
        <v>0</v>
      </c>
      <c r="HW40" s="940"/>
      <c r="HX40" s="1016"/>
      <c r="HZ40" s="1075"/>
      <c r="IA40" s="460" t="s">
        <v>59</v>
      </c>
      <c r="IB40" s="460" t="s">
        <v>73</v>
      </c>
      <c r="IC40" s="461" t="s">
        <v>4</v>
      </c>
      <c r="ID40" s="460" t="s">
        <v>59</v>
      </c>
      <c r="IE40" s="460" t="s">
        <v>73</v>
      </c>
      <c r="IF40" s="461" t="s">
        <v>4</v>
      </c>
      <c r="IG40" s="460" t="s">
        <v>59</v>
      </c>
      <c r="IH40" s="460" t="s">
        <v>73</v>
      </c>
      <c r="II40" s="461" t="s">
        <v>4</v>
      </c>
      <c r="IJ40" s="460" t="s">
        <v>59</v>
      </c>
      <c r="IK40" s="460" t="s">
        <v>73</v>
      </c>
      <c r="IL40" s="461" t="s">
        <v>4</v>
      </c>
      <c r="IM40" s="460" t="s">
        <v>59</v>
      </c>
      <c r="IN40" s="460" t="s">
        <v>73</v>
      </c>
      <c r="IO40" s="461" t="s">
        <v>4</v>
      </c>
      <c r="IP40" s="460" t="s">
        <v>59</v>
      </c>
      <c r="IQ40" s="460" t="s">
        <v>73</v>
      </c>
      <c r="IR40" s="473" t="s">
        <v>4</v>
      </c>
      <c r="IS40" s="1004"/>
      <c r="IT40" s="1005">
        <f>(IA41*IB41*IC41)+(ID41*IE41*IF41)+(IG41*IH41*II41)+(IJ41*IK41*IL41)+(IM41*IN41*IO41)+(IP41*IQ41*IR41)</f>
        <v>0</v>
      </c>
      <c r="IU40" s="940"/>
      <c r="IV40" s="1016"/>
      <c r="IX40" s="1049"/>
      <c r="IY40" s="460" t="s">
        <v>59</v>
      </c>
      <c r="IZ40" s="460" t="s">
        <v>73</v>
      </c>
      <c r="JA40" s="461" t="s">
        <v>4</v>
      </c>
      <c r="JB40" s="460" t="s">
        <v>59</v>
      </c>
      <c r="JC40" s="460" t="s">
        <v>73</v>
      </c>
      <c r="JD40" s="461" t="s">
        <v>4</v>
      </c>
      <c r="JE40" s="460" t="s">
        <v>59</v>
      </c>
      <c r="JF40" s="460" t="s">
        <v>73</v>
      </c>
      <c r="JG40" s="461" t="s">
        <v>4</v>
      </c>
      <c r="JH40" s="460" t="s">
        <v>59</v>
      </c>
      <c r="JI40" s="460" t="s">
        <v>73</v>
      </c>
      <c r="JJ40" s="461" t="s">
        <v>4</v>
      </c>
      <c r="JK40" s="460" t="s">
        <v>59</v>
      </c>
      <c r="JL40" s="460" t="s">
        <v>73</v>
      </c>
      <c r="JM40" s="461" t="s">
        <v>4</v>
      </c>
      <c r="JN40" s="460" t="s">
        <v>59</v>
      </c>
      <c r="JO40" s="460" t="s">
        <v>73</v>
      </c>
      <c r="JP40" s="473" t="s">
        <v>4</v>
      </c>
      <c r="JQ40" s="1004"/>
      <c r="JR40" s="1005">
        <f>(IY41*IZ41*JA41)+(JB41*JC41*JD41)+(JE41*JF41*JG41)+(JH41*JI41*JJ41)+(JK41*JL41*JM41)+(JN41*JO41*JP41)</f>
        <v>0</v>
      </c>
      <c r="JS40" s="940"/>
      <c r="JT40" s="1016"/>
      <c r="JV40" s="1062"/>
      <c r="JW40" s="460" t="s">
        <v>59</v>
      </c>
      <c r="JX40" s="460" t="s">
        <v>73</v>
      </c>
      <c r="JY40" s="461" t="s">
        <v>4</v>
      </c>
      <c r="JZ40" s="460" t="s">
        <v>59</v>
      </c>
      <c r="KA40" s="460" t="s">
        <v>73</v>
      </c>
      <c r="KB40" s="461" t="s">
        <v>4</v>
      </c>
      <c r="KC40" s="460" t="s">
        <v>59</v>
      </c>
      <c r="KD40" s="460" t="s">
        <v>73</v>
      </c>
      <c r="KE40" s="461" t="s">
        <v>4</v>
      </c>
      <c r="KF40" s="460" t="s">
        <v>59</v>
      </c>
      <c r="KG40" s="460" t="s">
        <v>73</v>
      </c>
      <c r="KH40" s="461" t="s">
        <v>4</v>
      </c>
      <c r="KI40" s="460" t="s">
        <v>59</v>
      </c>
      <c r="KJ40" s="460" t="s">
        <v>73</v>
      </c>
      <c r="KK40" s="461" t="s">
        <v>4</v>
      </c>
      <c r="KL40" s="460" t="s">
        <v>59</v>
      </c>
      <c r="KM40" s="460" t="s">
        <v>73</v>
      </c>
      <c r="KN40" s="473" t="s">
        <v>4</v>
      </c>
      <c r="KO40" s="1004"/>
      <c r="KP40" s="1005">
        <f>(JW41*JX41*JY41)+(JZ41*KA41*KB41)+(KC41*KD41*KE41)+(KF41*KG41*KH41)+(KI41*KJ41*KK41)+(KL41*KM41*KN41)</f>
        <v>0</v>
      </c>
      <c r="KQ40" s="940"/>
      <c r="KR40" s="1016"/>
      <c r="KT40" s="1039"/>
      <c r="KU40" s="460" t="s">
        <v>59</v>
      </c>
      <c r="KV40" s="460" t="s">
        <v>73</v>
      </c>
      <c r="KW40" s="461" t="s">
        <v>4</v>
      </c>
      <c r="KX40" s="460" t="s">
        <v>59</v>
      </c>
      <c r="KY40" s="460" t="s">
        <v>73</v>
      </c>
      <c r="KZ40" s="461" t="s">
        <v>4</v>
      </c>
      <c r="LA40" s="460" t="s">
        <v>59</v>
      </c>
      <c r="LB40" s="460" t="s">
        <v>73</v>
      </c>
      <c r="LC40" s="461" t="s">
        <v>4</v>
      </c>
      <c r="LD40" s="460" t="s">
        <v>59</v>
      </c>
      <c r="LE40" s="460" t="s">
        <v>73</v>
      </c>
      <c r="LF40" s="461" t="s">
        <v>4</v>
      </c>
      <c r="LG40" s="460" t="s">
        <v>59</v>
      </c>
      <c r="LH40" s="460" t="s">
        <v>73</v>
      </c>
      <c r="LI40" s="461" t="s">
        <v>4</v>
      </c>
      <c r="LJ40" s="460" t="s">
        <v>59</v>
      </c>
      <c r="LK40" s="460" t="s">
        <v>73</v>
      </c>
      <c r="LL40" s="473" t="s">
        <v>4</v>
      </c>
      <c r="LM40" s="1004"/>
      <c r="LN40" s="1005">
        <f>(KU41*KV41*KW41)+(KX41*KY41*KZ41)+(LA41*LB41*LC41)+(LD41*LE41*LF41)+(LG41*LH41*LI41)+(LJ41*LK41*LL41)</f>
        <v>0</v>
      </c>
      <c r="LO40" s="940"/>
      <c r="LP40" s="1016"/>
    </row>
    <row r="41" spans="1:355" ht="15">
      <c r="A41" s="231"/>
      <c r="B41" s="231"/>
      <c r="C41" s="395" t="s">
        <v>118</v>
      </c>
      <c r="D41" s="231" t="s">
        <v>554</v>
      </c>
      <c r="E41" s="231" t="s">
        <v>569</v>
      </c>
      <c r="F41" s="231" t="s">
        <v>556</v>
      </c>
      <c r="G41" s="231" t="s">
        <v>557</v>
      </c>
      <c r="H41" s="231" t="s">
        <v>562</v>
      </c>
      <c r="I41" s="395" t="s">
        <v>561</v>
      </c>
      <c r="R41" s="858"/>
      <c r="S41" s="233"/>
      <c r="T41" s="233"/>
      <c r="U41" s="233"/>
      <c r="V41" s="233"/>
      <c r="W41" s="233"/>
      <c r="X41" s="233"/>
      <c r="Y41" s="233"/>
      <c r="Z41" s="233"/>
      <c r="AA41" s="233"/>
      <c r="AB41" s="233"/>
      <c r="AC41" s="233"/>
      <c r="AD41" s="233"/>
      <c r="AE41" s="233"/>
      <c r="AF41" s="233"/>
      <c r="AG41" s="233"/>
      <c r="AH41" s="233"/>
      <c r="AI41" s="233"/>
      <c r="AJ41" s="472"/>
      <c r="AK41" s="1007"/>
      <c r="AL41" s="1002"/>
      <c r="AM41" s="941"/>
      <c r="AN41" s="855"/>
      <c r="AO41" s="118"/>
      <c r="AP41" s="878"/>
      <c r="AQ41" s="229">
        <v>4</v>
      </c>
      <c r="AR41" s="229">
        <f>((12*3)+(10*1))/4</f>
        <v>11.5</v>
      </c>
      <c r="AS41" s="229">
        <f>((12.5*1)+(25*3))/4</f>
        <v>21.875</v>
      </c>
      <c r="AT41" s="229">
        <v>4</v>
      </c>
      <c r="AU41" s="229">
        <v>12</v>
      </c>
      <c r="AV41" s="229">
        <f>((32*1)+(68*3))/4</f>
        <v>59</v>
      </c>
      <c r="AW41" s="229">
        <v>4</v>
      </c>
      <c r="AX41" s="126">
        <f>((12*1)+(14*1)+(16*2))/4</f>
        <v>14.5</v>
      </c>
      <c r="AY41" s="229">
        <f>((15.9*1)+(34*3))/4</f>
        <v>29.475000000000001</v>
      </c>
      <c r="AZ41" s="229">
        <v>4</v>
      </c>
      <c r="BA41" s="126">
        <f>((((0.38/0.3)*0.5)*1)+(((1.15/1)*1)*3))/4</f>
        <v>1.0208333333333333</v>
      </c>
      <c r="BB41" s="229">
        <f>BL39*(2/3)</f>
        <v>51.266666666666666</v>
      </c>
      <c r="BC41" s="233"/>
      <c r="BD41" s="233"/>
      <c r="BE41" s="233"/>
      <c r="BF41" s="233"/>
      <c r="BG41" s="233"/>
      <c r="BH41" s="472"/>
      <c r="BI41" s="1007"/>
      <c r="BJ41" s="1003"/>
      <c r="BK41" s="941"/>
      <c r="BL41" s="1016"/>
      <c r="BM41" s="118"/>
      <c r="BN41" s="878"/>
      <c r="BO41" s="229">
        <v>4</v>
      </c>
      <c r="BP41" s="126">
        <f>((12*4))/4</f>
        <v>12</v>
      </c>
      <c r="BQ41" s="229">
        <f>((25*1)+(45*3))/4</f>
        <v>40</v>
      </c>
      <c r="BR41" s="229">
        <v>4</v>
      </c>
      <c r="BS41" s="229">
        <f>((12*4))/4</f>
        <v>12</v>
      </c>
      <c r="BT41" s="229">
        <f>((36*1)+(72*3))/4</f>
        <v>63</v>
      </c>
      <c r="BU41" s="305">
        <v>4</v>
      </c>
      <c r="BV41" s="305">
        <f>((12*1)+(16*3))/4</f>
        <v>15</v>
      </c>
      <c r="BW41" s="305">
        <f>((15.9*1)+(34*3))/4</f>
        <v>29.475000000000001</v>
      </c>
      <c r="BX41" s="229">
        <v>0</v>
      </c>
      <c r="BY41" s="229">
        <f>((((0.38/0.3)*0.5)*1)+(((1.15/1)*1)*3))/4</f>
        <v>1.0208333333333333</v>
      </c>
      <c r="BZ41" s="229">
        <f>CJ39*(2/3)</f>
        <v>52.333333333333329</v>
      </c>
      <c r="CA41" s="229">
        <v>4</v>
      </c>
      <c r="CB41" s="229">
        <f>((12*1)+(10*3))/4</f>
        <v>10.5</v>
      </c>
      <c r="CC41" s="229">
        <f>((11.3*1)+(15.9*3))/4</f>
        <v>14.75</v>
      </c>
      <c r="CD41" s="233"/>
      <c r="CE41" s="233"/>
      <c r="CF41" s="472"/>
      <c r="CG41" s="1007"/>
      <c r="CH41" s="1006"/>
      <c r="CI41" s="941"/>
      <c r="CJ41" s="1016"/>
      <c r="CL41" s="1066"/>
      <c r="CM41" s="229">
        <v>4</v>
      </c>
      <c r="CN41" s="229">
        <f>((12*1)+(9*3))/4</f>
        <v>9.75</v>
      </c>
      <c r="CO41" s="229">
        <f>((20*1)+(45*3))/4</f>
        <v>38.75</v>
      </c>
      <c r="CP41" s="229">
        <v>4</v>
      </c>
      <c r="CQ41" s="229">
        <f>((12*1)+(6*3))/4</f>
        <v>7.5</v>
      </c>
      <c r="CR41" s="229">
        <f>((27*1)+(63*3))/4</f>
        <v>54</v>
      </c>
      <c r="CS41" s="229">
        <v>4</v>
      </c>
      <c r="CT41" s="126">
        <f>((12*3)+(10*1))/4</f>
        <v>11.5</v>
      </c>
      <c r="CU41" s="229">
        <f>((12.5*1)+(27.5*3))/4</f>
        <v>23.75</v>
      </c>
      <c r="CV41" s="229">
        <v>4</v>
      </c>
      <c r="CW41" s="229">
        <f>((12*1)+(6*3))/4</f>
        <v>7.5</v>
      </c>
      <c r="CX41" s="126">
        <f>((9.1*1)+(20.4*3))/4</f>
        <v>17.574999999999999</v>
      </c>
      <c r="CY41" s="229">
        <v>4</v>
      </c>
      <c r="CZ41" s="229">
        <f>((12*4))/4</f>
        <v>12</v>
      </c>
      <c r="DA41" s="229">
        <f>((20*4))/4</f>
        <v>20</v>
      </c>
      <c r="DB41" s="229">
        <v>4</v>
      </c>
      <c r="DC41" s="229">
        <f>((12*2)+(10*1)+(8*1))/4</f>
        <v>10.5</v>
      </c>
      <c r="DD41" s="229">
        <f>((7.5*1)+(15*3))/4</f>
        <v>13.125</v>
      </c>
      <c r="DE41" s="1007"/>
      <c r="DF41" s="1006"/>
      <c r="DG41" s="941"/>
      <c r="DH41" s="1016"/>
      <c r="DJ41" s="1040"/>
      <c r="DK41" s="462"/>
      <c r="DL41" s="462"/>
      <c r="DM41" s="462"/>
      <c r="DN41" s="462"/>
      <c r="DO41" s="462"/>
      <c r="DP41" s="462"/>
      <c r="DQ41" s="462"/>
      <c r="DR41" s="462"/>
      <c r="DS41" s="462"/>
      <c r="DT41" s="462"/>
      <c r="DU41" s="462"/>
      <c r="DV41" s="462"/>
      <c r="DW41" s="462"/>
      <c r="DX41" s="462"/>
      <c r="DY41" s="462"/>
      <c r="DZ41" s="462"/>
      <c r="EA41" s="462"/>
      <c r="EB41" s="475"/>
      <c r="EC41" s="1007"/>
      <c r="ED41" s="1006"/>
      <c r="EE41" s="941"/>
      <c r="EF41" s="1016"/>
      <c r="EH41" s="1053"/>
      <c r="EI41" s="494"/>
      <c r="EJ41" s="494"/>
      <c r="EK41" s="494"/>
      <c r="EL41" s="494"/>
      <c r="EM41" s="494"/>
      <c r="EN41" s="494"/>
      <c r="EO41" s="494"/>
      <c r="EP41" s="494"/>
      <c r="EQ41" s="494"/>
      <c r="ER41" s="494"/>
      <c r="ES41" s="494"/>
      <c r="ET41" s="494"/>
      <c r="EU41" s="494"/>
      <c r="EV41" s="494"/>
      <c r="EW41" s="494"/>
      <c r="EX41" s="494"/>
      <c r="EY41" s="494"/>
      <c r="EZ41" s="497"/>
      <c r="FA41" s="1081"/>
      <c r="FB41" s="1073"/>
      <c r="FC41" s="1069"/>
      <c r="FD41" s="1070"/>
      <c r="FF41" s="1066"/>
      <c r="FG41" s="462"/>
      <c r="FH41" s="462"/>
      <c r="FI41" s="462"/>
      <c r="FJ41" s="462"/>
      <c r="FK41" s="462"/>
      <c r="FL41" s="462"/>
      <c r="FM41" s="462"/>
      <c r="FN41" s="462"/>
      <c r="FO41" s="462"/>
      <c r="FP41" s="462"/>
      <c r="FQ41" s="462"/>
      <c r="FR41" s="462"/>
      <c r="FS41" s="462"/>
      <c r="FT41" s="462"/>
      <c r="FU41" s="462"/>
      <c r="FV41" s="462"/>
      <c r="FW41" s="462"/>
      <c r="FX41" s="475"/>
      <c r="FY41" s="1007"/>
      <c r="FZ41" s="1006"/>
      <c r="GA41" s="941"/>
      <c r="GB41" s="1016"/>
      <c r="GD41" s="1043"/>
      <c r="GE41" s="462"/>
      <c r="GF41" s="462"/>
      <c r="GG41" s="462"/>
      <c r="GH41" s="462"/>
      <c r="GI41" s="462"/>
      <c r="GJ41" s="462"/>
      <c r="GK41" s="462"/>
      <c r="GL41" s="462"/>
      <c r="GM41" s="462"/>
      <c r="GN41" s="462"/>
      <c r="GO41" s="462"/>
      <c r="GP41" s="462"/>
      <c r="GQ41" s="462"/>
      <c r="GR41" s="462"/>
      <c r="GS41" s="462"/>
      <c r="GT41" s="462"/>
      <c r="GU41" s="462"/>
      <c r="GV41" s="475"/>
      <c r="GW41" s="1007"/>
      <c r="GX41" s="1006"/>
      <c r="GY41" s="941"/>
      <c r="GZ41" s="1016"/>
      <c r="HB41" s="1063"/>
      <c r="HC41" s="462"/>
      <c r="HD41" s="462"/>
      <c r="HE41" s="462"/>
      <c r="HF41" s="462"/>
      <c r="HG41" s="462"/>
      <c r="HH41" s="462"/>
      <c r="HI41" s="462"/>
      <c r="HJ41" s="462"/>
      <c r="HK41" s="462"/>
      <c r="HL41" s="462"/>
      <c r="HM41" s="462"/>
      <c r="HN41" s="462"/>
      <c r="HO41" s="462"/>
      <c r="HP41" s="462"/>
      <c r="HQ41" s="462"/>
      <c r="HR41" s="462"/>
      <c r="HS41" s="462"/>
      <c r="HT41" s="475"/>
      <c r="HU41" s="1007"/>
      <c r="HV41" s="1006"/>
      <c r="HW41" s="941"/>
      <c r="HX41" s="1016"/>
      <c r="HZ41" s="1076"/>
      <c r="IA41" s="462"/>
      <c r="IB41" s="462"/>
      <c r="IC41" s="462"/>
      <c r="ID41" s="462"/>
      <c r="IE41" s="462"/>
      <c r="IF41" s="462"/>
      <c r="IG41" s="462"/>
      <c r="IH41" s="462"/>
      <c r="II41" s="462"/>
      <c r="IJ41" s="462"/>
      <c r="IK41" s="462"/>
      <c r="IL41" s="462"/>
      <c r="IM41" s="462"/>
      <c r="IN41" s="462"/>
      <c r="IO41" s="462"/>
      <c r="IP41" s="462"/>
      <c r="IQ41" s="462"/>
      <c r="IR41" s="475"/>
      <c r="IS41" s="1007"/>
      <c r="IT41" s="1006"/>
      <c r="IU41" s="941"/>
      <c r="IV41" s="1016"/>
      <c r="IX41" s="1050"/>
      <c r="IY41" s="462"/>
      <c r="IZ41" s="462"/>
      <c r="JA41" s="462"/>
      <c r="JB41" s="462"/>
      <c r="JC41" s="462"/>
      <c r="JD41" s="462"/>
      <c r="JE41" s="462"/>
      <c r="JF41" s="462"/>
      <c r="JG41" s="462"/>
      <c r="JH41" s="462"/>
      <c r="JI41" s="462"/>
      <c r="JJ41" s="462"/>
      <c r="JK41" s="462"/>
      <c r="JL41" s="462"/>
      <c r="JM41" s="462"/>
      <c r="JN41" s="462"/>
      <c r="JO41" s="462"/>
      <c r="JP41" s="475"/>
      <c r="JQ41" s="1007"/>
      <c r="JR41" s="1006"/>
      <c r="JS41" s="941"/>
      <c r="JT41" s="1016"/>
      <c r="JV41" s="1063"/>
      <c r="JW41" s="462"/>
      <c r="JX41" s="462"/>
      <c r="JY41" s="462"/>
      <c r="JZ41" s="462"/>
      <c r="KA41" s="462"/>
      <c r="KB41" s="462"/>
      <c r="KC41" s="462"/>
      <c r="KD41" s="462"/>
      <c r="KE41" s="462"/>
      <c r="KF41" s="462"/>
      <c r="KG41" s="462"/>
      <c r="KH41" s="462"/>
      <c r="KI41" s="462"/>
      <c r="KJ41" s="462"/>
      <c r="KK41" s="462"/>
      <c r="KL41" s="462"/>
      <c r="KM41" s="462"/>
      <c r="KN41" s="475"/>
      <c r="KO41" s="1007"/>
      <c r="KP41" s="1006"/>
      <c r="KQ41" s="941"/>
      <c r="KR41" s="1016"/>
      <c r="KT41" s="1040"/>
      <c r="KU41" s="462"/>
      <c r="KV41" s="462"/>
      <c r="KW41" s="462"/>
      <c r="KX41" s="462"/>
      <c r="KY41" s="462"/>
      <c r="KZ41" s="462"/>
      <c r="LA41" s="462"/>
      <c r="LB41" s="462"/>
      <c r="LC41" s="462"/>
      <c r="LD41" s="462"/>
      <c r="LE41" s="462"/>
      <c r="LF41" s="462"/>
      <c r="LG41" s="462"/>
      <c r="LH41" s="462"/>
      <c r="LI41" s="462"/>
      <c r="LJ41" s="462"/>
      <c r="LK41" s="462"/>
      <c r="LL41" s="475"/>
      <c r="LM41" s="1007"/>
      <c r="LN41" s="1006"/>
      <c r="LO41" s="941"/>
      <c r="LP41" s="1016"/>
    </row>
    <row r="42" spans="1:355" ht="15">
      <c r="A42" s="231"/>
      <c r="B42" s="231"/>
      <c r="C42" s="395" t="s">
        <v>78</v>
      </c>
      <c r="D42" s="231" t="s">
        <v>554</v>
      </c>
      <c r="E42" s="231" t="s">
        <v>559</v>
      </c>
      <c r="F42" s="231" t="s">
        <v>556</v>
      </c>
      <c r="G42" s="231" t="s">
        <v>557</v>
      </c>
      <c r="H42" s="231" t="s">
        <v>565</v>
      </c>
      <c r="I42" s="395" t="s">
        <v>566</v>
      </c>
      <c r="R42" s="845">
        <v>46036</v>
      </c>
      <c r="S42" s="849" t="s">
        <v>156</v>
      </c>
      <c r="T42" s="849"/>
      <c r="U42" s="849"/>
      <c r="V42" s="848" t="s">
        <v>103</v>
      </c>
      <c r="W42" s="848"/>
      <c r="X42" s="848"/>
      <c r="Y42" s="848" t="s">
        <v>68</v>
      </c>
      <c r="Z42" s="848"/>
      <c r="AA42" s="848"/>
      <c r="AB42" s="848" t="s">
        <v>417</v>
      </c>
      <c r="AC42" s="848"/>
      <c r="AD42" s="848"/>
      <c r="AE42" s="834"/>
      <c r="AF42" s="835"/>
      <c r="AG42" s="836"/>
      <c r="AH42" s="834"/>
      <c r="AI42" s="835"/>
      <c r="AJ42" s="835"/>
      <c r="AK42" s="459" t="s">
        <v>425</v>
      </c>
      <c r="AL42" s="1">
        <f t="shared" ref="AL42" si="60">COUNTA(S42:AJ42)</f>
        <v>4</v>
      </c>
      <c r="AM42" s="939"/>
      <c r="AN42" s="855">
        <v>77</v>
      </c>
      <c r="AO42" s="118"/>
      <c r="AP42" s="840">
        <v>46067</v>
      </c>
      <c r="AQ42" s="1023"/>
      <c r="AR42" s="1023"/>
      <c r="AS42" s="1023"/>
      <c r="AT42" s="1023"/>
      <c r="AU42" s="1023"/>
      <c r="AV42" s="1023"/>
      <c r="AW42" s="1023"/>
      <c r="AX42" s="1023"/>
      <c r="AY42" s="1023"/>
      <c r="AZ42" s="1023"/>
      <c r="BA42" s="1023"/>
      <c r="BB42" s="1023"/>
      <c r="BC42" s="1021"/>
      <c r="BD42" s="1022"/>
      <c r="BE42" s="1024"/>
      <c r="BF42" s="1021"/>
      <c r="BG42" s="1022"/>
      <c r="BH42" s="1022"/>
      <c r="BI42" s="459" t="s">
        <v>425</v>
      </c>
      <c r="BJ42" s="482">
        <f t="shared" si="32"/>
        <v>0</v>
      </c>
      <c r="BK42" s="939"/>
      <c r="BL42" s="1016">
        <f>BL39</f>
        <v>76.900000000000006</v>
      </c>
      <c r="BM42" s="118"/>
      <c r="BN42" s="840">
        <v>46095</v>
      </c>
      <c r="BO42" s="1023"/>
      <c r="BP42" s="1023"/>
      <c r="BQ42" s="1023"/>
      <c r="BR42" s="1023"/>
      <c r="BS42" s="1023"/>
      <c r="BT42" s="1023"/>
      <c r="BU42" s="1023"/>
      <c r="BV42" s="1023"/>
      <c r="BW42" s="1023"/>
      <c r="BX42" s="1023"/>
      <c r="BY42" s="1023"/>
      <c r="BZ42" s="1023"/>
      <c r="CA42" s="1021"/>
      <c r="CB42" s="1022"/>
      <c r="CC42" s="1024"/>
      <c r="CD42" s="1021"/>
      <c r="CE42" s="1022"/>
      <c r="CF42" s="1022"/>
      <c r="CG42" s="459" t="s">
        <v>425</v>
      </c>
      <c r="CH42" s="482">
        <f t="shared" ref="CH42" si="61">COUNTA(BO42:CF42)</f>
        <v>0</v>
      </c>
      <c r="CI42" s="939">
        <v>0</v>
      </c>
      <c r="CJ42" s="1016">
        <f>CJ39</f>
        <v>78.5</v>
      </c>
      <c r="CL42" s="1074">
        <v>46126</v>
      </c>
      <c r="CM42" s="844"/>
      <c r="CN42" s="844"/>
      <c r="CO42" s="844"/>
      <c r="CP42" s="844"/>
      <c r="CQ42" s="844"/>
      <c r="CR42" s="844"/>
      <c r="CS42" s="844"/>
      <c r="CT42" s="844"/>
      <c r="CU42" s="844"/>
      <c r="CV42" s="844"/>
      <c r="CW42" s="844"/>
      <c r="CX42" s="844"/>
      <c r="CY42" s="834"/>
      <c r="CZ42" s="835"/>
      <c r="DA42" s="836"/>
      <c r="DB42" s="834"/>
      <c r="DC42" s="835"/>
      <c r="DD42" s="835"/>
      <c r="DE42" s="459" t="s">
        <v>425</v>
      </c>
      <c r="DF42" s="482">
        <f>COUNTA(CM42:DD42)</f>
        <v>0</v>
      </c>
      <c r="DG42" s="939">
        <v>0</v>
      </c>
      <c r="DH42" s="1016">
        <f>DH39</f>
        <v>76.3</v>
      </c>
      <c r="DJ42" s="1041">
        <v>46156</v>
      </c>
      <c r="DK42" s="960"/>
      <c r="DL42" s="960"/>
      <c r="DM42" s="960"/>
      <c r="DN42" s="960"/>
      <c r="DO42" s="960"/>
      <c r="DP42" s="960"/>
      <c r="DQ42" s="960"/>
      <c r="DR42" s="960"/>
      <c r="DS42" s="960"/>
      <c r="DT42" s="960"/>
      <c r="DU42" s="960"/>
      <c r="DV42" s="960"/>
      <c r="DW42" s="961"/>
      <c r="DX42" s="962"/>
      <c r="DY42" s="963"/>
      <c r="DZ42" s="961"/>
      <c r="EA42" s="962"/>
      <c r="EB42" s="962"/>
      <c r="EC42" s="459" t="s">
        <v>425</v>
      </c>
      <c r="ED42" s="482">
        <f>COUNTA(DK42:EB42)</f>
        <v>0</v>
      </c>
      <c r="EE42" s="939"/>
      <c r="EF42" s="1016"/>
      <c r="EH42" s="1061">
        <v>46187</v>
      </c>
      <c r="EI42" s="960"/>
      <c r="EJ42" s="960"/>
      <c r="EK42" s="960"/>
      <c r="EL42" s="960"/>
      <c r="EM42" s="960"/>
      <c r="EN42" s="960"/>
      <c r="EO42" s="960"/>
      <c r="EP42" s="960"/>
      <c r="EQ42" s="960"/>
      <c r="ER42" s="960"/>
      <c r="ES42" s="960"/>
      <c r="ET42" s="960"/>
      <c r="EU42" s="961"/>
      <c r="EV42" s="962"/>
      <c r="EW42" s="963"/>
      <c r="EX42" s="961"/>
      <c r="EY42" s="962"/>
      <c r="EZ42" s="962"/>
      <c r="FA42" s="459" t="s">
        <v>425</v>
      </c>
      <c r="FB42" s="482">
        <f>COUNTA(EI42:EZ42)</f>
        <v>0</v>
      </c>
      <c r="FC42" s="939"/>
      <c r="FD42" s="1016"/>
      <c r="FF42" s="1074">
        <v>46217</v>
      </c>
      <c r="FG42" s="960"/>
      <c r="FH42" s="960"/>
      <c r="FI42" s="960"/>
      <c r="FJ42" s="960"/>
      <c r="FK42" s="960"/>
      <c r="FL42" s="960"/>
      <c r="FM42" s="960"/>
      <c r="FN42" s="960"/>
      <c r="FO42" s="960"/>
      <c r="FP42" s="960"/>
      <c r="FQ42" s="960"/>
      <c r="FR42" s="960"/>
      <c r="FS42" s="961"/>
      <c r="FT42" s="962"/>
      <c r="FU42" s="963"/>
      <c r="FV42" s="961"/>
      <c r="FW42" s="962"/>
      <c r="FX42" s="962"/>
      <c r="FY42" s="459" t="s">
        <v>425</v>
      </c>
      <c r="FZ42" s="482">
        <f>COUNTA(FG42:FX42)</f>
        <v>0</v>
      </c>
      <c r="GA42" s="939"/>
      <c r="GB42" s="1016"/>
      <c r="GD42" s="1048">
        <v>46248</v>
      </c>
      <c r="GE42" s="960"/>
      <c r="GF42" s="960"/>
      <c r="GG42" s="960"/>
      <c r="GH42" s="960"/>
      <c r="GI42" s="960"/>
      <c r="GJ42" s="960"/>
      <c r="GK42" s="960"/>
      <c r="GL42" s="960"/>
      <c r="GM42" s="960"/>
      <c r="GN42" s="960"/>
      <c r="GO42" s="960"/>
      <c r="GP42" s="960"/>
      <c r="GQ42" s="961"/>
      <c r="GR42" s="962"/>
      <c r="GS42" s="963"/>
      <c r="GT42" s="961"/>
      <c r="GU42" s="962"/>
      <c r="GV42" s="962"/>
      <c r="GW42" s="459" t="s">
        <v>425</v>
      </c>
      <c r="GX42" s="482">
        <f>COUNTA(GE42:GV42)</f>
        <v>0</v>
      </c>
      <c r="GY42" s="939"/>
      <c r="GZ42" s="1016"/>
      <c r="HB42" s="1064">
        <v>46279</v>
      </c>
      <c r="HC42" s="960"/>
      <c r="HD42" s="960"/>
      <c r="HE42" s="960"/>
      <c r="HF42" s="960"/>
      <c r="HG42" s="960"/>
      <c r="HH42" s="960"/>
      <c r="HI42" s="960"/>
      <c r="HJ42" s="960"/>
      <c r="HK42" s="960"/>
      <c r="HL42" s="960"/>
      <c r="HM42" s="960"/>
      <c r="HN42" s="960"/>
      <c r="HO42" s="961"/>
      <c r="HP42" s="962"/>
      <c r="HQ42" s="963"/>
      <c r="HR42" s="961"/>
      <c r="HS42" s="962"/>
      <c r="HT42" s="962"/>
      <c r="HU42" s="459" t="s">
        <v>425</v>
      </c>
      <c r="HV42" s="482">
        <f>COUNTA(HC42:HT42)</f>
        <v>0</v>
      </c>
      <c r="HW42" s="939"/>
      <c r="HX42" s="1016"/>
      <c r="HZ42" s="1038">
        <v>46309</v>
      </c>
      <c r="IA42" s="960"/>
      <c r="IB42" s="960"/>
      <c r="IC42" s="960"/>
      <c r="ID42" s="960"/>
      <c r="IE42" s="960"/>
      <c r="IF42" s="960"/>
      <c r="IG42" s="960"/>
      <c r="IH42" s="960"/>
      <c r="II42" s="960"/>
      <c r="IJ42" s="960"/>
      <c r="IK42" s="960"/>
      <c r="IL42" s="960"/>
      <c r="IM42" s="961"/>
      <c r="IN42" s="962"/>
      <c r="IO42" s="963"/>
      <c r="IP42" s="961"/>
      <c r="IQ42" s="962"/>
      <c r="IR42" s="962"/>
      <c r="IS42" s="459" t="s">
        <v>425</v>
      </c>
      <c r="IT42" s="482">
        <f>COUNTA(IA42:IR42)</f>
        <v>0</v>
      </c>
      <c r="IU42" s="939"/>
      <c r="IV42" s="1016"/>
      <c r="IX42" s="1051">
        <v>46340</v>
      </c>
      <c r="IY42" s="1023"/>
      <c r="IZ42" s="1023"/>
      <c r="JA42" s="1023"/>
      <c r="JB42" s="1023"/>
      <c r="JC42" s="1023"/>
      <c r="JD42" s="1023"/>
      <c r="JE42" s="1023"/>
      <c r="JF42" s="1023"/>
      <c r="JG42" s="1023"/>
      <c r="JH42" s="1023"/>
      <c r="JI42" s="1023"/>
      <c r="JJ42" s="1023"/>
      <c r="JK42" s="1021"/>
      <c r="JL42" s="1022"/>
      <c r="JM42" s="1024"/>
      <c r="JN42" s="1021"/>
      <c r="JO42" s="1022"/>
      <c r="JP42" s="1022"/>
      <c r="JQ42" s="489" t="s">
        <v>425</v>
      </c>
      <c r="JR42" s="496">
        <f>COUNTA(IY42:JP42)</f>
        <v>0</v>
      </c>
      <c r="JS42" s="1067"/>
      <c r="JT42" s="1070"/>
      <c r="JV42" s="1064">
        <v>46370</v>
      </c>
      <c r="JW42" s="960"/>
      <c r="JX42" s="960"/>
      <c r="JY42" s="960"/>
      <c r="JZ42" s="960"/>
      <c r="KA42" s="960"/>
      <c r="KB42" s="960"/>
      <c r="KC42" s="960"/>
      <c r="KD42" s="960"/>
      <c r="KE42" s="960"/>
      <c r="KF42" s="960"/>
      <c r="KG42" s="960"/>
      <c r="KH42" s="960"/>
      <c r="KI42" s="961"/>
      <c r="KJ42" s="962"/>
      <c r="KK42" s="963"/>
      <c r="KL42" s="961"/>
      <c r="KM42" s="962"/>
      <c r="KN42" s="962"/>
      <c r="KO42" s="459" t="s">
        <v>425</v>
      </c>
      <c r="KP42" s="482">
        <f>COUNTA(JW42:KN42)</f>
        <v>0</v>
      </c>
      <c r="KQ42" s="939"/>
      <c r="KR42" s="1016"/>
      <c r="KT42" s="1041">
        <v>46401</v>
      </c>
      <c r="KU42" s="960"/>
      <c r="KV42" s="960"/>
      <c r="KW42" s="960"/>
      <c r="KX42" s="960"/>
      <c r="KY42" s="960"/>
      <c r="KZ42" s="960"/>
      <c r="LA42" s="960"/>
      <c r="LB42" s="960"/>
      <c r="LC42" s="960"/>
      <c r="LD42" s="960"/>
      <c r="LE42" s="960"/>
      <c r="LF42" s="960"/>
      <c r="LG42" s="961"/>
      <c r="LH42" s="962"/>
      <c r="LI42" s="963"/>
      <c r="LJ42" s="961"/>
      <c r="LK42" s="962"/>
      <c r="LL42" s="962"/>
      <c r="LM42" s="459" t="s">
        <v>425</v>
      </c>
      <c r="LN42" s="482">
        <f>COUNTA(KU42:LL42)</f>
        <v>0</v>
      </c>
      <c r="LO42" s="939"/>
      <c r="LP42" s="1016"/>
    </row>
    <row r="43" spans="1:355" ht="15">
      <c r="A43" s="396" t="s">
        <v>579</v>
      </c>
      <c r="B43" s="396" t="s">
        <v>580</v>
      </c>
      <c r="C43" s="395" t="s">
        <v>67</v>
      </c>
      <c r="D43" s="231" t="s">
        <v>554</v>
      </c>
      <c r="E43" s="231" t="s">
        <v>563</v>
      </c>
      <c r="F43" s="231" t="s">
        <v>556</v>
      </c>
      <c r="G43" s="231" t="s">
        <v>557</v>
      </c>
      <c r="H43" s="231" t="s">
        <v>558</v>
      </c>
      <c r="I43" s="395" t="s">
        <v>385</v>
      </c>
      <c r="R43" s="846"/>
      <c r="S43" s="231" t="s">
        <v>59</v>
      </c>
      <c r="T43" s="231" t="s">
        <v>73</v>
      </c>
      <c r="U43" s="102" t="s">
        <v>4</v>
      </c>
      <c r="V43" s="231" t="s">
        <v>59</v>
      </c>
      <c r="W43" s="231" t="s">
        <v>73</v>
      </c>
      <c r="X43" s="102" t="s">
        <v>4</v>
      </c>
      <c r="Y43" s="231" t="s">
        <v>59</v>
      </c>
      <c r="Z43" s="231" t="s">
        <v>73</v>
      </c>
      <c r="AA43" s="102" t="s">
        <v>4</v>
      </c>
      <c r="AB43" s="231" t="s">
        <v>59</v>
      </c>
      <c r="AC43" s="231" t="s">
        <v>73</v>
      </c>
      <c r="AD43" s="102" t="s">
        <v>4</v>
      </c>
      <c r="AE43" s="107" t="s">
        <v>59</v>
      </c>
      <c r="AF43" s="107" t="s">
        <v>73</v>
      </c>
      <c r="AG43" s="108" t="s">
        <v>4</v>
      </c>
      <c r="AH43" s="107" t="s">
        <v>59</v>
      </c>
      <c r="AI43" s="107" t="s">
        <v>73</v>
      </c>
      <c r="AJ43" s="471" t="s">
        <v>4</v>
      </c>
      <c r="AK43" s="1004">
        <v>58</v>
      </c>
      <c r="AL43" s="1002">
        <f t="shared" ref="AL43" si="62">(S44*T44*U44)+(V44*W44*X44)+(Y44*Z44*AA44)+(AB44*AC44*AD44)+(AE44*AF44*AG44)+(AH44*AI44*AJ44)</f>
        <v>6347.333333333333</v>
      </c>
      <c r="AM43" s="940"/>
      <c r="AN43" s="855"/>
      <c r="AO43" s="118"/>
      <c r="AP43" s="841"/>
      <c r="AQ43" s="491" t="s">
        <v>59</v>
      </c>
      <c r="AR43" s="491" t="s">
        <v>73</v>
      </c>
      <c r="AS43" s="492" t="s">
        <v>4</v>
      </c>
      <c r="AT43" s="491" t="s">
        <v>59</v>
      </c>
      <c r="AU43" s="491" t="s">
        <v>73</v>
      </c>
      <c r="AV43" s="492" t="s">
        <v>4</v>
      </c>
      <c r="AW43" s="491" t="s">
        <v>59</v>
      </c>
      <c r="AX43" s="491" t="s">
        <v>73</v>
      </c>
      <c r="AY43" s="492" t="s">
        <v>4</v>
      </c>
      <c r="AZ43" s="491" t="s">
        <v>59</v>
      </c>
      <c r="BA43" s="491" t="s">
        <v>73</v>
      </c>
      <c r="BB43" s="492" t="s">
        <v>4</v>
      </c>
      <c r="BC43" s="491" t="s">
        <v>59</v>
      </c>
      <c r="BD43" s="491" t="s">
        <v>73</v>
      </c>
      <c r="BE43" s="492" t="s">
        <v>4</v>
      </c>
      <c r="BF43" s="491" t="s">
        <v>59</v>
      </c>
      <c r="BG43" s="491" t="s">
        <v>73</v>
      </c>
      <c r="BH43" s="493" t="s">
        <v>4</v>
      </c>
      <c r="BI43" s="1004">
        <v>0</v>
      </c>
      <c r="BJ43" s="1003">
        <f t="shared" si="35"/>
        <v>0</v>
      </c>
      <c r="BK43" s="940"/>
      <c r="BL43" s="1016"/>
      <c r="BM43" s="118"/>
      <c r="BN43" s="841"/>
      <c r="BO43" s="491"/>
      <c r="BP43" s="491"/>
      <c r="BQ43" s="492"/>
      <c r="BR43" s="491"/>
      <c r="BS43" s="491"/>
      <c r="BT43" s="492"/>
      <c r="BU43" s="491"/>
      <c r="BV43" s="491"/>
      <c r="BW43" s="492"/>
      <c r="BX43" s="491"/>
      <c r="BY43" s="491"/>
      <c r="BZ43" s="492"/>
      <c r="CA43" s="491"/>
      <c r="CB43" s="491"/>
      <c r="CC43" s="492"/>
      <c r="CD43" s="491"/>
      <c r="CE43" s="491"/>
      <c r="CF43" s="493"/>
      <c r="CG43" s="1004">
        <v>0</v>
      </c>
      <c r="CH43" s="1005">
        <f t="shared" ref="CH43" si="63">(BO44*BP44*BQ44)+(BR44*BS44*BT44)+(BU44*BV44*BW44)+(BX44*BY44*BZ44)+(CA44*CB44*CC44)+(CD44*CE44*CF44)</f>
        <v>0</v>
      </c>
      <c r="CI43" s="940"/>
      <c r="CJ43" s="1016"/>
      <c r="CL43" s="1075"/>
      <c r="CM43" s="107" t="s">
        <v>59</v>
      </c>
      <c r="CN43" s="107" t="s">
        <v>73</v>
      </c>
      <c r="CO43" s="108" t="s">
        <v>4</v>
      </c>
      <c r="CP43" s="107" t="s">
        <v>59</v>
      </c>
      <c r="CQ43" s="107" t="s">
        <v>73</v>
      </c>
      <c r="CR43" s="108" t="s">
        <v>4</v>
      </c>
      <c r="CS43" s="107" t="s">
        <v>59</v>
      </c>
      <c r="CT43" s="107" t="s">
        <v>73</v>
      </c>
      <c r="CU43" s="108" t="s">
        <v>4</v>
      </c>
      <c r="CV43" s="107" t="s">
        <v>59</v>
      </c>
      <c r="CW43" s="107" t="s">
        <v>73</v>
      </c>
      <c r="CX43" s="108" t="s">
        <v>4</v>
      </c>
      <c r="CY43" s="107" t="s">
        <v>59</v>
      </c>
      <c r="CZ43" s="107" t="s">
        <v>73</v>
      </c>
      <c r="DA43" s="108" t="s">
        <v>4</v>
      </c>
      <c r="DB43" s="107" t="s">
        <v>59</v>
      </c>
      <c r="DC43" s="107" t="s">
        <v>73</v>
      </c>
      <c r="DD43" s="471" t="s">
        <v>4</v>
      </c>
      <c r="DE43" s="1004">
        <v>0</v>
      </c>
      <c r="DF43" s="1005">
        <f>(CM44*CN44*CO44)+(CP44*CQ44*CR44)+(CS44*CT44*CU44)+(CV44*CW44*CX44)+(CY44*CZ44*DA44)+(DB44*DC44*DD44)</f>
        <v>0</v>
      </c>
      <c r="DG43" s="940"/>
      <c r="DH43" s="1016"/>
      <c r="DJ43" s="1042"/>
      <c r="DK43" s="460" t="s">
        <v>59</v>
      </c>
      <c r="DL43" s="460" t="s">
        <v>73</v>
      </c>
      <c r="DM43" s="461" t="s">
        <v>4</v>
      </c>
      <c r="DN43" s="460" t="s">
        <v>59</v>
      </c>
      <c r="DO43" s="460" t="s">
        <v>73</v>
      </c>
      <c r="DP43" s="461" t="s">
        <v>4</v>
      </c>
      <c r="DQ43" s="460" t="s">
        <v>59</v>
      </c>
      <c r="DR43" s="460" t="s">
        <v>73</v>
      </c>
      <c r="DS43" s="461" t="s">
        <v>4</v>
      </c>
      <c r="DT43" s="460" t="s">
        <v>59</v>
      </c>
      <c r="DU43" s="460" t="s">
        <v>73</v>
      </c>
      <c r="DV43" s="461" t="s">
        <v>4</v>
      </c>
      <c r="DW43" s="460" t="s">
        <v>59</v>
      </c>
      <c r="DX43" s="460" t="s">
        <v>73</v>
      </c>
      <c r="DY43" s="461" t="s">
        <v>4</v>
      </c>
      <c r="DZ43" s="460" t="s">
        <v>59</v>
      </c>
      <c r="EA43" s="460" t="s">
        <v>73</v>
      </c>
      <c r="EB43" s="473" t="s">
        <v>4</v>
      </c>
      <c r="EC43" s="1004"/>
      <c r="ED43" s="1005">
        <f>(DK44*DL44*DM44)+(DN44*DO44*DP44)+(DQ44*DR44*DS44)+(DT44*DU44*DV44)+(DW44*DX44*DY44)+(DZ44*EA44*EB44)</f>
        <v>0</v>
      </c>
      <c r="EE43" s="940"/>
      <c r="EF43" s="1016"/>
      <c r="EH43" s="1062"/>
      <c r="EI43" s="460" t="s">
        <v>59</v>
      </c>
      <c r="EJ43" s="460" t="s">
        <v>73</v>
      </c>
      <c r="EK43" s="461" t="s">
        <v>4</v>
      </c>
      <c r="EL43" s="460" t="s">
        <v>59</v>
      </c>
      <c r="EM43" s="460" t="s">
        <v>73</v>
      </c>
      <c r="EN43" s="461" t="s">
        <v>4</v>
      </c>
      <c r="EO43" s="460" t="s">
        <v>59</v>
      </c>
      <c r="EP43" s="460" t="s">
        <v>73</v>
      </c>
      <c r="EQ43" s="461" t="s">
        <v>4</v>
      </c>
      <c r="ER43" s="460" t="s">
        <v>59</v>
      </c>
      <c r="ES43" s="460" t="s">
        <v>73</v>
      </c>
      <c r="ET43" s="461" t="s">
        <v>4</v>
      </c>
      <c r="EU43" s="460" t="s">
        <v>59</v>
      </c>
      <c r="EV43" s="460" t="s">
        <v>73</v>
      </c>
      <c r="EW43" s="461" t="s">
        <v>4</v>
      </c>
      <c r="EX43" s="460" t="s">
        <v>59</v>
      </c>
      <c r="EY43" s="460" t="s">
        <v>73</v>
      </c>
      <c r="EZ43" s="473" t="s">
        <v>4</v>
      </c>
      <c r="FA43" s="1004"/>
      <c r="FB43" s="1005">
        <f>(EI44*EJ44*EK44)+(EL44*EM44*EN44)+(EO44*EP44*EQ44)+(ER44*ES44*ET44)+(EU44*EV44*EW44)+(EX44*EY44*EZ44)</f>
        <v>0</v>
      </c>
      <c r="FC43" s="940"/>
      <c r="FD43" s="1016"/>
      <c r="FF43" s="1075"/>
      <c r="FG43" s="460" t="s">
        <v>59</v>
      </c>
      <c r="FH43" s="460" t="s">
        <v>73</v>
      </c>
      <c r="FI43" s="461" t="s">
        <v>4</v>
      </c>
      <c r="FJ43" s="460" t="s">
        <v>59</v>
      </c>
      <c r="FK43" s="460" t="s">
        <v>73</v>
      </c>
      <c r="FL43" s="461" t="s">
        <v>4</v>
      </c>
      <c r="FM43" s="460" t="s">
        <v>59</v>
      </c>
      <c r="FN43" s="460" t="s">
        <v>73</v>
      </c>
      <c r="FO43" s="461" t="s">
        <v>4</v>
      </c>
      <c r="FP43" s="460" t="s">
        <v>59</v>
      </c>
      <c r="FQ43" s="460" t="s">
        <v>73</v>
      </c>
      <c r="FR43" s="461" t="s">
        <v>4</v>
      </c>
      <c r="FS43" s="460" t="s">
        <v>59</v>
      </c>
      <c r="FT43" s="460" t="s">
        <v>73</v>
      </c>
      <c r="FU43" s="461" t="s">
        <v>4</v>
      </c>
      <c r="FV43" s="460" t="s">
        <v>59</v>
      </c>
      <c r="FW43" s="460" t="s">
        <v>73</v>
      </c>
      <c r="FX43" s="473" t="s">
        <v>4</v>
      </c>
      <c r="FY43" s="1004"/>
      <c r="FZ43" s="1005">
        <f>(FG44*FH44*FI44)+(FJ44*FK44*FL44)+(FM44*FN44*FO44)+(FP44*FQ44*FR44)+(FS44*FT44*FU44)+(FV44*FW44*FX44)</f>
        <v>0</v>
      </c>
      <c r="GA43" s="940"/>
      <c r="GB43" s="1016"/>
      <c r="GD43" s="1049"/>
      <c r="GE43" s="460" t="s">
        <v>59</v>
      </c>
      <c r="GF43" s="460" t="s">
        <v>73</v>
      </c>
      <c r="GG43" s="461" t="s">
        <v>4</v>
      </c>
      <c r="GH43" s="460" t="s">
        <v>59</v>
      </c>
      <c r="GI43" s="460" t="s">
        <v>73</v>
      </c>
      <c r="GJ43" s="461" t="s">
        <v>4</v>
      </c>
      <c r="GK43" s="460" t="s">
        <v>59</v>
      </c>
      <c r="GL43" s="460" t="s">
        <v>73</v>
      </c>
      <c r="GM43" s="461" t="s">
        <v>4</v>
      </c>
      <c r="GN43" s="460" t="s">
        <v>59</v>
      </c>
      <c r="GO43" s="460" t="s">
        <v>73</v>
      </c>
      <c r="GP43" s="461" t="s">
        <v>4</v>
      </c>
      <c r="GQ43" s="460" t="s">
        <v>59</v>
      </c>
      <c r="GR43" s="460" t="s">
        <v>73</v>
      </c>
      <c r="GS43" s="461" t="s">
        <v>4</v>
      </c>
      <c r="GT43" s="460" t="s">
        <v>59</v>
      </c>
      <c r="GU43" s="460" t="s">
        <v>73</v>
      </c>
      <c r="GV43" s="473" t="s">
        <v>4</v>
      </c>
      <c r="GW43" s="1004"/>
      <c r="GX43" s="1005">
        <f>(GE44*GF44*GG44)+(GH44*GI44*GJ44)+(GK44*GL44*GM44)+(GN44*GO44*GP44)+(GQ44*GR44*GS44)+(GT44*GU44*GV44)</f>
        <v>0</v>
      </c>
      <c r="GY43" s="940"/>
      <c r="GZ43" s="1016"/>
      <c r="HB43" s="1065"/>
      <c r="HC43" s="460" t="s">
        <v>59</v>
      </c>
      <c r="HD43" s="460" t="s">
        <v>73</v>
      </c>
      <c r="HE43" s="461" t="s">
        <v>4</v>
      </c>
      <c r="HF43" s="460" t="s">
        <v>59</v>
      </c>
      <c r="HG43" s="460" t="s">
        <v>73</v>
      </c>
      <c r="HH43" s="461" t="s">
        <v>4</v>
      </c>
      <c r="HI43" s="460" t="s">
        <v>59</v>
      </c>
      <c r="HJ43" s="460" t="s">
        <v>73</v>
      </c>
      <c r="HK43" s="461" t="s">
        <v>4</v>
      </c>
      <c r="HL43" s="460" t="s">
        <v>59</v>
      </c>
      <c r="HM43" s="460" t="s">
        <v>73</v>
      </c>
      <c r="HN43" s="461" t="s">
        <v>4</v>
      </c>
      <c r="HO43" s="460" t="s">
        <v>59</v>
      </c>
      <c r="HP43" s="460" t="s">
        <v>73</v>
      </c>
      <c r="HQ43" s="461" t="s">
        <v>4</v>
      </c>
      <c r="HR43" s="460" t="s">
        <v>59</v>
      </c>
      <c r="HS43" s="460" t="s">
        <v>73</v>
      </c>
      <c r="HT43" s="473" t="s">
        <v>4</v>
      </c>
      <c r="HU43" s="1004"/>
      <c r="HV43" s="1005">
        <f>(HC44*HD44*HE44)+(HF44*HG44*HH44)+(HI44*HJ44*HK44)+(HL44*HM44*HN44)+(HO44*HP44*HQ44)+(HR44*HS44*HT44)</f>
        <v>0</v>
      </c>
      <c r="HW43" s="940"/>
      <c r="HX43" s="1016"/>
      <c r="HZ43" s="1039"/>
      <c r="IA43" s="460" t="s">
        <v>59</v>
      </c>
      <c r="IB43" s="460" t="s">
        <v>73</v>
      </c>
      <c r="IC43" s="461" t="s">
        <v>4</v>
      </c>
      <c r="ID43" s="460" t="s">
        <v>59</v>
      </c>
      <c r="IE43" s="460" t="s">
        <v>73</v>
      </c>
      <c r="IF43" s="461" t="s">
        <v>4</v>
      </c>
      <c r="IG43" s="460" t="s">
        <v>59</v>
      </c>
      <c r="IH43" s="460" t="s">
        <v>73</v>
      </c>
      <c r="II43" s="461" t="s">
        <v>4</v>
      </c>
      <c r="IJ43" s="460" t="s">
        <v>59</v>
      </c>
      <c r="IK43" s="460" t="s">
        <v>73</v>
      </c>
      <c r="IL43" s="461" t="s">
        <v>4</v>
      </c>
      <c r="IM43" s="460" t="s">
        <v>59</v>
      </c>
      <c r="IN43" s="460" t="s">
        <v>73</v>
      </c>
      <c r="IO43" s="461" t="s">
        <v>4</v>
      </c>
      <c r="IP43" s="460" t="s">
        <v>59</v>
      </c>
      <c r="IQ43" s="460" t="s">
        <v>73</v>
      </c>
      <c r="IR43" s="473" t="s">
        <v>4</v>
      </c>
      <c r="IS43" s="1004"/>
      <c r="IT43" s="1005">
        <f>(IA44*IB44*IC44)+(ID44*IE44*IF44)+(IG44*IH44*II44)+(IJ44*IK44*IL44)+(IM44*IN44*IO44)+(IP44*IQ44*IR44)</f>
        <v>0</v>
      </c>
      <c r="IU43" s="940"/>
      <c r="IV43" s="1016"/>
      <c r="IX43" s="1052"/>
      <c r="IY43" s="491" t="s">
        <v>59</v>
      </c>
      <c r="IZ43" s="491" t="s">
        <v>73</v>
      </c>
      <c r="JA43" s="492" t="s">
        <v>4</v>
      </c>
      <c r="JB43" s="491" t="s">
        <v>59</v>
      </c>
      <c r="JC43" s="491" t="s">
        <v>73</v>
      </c>
      <c r="JD43" s="492" t="s">
        <v>4</v>
      </c>
      <c r="JE43" s="491" t="s">
        <v>59</v>
      </c>
      <c r="JF43" s="491" t="s">
        <v>73</v>
      </c>
      <c r="JG43" s="492" t="s">
        <v>4</v>
      </c>
      <c r="JH43" s="491" t="s">
        <v>59</v>
      </c>
      <c r="JI43" s="491" t="s">
        <v>73</v>
      </c>
      <c r="JJ43" s="492" t="s">
        <v>4</v>
      </c>
      <c r="JK43" s="491" t="s">
        <v>59</v>
      </c>
      <c r="JL43" s="491" t="s">
        <v>73</v>
      </c>
      <c r="JM43" s="492" t="s">
        <v>4</v>
      </c>
      <c r="JN43" s="491" t="s">
        <v>59</v>
      </c>
      <c r="JO43" s="491" t="s">
        <v>73</v>
      </c>
      <c r="JP43" s="493" t="s">
        <v>4</v>
      </c>
      <c r="JQ43" s="1071"/>
      <c r="JR43" s="1072">
        <f>(IY44*IZ44*JA44)+(JB44*JC44*JD44)+(JE44*JF44*JG44)+(JH44*JI44*JJ44)+(JK44*JL44*JM44)+(JN44*JO44*JP44)</f>
        <v>0</v>
      </c>
      <c r="JS43" s="1068"/>
      <c r="JT43" s="1070"/>
      <c r="JV43" s="1065"/>
      <c r="JW43" s="460" t="s">
        <v>59</v>
      </c>
      <c r="JX43" s="460" t="s">
        <v>73</v>
      </c>
      <c r="JY43" s="461" t="s">
        <v>4</v>
      </c>
      <c r="JZ43" s="460" t="s">
        <v>59</v>
      </c>
      <c r="KA43" s="460" t="s">
        <v>73</v>
      </c>
      <c r="KB43" s="461" t="s">
        <v>4</v>
      </c>
      <c r="KC43" s="460" t="s">
        <v>59</v>
      </c>
      <c r="KD43" s="460" t="s">
        <v>73</v>
      </c>
      <c r="KE43" s="461" t="s">
        <v>4</v>
      </c>
      <c r="KF43" s="460" t="s">
        <v>59</v>
      </c>
      <c r="KG43" s="460" t="s">
        <v>73</v>
      </c>
      <c r="KH43" s="461" t="s">
        <v>4</v>
      </c>
      <c r="KI43" s="460" t="s">
        <v>59</v>
      </c>
      <c r="KJ43" s="460" t="s">
        <v>73</v>
      </c>
      <c r="KK43" s="461" t="s">
        <v>4</v>
      </c>
      <c r="KL43" s="460" t="s">
        <v>59</v>
      </c>
      <c r="KM43" s="460" t="s">
        <v>73</v>
      </c>
      <c r="KN43" s="473" t="s">
        <v>4</v>
      </c>
      <c r="KO43" s="1004"/>
      <c r="KP43" s="1005">
        <f>(JW44*JX44*JY44)+(JZ44*KA44*KB44)+(KC44*KD44*KE44)+(KF44*KG44*KH44)+(KI44*KJ44*KK44)+(KL44*KM44*KN44)</f>
        <v>0</v>
      </c>
      <c r="KQ43" s="940"/>
      <c r="KR43" s="1016"/>
      <c r="KT43" s="1042"/>
      <c r="KU43" s="460" t="s">
        <v>59</v>
      </c>
      <c r="KV43" s="460" t="s">
        <v>73</v>
      </c>
      <c r="KW43" s="461" t="s">
        <v>4</v>
      </c>
      <c r="KX43" s="460" t="s">
        <v>59</v>
      </c>
      <c r="KY43" s="460" t="s">
        <v>73</v>
      </c>
      <c r="KZ43" s="461" t="s">
        <v>4</v>
      </c>
      <c r="LA43" s="460" t="s">
        <v>59</v>
      </c>
      <c r="LB43" s="460" t="s">
        <v>73</v>
      </c>
      <c r="LC43" s="461" t="s">
        <v>4</v>
      </c>
      <c r="LD43" s="460" t="s">
        <v>59</v>
      </c>
      <c r="LE43" s="460" t="s">
        <v>73</v>
      </c>
      <c r="LF43" s="461" t="s">
        <v>4</v>
      </c>
      <c r="LG43" s="460" t="s">
        <v>59</v>
      </c>
      <c r="LH43" s="460" t="s">
        <v>73</v>
      </c>
      <c r="LI43" s="461" t="s">
        <v>4</v>
      </c>
      <c r="LJ43" s="460" t="s">
        <v>59</v>
      </c>
      <c r="LK43" s="460" t="s">
        <v>73</v>
      </c>
      <c r="LL43" s="473" t="s">
        <v>4</v>
      </c>
      <c r="LM43" s="1004"/>
      <c r="LN43" s="1005">
        <f>(KU44*KV44*KW44)+(KX44*KY44*KZ44)+(LA44*LB44*LC44)+(LD44*LE44*LF44)+(LG44*LH44*LI44)+(LJ44*LK44*LL44)</f>
        <v>0</v>
      </c>
      <c r="LO43" s="940"/>
      <c r="LP43" s="1016"/>
    </row>
    <row r="44" spans="1:355" ht="15">
      <c r="A44" s="231"/>
      <c r="B44" s="231"/>
      <c r="C44" s="395" t="s">
        <v>380</v>
      </c>
      <c r="D44" s="231" t="s">
        <v>554</v>
      </c>
      <c r="E44" s="231" t="s">
        <v>569</v>
      </c>
      <c r="F44" s="231" t="s">
        <v>556</v>
      </c>
      <c r="G44" s="231" t="s">
        <v>557</v>
      </c>
      <c r="H44" s="231" t="s">
        <v>560</v>
      </c>
      <c r="I44" s="395" t="s">
        <v>561</v>
      </c>
      <c r="R44" s="847"/>
      <c r="S44" s="229">
        <v>4</v>
      </c>
      <c r="T44" s="229">
        <f>((12*1)+(8*3))/4</f>
        <v>9</v>
      </c>
      <c r="U44" s="229">
        <f>((6*1)+(12*3))/4</f>
        <v>10.5</v>
      </c>
      <c r="V44" s="229">
        <v>4</v>
      </c>
      <c r="W44" s="229">
        <f>((12*1)+(8*3))/4</f>
        <v>9</v>
      </c>
      <c r="X44" s="126">
        <f>((15*1)+(30*3))/4</f>
        <v>26.25</v>
      </c>
      <c r="Y44" s="229">
        <v>4</v>
      </c>
      <c r="Z44" s="229">
        <f>((12*1)+(8*3))/4</f>
        <v>9</v>
      </c>
      <c r="AA44" s="229">
        <f>((23*1)+(41*1)+(45*1)+(50*1))/4</f>
        <v>39.75</v>
      </c>
      <c r="AB44" s="229">
        <v>4</v>
      </c>
      <c r="AC44" s="229">
        <f>((20*1)+(40*3))/4</f>
        <v>35</v>
      </c>
      <c r="AD44" s="229">
        <f>(1/3)*AN42</f>
        <v>25.666666666666664</v>
      </c>
      <c r="AE44" s="233"/>
      <c r="AF44" s="233"/>
      <c r="AG44" s="233"/>
      <c r="AH44" s="233"/>
      <c r="AI44" s="233"/>
      <c r="AJ44" s="472"/>
      <c r="AK44" s="1007"/>
      <c r="AL44" s="1002"/>
      <c r="AM44" s="941"/>
      <c r="AN44" s="855"/>
      <c r="AO44" s="118"/>
      <c r="AP44" s="842"/>
      <c r="AQ44" s="494"/>
      <c r="AR44" s="494"/>
      <c r="AS44" s="494"/>
      <c r="AT44" s="494"/>
      <c r="AU44" s="494"/>
      <c r="AV44" s="494"/>
      <c r="AW44" s="494"/>
      <c r="AX44" s="494"/>
      <c r="AY44" s="494"/>
      <c r="AZ44" s="494"/>
      <c r="BA44" s="494"/>
      <c r="BB44" s="494"/>
      <c r="BC44" s="494"/>
      <c r="BD44" s="494"/>
      <c r="BE44" s="494"/>
      <c r="BF44" s="494"/>
      <c r="BG44" s="494"/>
      <c r="BH44" s="497"/>
      <c r="BI44" s="1007"/>
      <c r="BJ44" s="1003"/>
      <c r="BK44" s="941"/>
      <c r="BL44" s="1016"/>
      <c r="BM44" s="118"/>
      <c r="BN44" s="842"/>
      <c r="BO44" s="494"/>
      <c r="BP44" s="494"/>
      <c r="BQ44" s="494"/>
      <c r="BR44" s="494"/>
      <c r="BS44" s="494"/>
      <c r="BT44" s="494"/>
      <c r="BU44" s="494"/>
      <c r="BV44" s="494"/>
      <c r="BW44" s="494"/>
      <c r="BX44" s="494"/>
      <c r="BY44" s="494"/>
      <c r="BZ44" s="494"/>
      <c r="CA44" s="494"/>
      <c r="CB44" s="494"/>
      <c r="CC44" s="494"/>
      <c r="CD44" s="494"/>
      <c r="CE44" s="494"/>
      <c r="CF44" s="495"/>
      <c r="CG44" s="1007"/>
      <c r="CH44" s="1006"/>
      <c r="CI44" s="941"/>
      <c r="CJ44" s="1016"/>
      <c r="CL44" s="1076"/>
      <c r="CM44" s="233"/>
      <c r="CN44" s="233"/>
      <c r="CO44" s="233"/>
      <c r="CP44" s="233"/>
      <c r="CQ44" s="233"/>
      <c r="CR44" s="233"/>
      <c r="CS44" s="233"/>
      <c r="CT44" s="233"/>
      <c r="CU44" s="233"/>
      <c r="CV44" s="233"/>
      <c r="CW44" s="233"/>
      <c r="CX44" s="233"/>
      <c r="CY44" s="233"/>
      <c r="CZ44" s="233"/>
      <c r="DA44" s="233"/>
      <c r="DB44" s="233"/>
      <c r="DC44" s="233"/>
      <c r="DD44" s="477"/>
      <c r="DE44" s="1007"/>
      <c r="DF44" s="1006"/>
      <c r="DG44" s="941"/>
      <c r="DH44" s="1016"/>
      <c r="DJ44" s="1043"/>
      <c r="DK44" s="462"/>
      <c r="DL44" s="462"/>
      <c r="DM44" s="462"/>
      <c r="DN44" s="462"/>
      <c r="DO44" s="462"/>
      <c r="DP44" s="462"/>
      <c r="DQ44" s="462"/>
      <c r="DR44" s="462"/>
      <c r="DS44" s="462"/>
      <c r="DT44" s="462"/>
      <c r="DU44" s="462"/>
      <c r="DV44" s="462"/>
      <c r="DW44" s="462"/>
      <c r="DX44" s="462"/>
      <c r="DY44" s="462"/>
      <c r="DZ44" s="462"/>
      <c r="EA44" s="462"/>
      <c r="EB44" s="474"/>
      <c r="EC44" s="1007"/>
      <c r="ED44" s="1006"/>
      <c r="EE44" s="941"/>
      <c r="EF44" s="1016"/>
      <c r="EH44" s="1063"/>
      <c r="EI44" s="462"/>
      <c r="EJ44" s="462"/>
      <c r="EK44" s="462"/>
      <c r="EL44" s="462"/>
      <c r="EM44" s="462"/>
      <c r="EN44" s="462"/>
      <c r="EO44" s="462"/>
      <c r="EP44" s="462"/>
      <c r="EQ44" s="462"/>
      <c r="ER44" s="462"/>
      <c r="ES44" s="462"/>
      <c r="ET44" s="462"/>
      <c r="EU44" s="462"/>
      <c r="EV44" s="462"/>
      <c r="EW44" s="462"/>
      <c r="EX44" s="462"/>
      <c r="EY44" s="462"/>
      <c r="EZ44" s="474"/>
      <c r="FA44" s="1007"/>
      <c r="FB44" s="1006"/>
      <c r="FC44" s="941"/>
      <c r="FD44" s="1016"/>
      <c r="FF44" s="1076"/>
      <c r="FG44" s="462"/>
      <c r="FH44" s="462"/>
      <c r="FI44" s="462"/>
      <c r="FJ44" s="462"/>
      <c r="FK44" s="462"/>
      <c r="FL44" s="462"/>
      <c r="FM44" s="462"/>
      <c r="FN44" s="462"/>
      <c r="FO44" s="462"/>
      <c r="FP44" s="462"/>
      <c r="FQ44" s="462"/>
      <c r="FR44" s="462"/>
      <c r="FS44" s="462"/>
      <c r="FT44" s="462"/>
      <c r="FU44" s="462"/>
      <c r="FV44" s="462"/>
      <c r="FW44" s="462"/>
      <c r="FX44" s="474"/>
      <c r="FY44" s="1007"/>
      <c r="FZ44" s="1006"/>
      <c r="GA44" s="941"/>
      <c r="GB44" s="1016"/>
      <c r="GD44" s="1050"/>
      <c r="GE44" s="462"/>
      <c r="GF44" s="462"/>
      <c r="GG44" s="462"/>
      <c r="GH44" s="462"/>
      <c r="GI44" s="462"/>
      <c r="GJ44" s="462"/>
      <c r="GK44" s="462"/>
      <c r="GL44" s="462"/>
      <c r="GM44" s="462"/>
      <c r="GN44" s="462"/>
      <c r="GO44" s="462"/>
      <c r="GP44" s="462"/>
      <c r="GQ44" s="462"/>
      <c r="GR44" s="462"/>
      <c r="GS44" s="462"/>
      <c r="GT44" s="462"/>
      <c r="GU44" s="462"/>
      <c r="GV44" s="474"/>
      <c r="GW44" s="1007"/>
      <c r="GX44" s="1006"/>
      <c r="GY44" s="941"/>
      <c r="GZ44" s="1016"/>
      <c r="HB44" s="1066"/>
      <c r="HC44" s="462"/>
      <c r="HD44" s="462"/>
      <c r="HE44" s="462"/>
      <c r="HF44" s="462"/>
      <c r="HG44" s="462"/>
      <c r="HH44" s="462"/>
      <c r="HI44" s="462"/>
      <c r="HJ44" s="462"/>
      <c r="HK44" s="462"/>
      <c r="HL44" s="462"/>
      <c r="HM44" s="462"/>
      <c r="HN44" s="462"/>
      <c r="HO44" s="462"/>
      <c r="HP44" s="462"/>
      <c r="HQ44" s="462"/>
      <c r="HR44" s="462"/>
      <c r="HS44" s="462"/>
      <c r="HT44" s="474"/>
      <c r="HU44" s="1007"/>
      <c r="HV44" s="1006"/>
      <c r="HW44" s="941"/>
      <c r="HX44" s="1016"/>
      <c r="HZ44" s="1040"/>
      <c r="IA44" s="462"/>
      <c r="IB44" s="462"/>
      <c r="IC44" s="462"/>
      <c r="ID44" s="462"/>
      <c r="IE44" s="462"/>
      <c r="IF44" s="462"/>
      <c r="IG44" s="462"/>
      <c r="IH44" s="462"/>
      <c r="II44" s="462"/>
      <c r="IJ44" s="462"/>
      <c r="IK44" s="462"/>
      <c r="IL44" s="462"/>
      <c r="IM44" s="462"/>
      <c r="IN44" s="462"/>
      <c r="IO44" s="462"/>
      <c r="IP44" s="462"/>
      <c r="IQ44" s="462"/>
      <c r="IR44" s="474"/>
      <c r="IS44" s="1007"/>
      <c r="IT44" s="1006"/>
      <c r="IU44" s="941"/>
      <c r="IV44" s="1016"/>
      <c r="IX44" s="1053"/>
      <c r="IY44" s="494"/>
      <c r="IZ44" s="494"/>
      <c r="JA44" s="494"/>
      <c r="JB44" s="494"/>
      <c r="JC44" s="494"/>
      <c r="JD44" s="494"/>
      <c r="JE44" s="494"/>
      <c r="JF44" s="494"/>
      <c r="JG44" s="494"/>
      <c r="JH44" s="494"/>
      <c r="JI44" s="494"/>
      <c r="JJ44" s="494"/>
      <c r="JK44" s="494"/>
      <c r="JL44" s="494"/>
      <c r="JM44" s="494"/>
      <c r="JN44" s="494"/>
      <c r="JO44" s="494"/>
      <c r="JP44" s="495"/>
      <c r="JQ44" s="1081"/>
      <c r="JR44" s="1073"/>
      <c r="JS44" s="1069"/>
      <c r="JT44" s="1070"/>
      <c r="JV44" s="1066"/>
      <c r="JW44" s="462"/>
      <c r="JX44" s="462"/>
      <c r="JY44" s="462"/>
      <c r="JZ44" s="462"/>
      <c r="KA44" s="462"/>
      <c r="KB44" s="462"/>
      <c r="KC44" s="462"/>
      <c r="KD44" s="462"/>
      <c r="KE44" s="462"/>
      <c r="KF44" s="462"/>
      <c r="KG44" s="462"/>
      <c r="KH44" s="462"/>
      <c r="KI44" s="462"/>
      <c r="KJ44" s="462"/>
      <c r="KK44" s="462"/>
      <c r="KL44" s="462"/>
      <c r="KM44" s="462"/>
      <c r="KN44" s="474"/>
      <c r="KO44" s="1007"/>
      <c r="KP44" s="1006"/>
      <c r="KQ44" s="941"/>
      <c r="KR44" s="1016"/>
      <c r="KT44" s="1043"/>
      <c r="KU44" s="462"/>
      <c r="KV44" s="462"/>
      <c r="KW44" s="462"/>
      <c r="KX44" s="462"/>
      <c r="KY44" s="462"/>
      <c r="KZ44" s="462"/>
      <c r="LA44" s="462"/>
      <c r="LB44" s="462"/>
      <c r="LC44" s="462"/>
      <c r="LD44" s="462"/>
      <c r="LE44" s="462"/>
      <c r="LF44" s="462"/>
      <c r="LG44" s="462"/>
      <c r="LH44" s="462"/>
      <c r="LI44" s="462"/>
      <c r="LJ44" s="462"/>
      <c r="LK44" s="462"/>
      <c r="LL44" s="474"/>
      <c r="LM44" s="1007"/>
      <c r="LN44" s="1006"/>
      <c r="LO44" s="941"/>
      <c r="LP44" s="1016"/>
    </row>
    <row r="45" spans="1:355" ht="15">
      <c r="A45" s="231"/>
      <c r="B45" s="231"/>
      <c r="C45" s="395" t="s">
        <v>99</v>
      </c>
      <c r="D45" s="231" t="s">
        <v>554</v>
      </c>
      <c r="E45" s="231" t="s">
        <v>576</v>
      </c>
      <c r="F45" s="231" t="s">
        <v>556</v>
      </c>
      <c r="G45" s="231" t="s">
        <v>557</v>
      </c>
      <c r="H45" s="231" t="s">
        <v>564</v>
      </c>
      <c r="I45" s="395" t="s">
        <v>387</v>
      </c>
      <c r="R45" s="873">
        <v>46037</v>
      </c>
      <c r="S45" s="849" t="s">
        <v>72</v>
      </c>
      <c r="T45" s="849"/>
      <c r="U45" s="849"/>
      <c r="V45" s="848" t="s">
        <v>102</v>
      </c>
      <c r="W45" s="848"/>
      <c r="X45" s="848"/>
      <c r="Y45" s="848" t="s">
        <v>424</v>
      </c>
      <c r="Z45" s="848"/>
      <c r="AA45" s="848"/>
      <c r="AB45" s="848" t="s">
        <v>380</v>
      </c>
      <c r="AC45" s="848"/>
      <c r="AD45" s="848"/>
      <c r="AE45" s="879" t="s">
        <v>78</v>
      </c>
      <c r="AF45" s="880"/>
      <c r="AG45" s="881"/>
      <c r="AH45" s="834"/>
      <c r="AI45" s="835"/>
      <c r="AJ45" s="835"/>
      <c r="AK45" s="459" t="s">
        <v>425</v>
      </c>
      <c r="AL45" s="1">
        <f t="shared" ref="AL45" si="64">COUNTA(S45:AJ45)</f>
        <v>5</v>
      </c>
      <c r="AM45" s="939"/>
      <c r="AN45" s="855">
        <v>77.3</v>
      </c>
      <c r="AO45" s="118"/>
      <c r="AP45" s="864">
        <v>46068</v>
      </c>
      <c r="AQ45" s="849" t="s">
        <v>434</v>
      </c>
      <c r="AR45" s="849"/>
      <c r="AS45" s="849"/>
      <c r="AT45" s="849" t="s">
        <v>72</v>
      </c>
      <c r="AU45" s="849"/>
      <c r="AV45" s="849"/>
      <c r="AW45" s="890" t="s">
        <v>435</v>
      </c>
      <c r="AX45" s="890"/>
      <c r="AY45" s="890"/>
      <c r="AZ45" s="848" t="s">
        <v>68</v>
      </c>
      <c r="BA45" s="848"/>
      <c r="BB45" s="848"/>
      <c r="BC45" s="882" t="s">
        <v>123</v>
      </c>
      <c r="BD45" s="883"/>
      <c r="BE45" s="884"/>
      <c r="BF45" s="834"/>
      <c r="BG45" s="835"/>
      <c r="BH45" s="835"/>
      <c r="BI45" s="459" t="s">
        <v>425</v>
      </c>
      <c r="BJ45" s="482">
        <f t="shared" ref="BJ45:BJ63" si="65">COUNTA(AQ45:BH45)</f>
        <v>5</v>
      </c>
      <c r="BK45" s="939"/>
      <c r="BL45" s="1016">
        <v>76.8</v>
      </c>
      <c r="BM45" s="118"/>
      <c r="BN45" s="864">
        <v>46096</v>
      </c>
      <c r="BO45" s="848" t="s">
        <v>70</v>
      </c>
      <c r="BP45" s="848"/>
      <c r="BQ45" s="848"/>
      <c r="BR45" s="859"/>
      <c r="BS45" s="859"/>
      <c r="BT45" s="859"/>
      <c r="BU45" s="834"/>
      <c r="BV45" s="835"/>
      <c r="BW45" s="836"/>
      <c r="BX45" s="867"/>
      <c r="BY45" s="868"/>
      <c r="BZ45" s="869"/>
      <c r="CA45" s="834"/>
      <c r="CB45" s="835"/>
      <c r="CC45" s="836"/>
      <c r="CD45" s="834"/>
      <c r="CE45" s="835"/>
      <c r="CF45" s="835"/>
      <c r="CG45" s="459" t="s">
        <v>425</v>
      </c>
      <c r="CH45" s="482">
        <f t="shared" ref="CH45" si="66">COUNTA(BO45:CF45)</f>
        <v>1</v>
      </c>
      <c r="CI45" s="939">
        <v>7</v>
      </c>
      <c r="CJ45" s="1016">
        <v>77.150000000000006</v>
      </c>
      <c r="CL45" s="1038">
        <v>46127</v>
      </c>
      <c r="CM45" s="844"/>
      <c r="CN45" s="844"/>
      <c r="CO45" s="844"/>
      <c r="CP45" s="844"/>
      <c r="CQ45" s="844"/>
      <c r="CR45" s="844"/>
      <c r="CS45" s="844"/>
      <c r="CT45" s="844"/>
      <c r="CU45" s="844"/>
      <c r="CV45" s="844"/>
      <c r="CW45" s="844"/>
      <c r="CX45" s="844"/>
      <c r="CY45" s="834"/>
      <c r="CZ45" s="835"/>
      <c r="DA45" s="836"/>
      <c r="DB45" s="834"/>
      <c r="DC45" s="835"/>
      <c r="DD45" s="835"/>
      <c r="DE45" s="459" t="s">
        <v>425</v>
      </c>
      <c r="DF45" s="482">
        <f>COUNTA(CM45:DD45)</f>
        <v>0</v>
      </c>
      <c r="DG45" s="939">
        <v>0</v>
      </c>
      <c r="DH45" s="1016">
        <f t="shared" ref="DH45" si="67">DH42</f>
        <v>76.3</v>
      </c>
      <c r="DJ45" s="1048">
        <v>46157</v>
      </c>
      <c r="DK45" s="960"/>
      <c r="DL45" s="960"/>
      <c r="DM45" s="960"/>
      <c r="DN45" s="960"/>
      <c r="DO45" s="960"/>
      <c r="DP45" s="960"/>
      <c r="DQ45" s="960"/>
      <c r="DR45" s="960"/>
      <c r="DS45" s="960"/>
      <c r="DT45" s="960"/>
      <c r="DU45" s="960"/>
      <c r="DV45" s="960"/>
      <c r="DW45" s="961"/>
      <c r="DX45" s="962"/>
      <c r="DY45" s="963"/>
      <c r="DZ45" s="961"/>
      <c r="EA45" s="962"/>
      <c r="EB45" s="962"/>
      <c r="EC45" s="459" t="s">
        <v>425</v>
      </c>
      <c r="ED45" s="482">
        <f>COUNTA(DK45:EB45)</f>
        <v>0</v>
      </c>
      <c r="EE45" s="939"/>
      <c r="EF45" s="1016"/>
      <c r="EH45" s="1064">
        <v>46188</v>
      </c>
      <c r="EI45" s="960"/>
      <c r="EJ45" s="960"/>
      <c r="EK45" s="960"/>
      <c r="EL45" s="960"/>
      <c r="EM45" s="960"/>
      <c r="EN45" s="960"/>
      <c r="EO45" s="960"/>
      <c r="EP45" s="960"/>
      <c r="EQ45" s="960"/>
      <c r="ER45" s="960"/>
      <c r="ES45" s="960"/>
      <c r="ET45" s="960"/>
      <c r="EU45" s="961"/>
      <c r="EV45" s="962"/>
      <c r="EW45" s="963"/>
      <c r="EX45" s="961"/>
      <c r="EY45" s="962"/>
      <c r="EZ45" s="962"/>
      <c r="FA45" s="459" t="s">
        <v>425</v>
      </c>
      <c r="FB45" s="482">
        <f>COUNTA(EI45:EZ45)</f>
        <v>0</v>
      </c>
      <c r="FC45" s="939"/>
      <c r="FD45" s="1016"/>
      <c r="FF45" s="1038">
        <v>46218</v>
      </c>
      <c r="FG45" s="960"/>
      <c r="FH45" s="960"/>
      <c r="FI45" s="960"/>
      <c r="FJ45" s="960"/>
      <c r="FK45" s="960"/>
      <c r="FL45" s="960"/>
      <c r="FM45" s="960"/>
      <c r="FN45" s="960"/>
      <c r="FO45" s="960"/>
      <c r="FP45" s="960"/>
      <c r="FQ45" s="960"/>
      <c r="FR45" s="960"/>
      <c r="FS45" s="961"/>
      <c r="FT45" s="962"/>
      <c r="FU45" s="963"/>
      <c r="FV45" s="961"/>
      <c r="FW45" s="962"/>
      <c r="FX45" s="962"/>
      <c r="FY45" s="459" t="s">
        <v>425</v>
      </c>
      <c r="FZ45" s="482">
        <f>COUNTA(FG45:FX45)</f>
        <v>0</v>
      </c>
      <c r="GA45" s="939"/>
      <c r="GB45" s="1016"/>
      <c r="GD45" s="1051">
        <v>46249</v>
      </c>
      <c r="GE45" s="1023"/>
      <c r="GF45" s="1023"/>
      <c r="GG45" s="1023"/>
      <c r="GH45" s="1023"/>
      <c r="GI45" s="1023"/>
      <c r="GJ45" s="1023"/>
      <c r="GK45" s="1023"/>
      <c r="GL45" s="1023"/>
      <c r="GM45" s="1023"/>
      <c r="GN45" s="1023"/>
      <c r="GO45" s="1023"/>
      <c r="GP45" s="1023"/>
      <c r="GQ45" s="1021"/>
      <c r="GR45" s="1022"/>
      <c r="GS45" s="1024"/>
      <c r="GT45" s="1021"/>
      <c r="GU45" s="1022"/>
      <c r="GV45" s="1022"/>
      <c r="GW45" s="489" t="s">
        <v>425</v>
      </c>
      <c r="GX45" s="496">
        <f>COUNTA(GE45:GV45)</f>
        <v>0</v>
      </c>
      <c r="GY45" s="1067"/>
      <c r="GZ45" s="1070"/>
      <c r="HB45" s="1074">
        <v>46280</v>
      </c>
      <c r="HC45" s="960"/>
      <c r="HD45" s="960"/>
      <c r="HE45" s="960"/>
      <c r="HF45" s="960"/>
      <c r="HG45" s="960"/>
      <c r="HH45" s="960"/>
      <c r="HI45" s="960"/>
      <c r="HJ45" s="960"/>
      <c r="HK45" s="960"/>
      <c r="HL45" s="960"/>
      <c r="HM45" s="960"/>
      <c r="HN45" s="960"/>
      <c r="HO45" s="961"/>
      <c r="HP45" s="962"/>
      <c r="HQ45" s="963"/>
      <c r="HR45" s="961"/>
      <c r="HS45" s="962"/>
      <c r="HT45" s="962"/>
      <c r="HU45" s="459" t="s">
        <v>425</v>
      </c>
      <c r="HV45" s="482">
        <f>COUNTA(HC45:HT45)</f>
        <v>0</v>
      </c>
      <c r="HW45" s="939"/>
      <c r="HX45" s="1016"/>
      <c r="HZ45" s="1041">
        <v>46310</v>
      </c>
      <c r="IA45" s="960"/>
      <c r="IB45" s="960"/>
      <c r="IC45" s="960"/>
      <c r="ID45" s="960"/>
      <c r="IE45" s="960"/>
      <c r="IF45" s="960"/>
      <c r="IG45" s="960"/>
      <c r="IH45" s="960"/>
      <c r="II45" s="960"/>
      <c r="IJ45" s="960"/>
      <c r="IK45" s="960"/>
      <c r="IL45" s="960"/>
      <c r="IM45" s="961"/>
      <c r="IN45" s="962"/>
      <c r="IO45" s="963"/>
      <c r="IP45" s="961"/>
      <c r="IQ45" s="962"/>
      <c r="IR45" s="962"/>
      <c r="IS45" s="459" t="s">
        <v>425</v>
      </c>
      <c r="IT45" s="482">
        <f>COUNTA(IA45:IR45)</f>
        <v>0</v>
      </c>
      <c r="IU45" s="939"/>
      <c r="IV45" s="1016"/>
      <c r="IX45" s="1061">
        <v>46341</v>
      </c>
      <c r="IY45" s="960"/>
      <c r="IZ45" s="960"/>
      <c r="JA45" s="960"/>
      <c r="JB45" s="960"/>
      <c r="JC45" s="960"/>
      <c r="JD45" s="960"/>
      <c r="JE45" s="960"/>
      <c r="JF45" s="960"/>
      <c r="JG45" s="960"/>
      <c r="JH45" s="960"/>
      <c r="JI45" s="960"/>
      <c r="JJ45" s="960"/>
      <c r="JK45" s="961"/>
      <c r="JL45" s="962"/>
      <c r="JM45" s="963"/>
      <c r="JN45" s="961"/>
      <c r="JO45" s="962"/>
      <c r="JP45" s="962"/>
      <c r="JQ45" s="459" t="s">
        <v>425</v>
      </c>
      <c r="JR45" s="482">
        <f>COUNTA(IY45:JP45)</f>
        <v>0</v>
      </c>
      <c r="JS45" s="939"/>
      <c r="JT45" s="1016"/>
      <c r="JV45" s="1074">
        <v>46371</v>
      </c>
      <c r="JW45" s="960"/>
      <c r="JX45" s="960"/>
      <c r="JY45" s="960"/>
      <c r="JZ45" s="960"/>
      <c r="KA45" s="960"/>
      <c r="KB45" s="960"/>
      <c r="KC45" s="960"/>
      <c r="KD45" s="960"/>
      <c r="KE45" s="960"/>
      <c r="KF45" s="960"/>
      <c r="KG45" s="960"/>
      <c r="KH45" s="960"/>
      <c r="KI45" s="961"/>
      <c r="KJ45" s="962"/>
      <c r="KK45" s="963"/>
      <c r="KL45" s="961"/>
      <c r="KM45" s="962"/>
      <c r="KN45" s="962"/>
      <c r="KO45" s="459" t="s">
        <v>425</v>
      </c>
      <c r="KP45" s="482">
        <f>COUNTA(JW45:KN45)</f>
        <v>0</v>
      </c>
      <c r="KQ45" s="939"/>
      <c r="KR45" s="1016"/>
      <c r="KT45" s="1048">
        <v>46402</v>
      </c>
      <c r="KU45" s="960"/>
      <c r="KV45" s="960"/>
      <c r="KW45" s="960"/>
      <c r="KX45" s="960"/>
      <c r="KY45" s="960"/>
      <c r="KZ45" s="960"/>
      <c r="LA45" s="960"/>
      <c r="LB45" s="960"/>
      <c r="LC45" s="960"/>
      <c r="LD45" s="960"/>
      <c r="LE45" s="960"/>
      <c r="LF45" s="960"/>
      <c r="LG45" s="961"/>
      <c r="LH45" s="962"/>
      <c r="LI45" s="963"/>
      <c r="LJ45" s="961"/>
      <c r="LK45" s="962"/>
      <c r="LL45" s="962"/>
      <c r="LM45" s="459" t="s">
        <v>425</v>
      </c>
      <c r="LN45" s="482">
        <f>COUNTA(KU45:LL45)</f>
        <v>0</v>
      </c>
      <c r="LO45" s="939"/>
      <c r="LP45" s="1016"/>
    </row>
    <row r="46" spans="1:355" ht="15">
      <c r="A46" s="231"/>
      <c r="B46" s="231"/>
      <c r="C46" s="395" t="s">
        <v>391</v>
      </c>
      <c r="D46" s="231" t="s">
        <v>554</v>
      </c>
      <c r="E46" s="231" t="s">
        <v>581</v>
      </c>
      <c r="F46" s="231" t="s">
        <v>556</v>
      </c>
      <c r="G46" s="231" t="s">
        <v>557</v>
      </c>
      <c r="H46" s="231" t="s">
        <v>575</v>
      </c>
      <c r="I46" s="395" t="s">
        <v>561</v>
      </c>
      <c r="R46" s="874"/>
      <c r="S46" s="231" t="s">
        <v>59</v>
      </c>
      <c r="T46" s="231" t="s">
        <v>73</v>
      </c>
      <c r="U46" s="102" t="s">
        <v>4</v>
      </c>
      <c r="V46" s="231" t="s">
        <v>59</v>
      </c>
      <c r="W46" s="231" t="s">
        <v>73</v>
      </c>
      <c r="X46" s="102" t="s">
        <v>4</v>
      </c>
      <c r="Y46" s="231" t="s">
        <v>59</v>
      </c>
      <c r="Z46" s="231" t="s">
        <v>73</v>
      </c>
      <c r="AA46" s="102" t="s">
        <v>4</v>
      </c>
      <c r="AB46" s="231" t="s">
        <v>59</v>
      </c>
      <c r="AC46" s="231" t="s">
        <v>73</v>
      </c>
      <c r="AD46" s="102" t="s">
        <v>4</v>
      </c>
      <c r="AE46" s="231" t="s">
        <v>59</v>
      </c>
      <c r="AF46" s="231" t="s">
        <v>73</v>
      </c>
      <c r="AG46" s="102" t="s">
        <v>4</v>
      </c>
      <c r="AH46" s="107" t="s">
        <v>59</v>
      </c>
      <c r="AI46" s="107" t="s">
        <v>73</v>
      </c>
      <c r="AJ46" s="471" t="s">
        <v>4</v>
      </c>
      <c r="AK46" s="1004">
        <v>57</v>
      </c>
      <c r="AL46" s="1002">
        <f t="shared" ref="AL46" si="68">(S47*T47*U47)+(V47*W47*X47)+(Y47*Z47*AA47)+(AB47*AC47*AD47)+(AE47*AF47*AG47)+(AH47*AI47*AJ47)</f>
        <v>4359.25</v>
      </c>
      <c r="AM46" s="940"/>
      <c r="AN46" s="855"/>
      <c r="AO46" s="118"/>
      <c r="AP46" s="865"/>
      <c r="AQ46" s="231" t="s">
        <v>59</v>
      </c>
      <c r="AR46" s="231" t="s">
        <v>73</v>
      </c>
      <c r="AS46" s="102" t="s">
        <v>4</v>
      </c>
      <c r="AT46" s="231" t="s">
        <v>59</v>
      </c>
      <c r="AU46" s="231" t="s">
        <v>73</v>
      </c>
      <c r="AV46" s="102" t="s">
        <v>4</v>
      </c>
      <c r="AW46" s="231" t="s">
        <v>59</v>
      </c>
      <c r="AX46" s="231" t="s">
        <v>73</v>
      </c>
      <c r="AY46" s="102" t="s">
        <v>4</v>
      </c>
      <c r="AZ46" s="231" t="s">
        <v>59</v>
      </c>
      <c r="BA46" s="231" t="s">
        <v>73</v>
      </c>
      <c r="BB46" s="102" t="s">
        <v>4</v>
      </c>
      <c r="BC46" s="231" t="s">
        <v>59</v>
      </c>
      <c r="BD46" s="231" t="s">
        <v>73</v>
      </c>
      <c r="BE46" s="102" t="s">
        <v>4</v>
      </c>
      <c r="BF46" s="107" t="s">
        <v>59</v>
      </c>
      <c r="BG46" s="107" t="s">
        <v>73</v>
      </c>
      <c r="BH46" s="471" t="s">
        <v>4</v>
      </c>
      <c r="BI46" s="1004">
        <v>70</v>
      </c>
      <c r="BJ46" s="1003">
        <f t="shared" ref="BJ46:BJ64" si="69">(AQ47*AR47*AS47)+(AT47*AU47*AV47)+(AW47*AX47*AY47)+(AZ47*BA47*BB47)+(BC47*BD47*BE47)+(BF47*BG47*BH47)</f>
        <v>7331.3499999999995</v>
      </c>
      <c r="BK46" s="940"/>
      <c r="BL46" s="1016"/>
      <c r="BM46" s="118"/>
      <c r="BN46" s="865"/>
      <c r="BO46" s="231" t="s">
        <v>59</v>
      </c>
      <c r="BP46" s="231" t="s">
        <v>73</v>
      </c>
      <c r="BQ46" s="102" t="s">
        <v>4</v>
      </c>
      <c r="BR46" s="107" t="s">
        <v>59</v>
      </c>
      <c r="BS46" s="107" t="s">
        <v>73</v>
      </c>
      <c r="BT46" s="108" t="s">
        <v>4</v>
      </c>
      <c r="BU46" s="107" t="s">
        <v>59</v>
      </c>
      <c r="BV46" s="107" t="s">
        <v>73</v>
      </c>
      <c r="BW46" s="108" t="s">
        <v>4</v>
      </c>
      <c r="BX46" s="107" t="s">
        <v>59</v>
      </c>
      <c r="BY46" s="107" t="s">
        <v>73</v>
      </c>
      <c r="BZ46" s="108" t="s">
        <v>4</v>
      </c>
      <c r="CA46" s="107" t="s">
        <v>59</v>
      </c>
      <c r="CB46" s="107" t="s">
        <v>73</v>
      </c>
      <c r="CC46" s="108" t="s">
        <v>4</v>
      </c>
      <c r="CD46" s="107" t="s">
        <v>59</v>
      </c>
      <c r="CE46" s="107" t="s">
        <v>73</v>
      </c>
      <c r="CF46" s="471" t="s">
        <v>4</v>
      </c>
      <c r="CG46" s="1004">
        <f>60+26</f>
        <v>86</v>
      </c>
      <c r="CH46" s="1005">
        <f t="shared" ref="CH46" si="70">(BO47*BP47*BQ47)+(BR47*BS47*BT47)+(BU47*BV47*BW47)+(BX47*BY47*BZ47)+(CA47*CB47*CC47)+(CD47*CE47*CF47)</f>
        <v>6634.9000000000005</v>
      </c>
      <c r="CI46" s="940"/>
      <c r="CJ46" s="1016"/>
      <c r="CL46" s="1039"/>
      <c r="CM46" s="107" t="s">
        <v>59</v>
      </c>
      <c r="CN46" s="107" t="s">
        <v>73</v>
      </c>
      <c r="CO46" s="108" t="s">
        <v>4</v>
      </c>
      <c r="CP46" s="107" t="s">
        <v>59</v>
      </c>
      <c r="CQ46" s="107" t="s">
        <v>73</v>
      </c>
      <c r="CR46" s="108" t="s">
        <v>4</v>
      </c>
      <c r="CS46" s="107" t="s">
        <v>59</v>
      </c>
      <c r="CT46" s="107" t="s">
        <v>73</v>
      </c>
      <c r="CU46" s="108" t="s">
        <v>4</v>
      </c>
      <c r="CV46" s="107" t="s">
        <v>59</v>
      </c>
      <c r="CW46" s="107" t="s">
        <v>73</v>
      </c>
      <c r="CX46" s="108" t="s">
        <v>4</v>
      </c>
      <c r="CY46" s="107" t="s">
        <v>59</v>
      </c>
      <c r="CZ46" s="107" t="s">
        <v>73</v>
      </c>
      <c r="DA46" s="108" t="s">
        <v>4</v>
      </c>
      <c r="DB46" s="107" t="s">
        <v>59</v>
      </c>
      <c r="DC46" s="107" t="s">
        <v>73</v>
      </c>
      <c r="DD46" s="471" t="s">
        <v>4</v>
      </c>
      <c r="DE46" s="1004">
        <v>0</v>
      </c>
      <c r="DF46" s="1005">
        <f>(CM47*CN47*CO47)+(CP47*CQ47*CR47)+(CS47*CT47*CU47)+(CV47*CW47*CX47)+(CY47*CZ47*DA47)+(DB47*DC47*DD47)</f>
        <v>0</v>
      </c>
      <c r="DG46" s="940"/>
      <c r="DH46" s="1016"/>
      <c r="DJ46" s="1049"/>
      <c r="DK46" s="460" t="s">
        <v>59</v>
      </c>
      <c r="DL46" s="460" t="s">
        <v>73</v>
      </c>
      <c r="DM46" s="461" t="s">
        <v>4</v>
      </c>
      <c r="DN46" s="460" t="s">
        <v>59</v>
      </c>
      <c r="DO46" s="460" t="s">
        <v>73</v>
      </c>
      <c r="DP46" s="461" t="s">
        <v>4</v>
      </c>
      <c r="DQ46" s="460" t="s">
        <v>59</v>
      </c>
      <c r="DR46" s="460" t="s">
        <v>73</v>
      </c>
      <c r="DS46" s="461" t="s">
        <v>4</v>
      </c>
      <c r="DT46" s="460" t="s">
        <v>59</v>
      </c>
      <c r="DU46" s="460" t="s">
        <v>73</v>
      </c>
      <c r="DV46" s="461" t="s">
        <v>4</v>
      </c>
      <c r="DW46" s="460" t="s">
        <v>59</v>
      </c>
      <c r="DX46" s="460" t="s">
        <v>73</v>
      </c>
      <c r="DY46" s="461" t="s">
        <v>4</v>
      </c>
      <c r="DZ46" s="460" t="s">
        <v>59</v>
      </c>
      <c r="EA46" s="460" t="s">
        <v>73</v>
      </c>
      <c r="EB46" s="473" t="s">
        <v>4</v>
      </c>
      <c r="EC46" s="1004"/>
      <c r="ED46" s="1005">
        <f>(DK47*DL47*DM47)+(DN47*DO47*DP47)+(DQ47*DR47*DS47)+(DT47*DU47*DV47)+(DW47*DX47*DY47)+(DZ47*EA47*EB47)</f>
        <v>0</v>
      </c>
      <c r="EE46" s="940"/>
      <c r="EF46" s="1016"/>
      <c r="EH46" s="1065"/>
      <c r="EI46" s="460" t="s">
        <v>59</v>
      </c>
      <c r="EJ46" s="460" t="s">
        <v>73</v>
      </c>
      <c r="EK46" s="461" t="s">
        <v>4</v>
      </c>
      <c r="EL46" s="460" t="s">
        <v>59</v>
      </c>
      <c r="EM46" s="460" t="s">
        <v>73</v>
      </c>
      <c r="EN46" s="461" t="s">
        <v>4</v>
      </c>
      <c r="EO46" s="460" t="s">
        <v>59</v>
      </c>
      <c r="EP46" s="460" t="s">
        <v>73</v>
      </c>
      <c r="EQ46" s="461" t="s">
        <v>4</v>
      </c>
      <c r="ER46" s="460" t="s">
        <v>59</v>
      </c>
      <c r="ES46" s="460" t="s">
        <v>73</v>
      </c>
      <c r="ET46" s="461" t="s">
        <v>4</v>
      </c>
      <c r="EU46" s="460" t="s">
        <v>59</v>
      </c>
      <c r="EV46" s="460" t="s">
        <v>73</v>
      </c>
      <c r="EW46" s="461" t="s">
        <v>4</v>
      </c>
      <c r="EX46" s="460" t="s">
        <v>59</v>
      </c>
      <c r="EY46" s="460" t="s">
        <v>73</v>
      </c>
      <c r="EZ46" s="473" t="s">
        <v>4</v>
      </c>
      <c r="FA46" s="1004"/>
      <c r="FB46" s="1005">
        <f>(EI47*EJ47*EK47)+(EL47*EM47*EN47)+(EO47*EP47*EQ47)+(ER47*ES47*ET47)+(EU47*EV47*EW47)+(EX47*EY47*EZ47)</f>
        <v>0</v>
      </c>
      <c r="FC46" s="940"/>
      <c r="FD46" s="1016"/>
      <c r="FF46" s="1039"/>
      <c r="FG46" s="460" t="s">
        <v>59</v>
      </c>
      <c r="FH46" s="460" t="s">
        <v>73</v>
      </c>
      <c r="FI46" s="461" t="s">
        <v>4</v>
      </c>
      <c r="FJ46" s="460" t="s">
        <v>59</v>
      </c>
      <c r="FK46" s="460" t="s">
        <v>73</v>
      </c>
      <c r="FL46" s="461" t="s">
        <v>4</v>
      </c>
      <c r="FM46" s="460" t="s">
        <v>59</v>
      </c>
      <c r="FN46" s="460" t="s">
        <v>73</v>
      </c>
      <c r="FO46" s="461" t="s">
        <v>4</v>
      </c>
      <c r="FP46" s="460" t="s">
        <v>59</v>
      </c>
      <c r="FQ46" s="460" t="s">
        <v>73</v>
      </c>
      <c r="FR46" s="461" t="s">
        <v>4</v>
      </c>
      <c r="FS46" s="460" t="s">
        <v>59</v>
      </c>
      <c r="FT46" s="460" t="s">
        <v>73</v>
      </c>
      <c r="FU46" s="461" t="s">
        <v>4</v>
      </c>
      <c r="FV46" s="460" t="s">
        <v>59</v>
      </c>
      <c r="FW46" s="460" t="s">
        <v>73</v>
      </c>
      <c r="FX46" s="473" t="s">
        <v>4</v>
      </c>
      <c r="FY46" s="1004"/>
      <c r="FZ46" s="1005">
        <f>(FG47*FH47*FI47)+(FJ47*FK47*FL47)+(FM47*FN47*FO47)+(FP47*FQ47*FR47)+(FS47*FT47*FU47)+(FV47*FW47*FX47)</f>
        <v>0</v>
      </c>
      <c r="GA46" s="940"/>
      <c r="GB46" s="1016"/>
      <c r="GD46" s="1052"/>
      <c r="GE46" s="491" t="s">
        <v>59</v>
      </c>
      <c r="GF46" s="491" t="s">
        <v>73</v>
      </c>
      <c r="GG46" s="492" t="s">
        <v>4</v>
      </c>
      <c r="GH46" s="491" t="s">
        <v>59</v>
      </c>
      <c r="GI46" s="491" t="s">
        <v>73</v>
      </c>
      <c r="GJ46" s="492" t="s">
        <v>4</v>
      </c>
      <c r="GK46" s="491" t="s">
        <v>59</v>
      </c>
      <c r="GL46" s="491" t="s">
        <v>73</v>
      </c>
      <c r="GM46" s="492" t="s">
        <v>4</v>
      </c>
      <c r="GN46" s="491" t="s">
        <v>59</v>
      </c>
      <c r="GO46" s="491" t="s">
        <v>73</v>
      </c>
      <c r="GP46" s="492" t="s">
        <v>4</v>
      </c>
      <c r="GQ46" s="491" t="s">
        <v>59</v>
      </c>
      <c r="GR46" s="491" t="s">
        <v>73</v>
      </c>
      <c r="GS46" s="492" t="s">
        <v>4</v>
      </c>
      <c r="GT46" s="491" t="s">
        <v>59</v>
      </c>
      <c r="GU46" s="491" t="s">
        <v>73</v>
      </c>
      <c r="GV46" s="493" t="s">
        <v>4</v>
      </c>
      <c r="GW46" s="1071"/>
      <c r="GX46" s="1072">
        <f>(GE47*GF47*GG47)+(GH47*GI47*GJ47)+(GK47*GL47*GM47)+(GN47*GO47*GP47)+(GQ47*GR47*GS47)+(GT47*GU47*GV47)</f>
        <v>0</v>
      </c>
      <c r="GY46" s="1068"/>
      <c r="GZ46" s="1070"/>
      <c r="HB46" s="1075"/>
      <c r="HC46" s="460" t="s">
        <v>59</v>
      </c>
      <c r="HD46" s="460" t="s">
        <v>73</v>
      </c>
      <c r="HE46" s="461" t="s">
        <v>4</v>
      </c>
      <c r="HF46" s="460" t="s">
        <v>59</v>
      </c>
      <c r="HG46" s="460" t="s">
        <v>73</v>
      </c>
      <c r="HH46" s="461" t="s">
        <v>4</v>
      </c>
      <c r="HI46" s="460" t="s">
        <v>59</v>
      </c>
      <c r="HJ46" s="460" t="s">
        <v>73</v>
      </c>
      <c r="HK46" s="461" t="s">
        <v>4</v>
      </c>
      <c r="HL46" s="460" t="s">
        <v>59</v>
      </c>
      <c r="HM46" s="460" t="s">
        <v>73</v>
      </c>
      <c r="HN46" s="461" t="s">
        <v>4</v>
      </c>
      <c r="HO46" s="460" t="s">
        <v>59</v>
      </c>
      <c r="HP46" s="460" t="s">
        <v>73</v>
      </c>
      <c r="HQ46" s="461" t="s">
        <v>4</v>
      </c>
      <c r="HR46" s="460" t="s">
        <v>59</v>
      </c>
      <c r="HS46" s="460" t="s">
        <v>73</v>
      </c>
      <c r="HT46" s="473" t="s">
        <v>4</v>
      </c>
      <c r="HU46" s="1004"/>
      <c r="HV46" s="1005">
        <f>(HC47*HD47*HE47)+(HF47*HG47*HH47)+(HI47*HJ47*HK47)+(HL47*HM47*HN47)+(HO47*HP47*HQ47)+(HR47*HS47*HT47)</f>
        <v>0</v>
      </c>
      <c r="HW46" s="940"/>
      <c r="HX46" s="1016"/>
      <c r="HZ46" s="1042"/>
      <c r="IA46" s="460" t="s">
        <v>59</v>
      </c>
      <c r="IB46" s="460" t="s">
        <v>73</v>
      </c>
      <c r="IC46" s="461" t="s">
        <v>4</v>
      </c>
      <c r="ID46" s="460" t="s">
        <v>59</v>
      </c>
      <c r="IE46" s="460" t="s">
        <v>73</v>
      </c>
      <c r="IF46" s="461" t="s">
        <v>4</v>
      </c>
      <c r="IG46" s="460" t="s">
        <v>59</v>
      </c>
      <c r="IH46" s="460" t="s">
        <v>73</v>
      </c>
      <c r="II46" s="461" t="s">
        <v>4</v>
      </c>
      <c r="IJ46" s="460" t="s">
        <v>59</v>
      </c>
      <c r="IK46" s="460" t="s">
        <v>73</v>
      </c>
      <c r="IL46" s="461" t="s">
        <v>4</v>
      </c>
      <c r="IM46" s="460" t="s">
        <v>59</v>
      </c>
      <c r="IN46" s="460" t="s">
        <v>73</v>
      </c>
      <c r="IO46" s="461" t="s">
        <v>4</v>
      </c>
      <c r="IP46" s="460" t="s">
        <v>59</v>
      </c>
      <c r="IQ46" s="460" t="s">
        <v>73</v>
      </c>
      <c r="IR46" s="473" t="s">
        <v>4</v>
      </c>
      <c r="IS46" s="1004"/>
      <c r="IT46" s="1005">
        <f>(IA47*IB47*IC47)+(ID47*IE47*IF47)+(IG47*IH47*II47)+(IJ47*IK47*IL47)+(IM47*IN47*IO47)+(IP47*IQ47*IR47)</f>
        <v>0</v>
      </c>
      <c r="IU46" s="940"/>
      <c r="IV46" s="1016"/>
      <c r="IX46" s="1062"/>
      <c r="IY46" s="460" t="s">
        <v>59</v>
      </c>
      <c r="IZ46" s="460" t="s">
        <v>73</v>
      </c>
      <c r="JA46" s="461" t="s">
        <v>4</v>
      </c>
      <c r="JB46" s="460" t="s">
        <v>59</v>
      </c>
      <c r="JC46" s="460" t="s">
        <v>73</v>
      </c>
      <c r="JD46" s="461" t="s">
        <v>4</v>
      </c>
      <c r="JE46" s="460" t="s">
        <v>59</v>
      </c>
      <c r="JF46" s="460" t="s">
        <v>73</v>
      </c>
      <c r="JG46" s="461" t="s">
        <v>4</v>
      </c>
      <c r="JH46" s="460" t="s">
        <v>59</v>
      </c>
      <c r="JI46" s="460" t="s">
        <v>73</v>
      </c>
      <c r="JJ46" s="461" t="s">
        <v>4</v>
      </c>
      <c r="JK46" s="460" t="s">
        <v>59</v>
      </c>
      <c r="JL46" s="460" t="s">
        <v>73</v>
      </c>
      <c r="JM46" s="461" t="s">
        <v>4</v>
      </c>
      <c r="JN46" s="460" t="s">
        <v>59</v>
      </c>
      <c r="JO46" s="460" t="s">
        <v>73</v>
      </c>
      <c r="JP46" s="473" t="s">
        <v>4</v>
      </c>
      <c r="JQ46" s="1004"/>
      <c r="JR46" s="1005">
        <f>(IY47*IZ47*JA47)+(JB47*JC47*JD47)+(JE47*JF47*JG47)+(JH47*JI47*JJ47)+(JK47*JL47*JM47)+(JN47*JO47*JP47)</f>
        <v>0</v>
      </c>
      <c r="JS46" s="940"/>
      <c r="JT46" s="1016"/>
      <c r="JV46" s="1075"/>
      <c r="JW46" s="460" t="s">
        <v>59</v>
      </c>
      <c r="JX46" s="460" t="s">
        <v>73</v>
      </c>
      <c r="JY46" s="461" t="s">
        <v>4</v>
      </c>
      <c r="JZ46" s="460" t="s">
        <v>59</v>
      </c>
      <c r="KA46" s="460" t="s">
        <v>73</v>
      </c>
      <c r="KB46" s="461" t="s">
        <v>4</v>
      </c>
      <c r="KC46" s="460" t="s">
        <v>59</v>
      </c>
      <c r="KD46" s="460" t="s">
        <v>73</v>
      </c>
      <c r="KE46" s="461" t="s">
        <v>4</v>
      </c>
      <c r="KF46" s="460" t="s">
        <v>59</v>
      </c>
      <c r="KG46" s="460" t="s">
        <v>73</v>
      </c>
      <c r="KH46" s="461" t="s">
        <v>4</v>
      </c>
      <c r="KI46" s="460" t="s">
        <v>59</v>
      </c>
      <c r="KJ46" s="460" t="s">
        <v>73</v>
      </c>
      <c r="KK46" s="461" t="s">
        <v>4</v>
      </c>
      <c r="KL46" s="460" t="s">
        <v>59</v>
      </c>
      <c r="KM46" s="460" t="s">
        <v>73</v>
      </c>
      <c r="KN46" s="473" t="s">
        <v>4</v>
      </c>
      <c r="KO46" s="1004"/>
      <c r="KP46" s="1005">
        <f>(JW47*JX47*JY47)+(JZ47*KA47*KB47)+(KC47*KD47*KE47)+(KF47*KG47*KH47)+(KI47*KJ47*KK47)+(KL47*KM47*KN47)</f>
        <v>0</v>
      </c>
      <c r="KQ46" s="940"/>
      <c r="KR46" s="1016"/>
      <c r="KT46" s="1049"/>
      <c r="KU46" s="460" t="s">
        <v>59</v>
      </c>
      <c r="KV46" s="460" t="s">
        <v>73</v>
      </c>
      <c r="KW46" s="461" t="s">
        <v>4</v>
      </c>
      <c r="KX46" s="460" t="s">
        <v>59</v>
      </c>
      <c r="KY46" s="460" t="s">
        <v>73</v>
      </c>
      <c r="KZ46" s="461" t="s">
        <v>4</v>
      </c>
      <c r="LA46" s="460" t="s">
        <v>59</v>
      </c>
      <c r="LB46" s="460" t="s">
        <v>73</v>
      </c>
      <c r="LC46" s="461" t="s">
        <v>4</v>
      </c>
      <c r="LD46" s="460" t="s">
        <v>59</v>
      </c>
      <c r="LE46" s="460" t="s">
        <v>73</v>
      </c>
      <c r="LF46" s="461" t="s">
        <v>4</v>
      </c>
      <c r="LG46" s="460" t="s">
        <v>59</v>
      </c>
      <c r="LH46" s="460" t="s">
        <v>73</v>
      </c>
      <c r="LI46" s="461" t="s">
        <v>4</v>
      </c>
      <c r="LJ46" s="460" t="s">
        <v>59</v>
      </c>
      <c r="LK46" s="460" t="s">
        <v>73</v>
      </c>
      <c r="LL46" s="473" t="s">
        <v>4</v>
      </c>
      <c r="LM46" s="1004"/>
      <c r="LN46" s="1005">
        <f>(KU47*KV47*KW47)+(KX47*KY47*KZ47)+(LA47*LB47*LC47)+(LD47*LE47*LF47)+(LG47*LH47*LI47)+(LJ47*LK47*LL47)</f>
        <v>0</v>
      </c>
      <c r="LO46" s="940"/>
      <c r="LP46" s="1016"/>
    </row>
    <row r="47" spans="1:355" ht="15">
      <c r="A47" s="396" t="s">
        <v>405</v>
      </c>
      <c r="B47" s="396" t="s">
        <v>406</v>
      </c>
      <c r="C47" s="395" t="s">
        <v>582</v>
      </c>
      <c r="D47" s="231"/>
      <c r="E47" s="231"/>
      <c r="F47" s="231" t="s">
        <v>9</v>
      </c>
      <c r="G47" s="231" t="s">
        <v>9</v>
      </c>
      <c r="H47" s="231"/>
      <c r="I47" s="395"/>
      <c r="R47" s="875"/>
      <c r="S47" s="229">
        <v>4</v>
      </c>
      <c r="T47" s="229">
        <f>((12*3)+(8*1))/4</f>
        <v>11</v>
      </c>
      <c r="U47" s="229">
        <f>((14*1)+(32.4*1)+(45*2))/4</f>
        <v>34.1</v>
      </c>
      <c r="V47" s="229">
        <v>4</v>
      </c>
      <c r="W47" s="229">
        <v>12</v>
      </c>
      <c r="X47" s="229">
        <f>((9.1*1)+(15.9*3))/4</f>
        <v>14.200000000000001</v>
      </c>
      <c r="Y47" s="229">
        <v>4</v>
      </c>
      <c r="Z47" s="229">
        <f>((12*2)+(8*2))/4</f>
        <v>10</v>
      </c>
      <c r="AA47" s="229">
        <f>((10*1)+(20*2)+(22.5*1))/4</f>
        <v>18.125</v>
      </c>
      <c r="AB47" s="229">
        <v>4</v>
      </c>
      <c r="AC47" s="229">
        <f>((12*2)+(8*2))/4</f>
        <v>10</v>
      </c>
      <c r="AD47" s="229">
        <f>((15.9*1)+(27.2*1)+(29.5*2))/4</f>
        <v>25.524999999999999</v>
      </c>
      <c r="AE47" s="229">
        <v>4</v>
      </c>
      <c r="AF47" s="229">
        <f>((12*1)+(6*1)+(4*1)+(8*1))/4</f>
        <v>7.5</v>
      </c>
      <c r="AG47" s="229">
        <f>((7.5*1)+(15*1)+(17.5*2))/4</f>
        <v>14.375</v>
      </c>
      <c r="AH47" s="233"/>
      <c r="AI47" s="233"/>
      <c r="AJ47" s="472"/>
      <c r="AK47" s="1007"/>
      <c r="AL47" s="1002"/>
      <c r="AM47" s="941"/>
      <c r="AN47" s="855"/>
      <c r="AO47" s="118"/>
      <c r="AP47" s="866"/>
      <c r="AQ47" s="229">
        <v>4</v>
      </c>
      <c r="AR47" s="229">
        <f>((12*2)+(10*2))/4</f>
        <v>11</v>
      </c>
      <c r="AS47" s="229">
        <f>((12.5*1)+(25*3))/4</f>
        <v>21.875</v>
      </c>
      <c r="AT47" s="229">
        <v>4</v>
      </c>
      <c r="AU47" s="229">
        <f>((12*1)+(8*2)+(10*1))/4</f>
        <v>9.5</v>
      </c>
      <c r="AV47" s="229">
        <f>((27*1)+(59*3))/4</f>
        <v>51</v>
      </c>
      <c r="AW47" s="229">
        <v>4</v>
      </c>
      <c r="AX47" s="126">
        <f>((12*1)+(8*2)+(10*1))/4</f>
        <v>9.5</v>
      </c>
      <c r="AY47" s="229">
        <f>((12.5*1)+(22.5*3))/4</f>
        <v>20</v>
      </c>
      <c r="AZ47" s="229">
        <v>4</v>
      </c>
      <c r="BA47" s="229">
        <v>12</v>
      </c>
      <c r="BB47" s="229">
        <f>((32*1)+(68*3))/4</f>
        <v>59</v>
      </c>
      <c r="BC47" s="229">
        <v>4</v>
      </c>
      <c r="BD47" s="229">
        <f>((14*1)+(8*3))/4</f>
        <v>9.5</v>
      </c>
      <c r="BE47" s="229">
        <f>((13.6*1)+(24.9*3))/4</f>
        <v>22.074999999999996</v>
      </c>
      <c r="BF47" s="233"/>
      <c r="BG47" s="233"/>
      <c r="BH47" s="472"/>
      <c r="BI47" s="1007"/>
      <c r="BJ47" s="1003"/>
      <c r="BK47" s="941"/>
      <c r="BL47" s="1016"/>
      <c r="BM47" s="118"/>
      <c r="BN47" s="866"/>
      <c r="BO47" s="229">
        <v>1</v>
      </c>
      <c r="BP47" s="126">
        <v>86</v>
      </c>
      <c r="BQ47" s="229">
        <f>CJ45</f>
        <v>77.150000000000006</v>
      </c>
      <c r="BR47" s="233"/>
      <c r="BS47" s="233"/>
      <c r="BT47" s="233"/>
      <c r="BU47" s="233"/>
      <c r="BV47" s="233"/>
      <c r="BW47" s="233"/>
      <c r="BX47" s="233"/>
      <c r="BY47" s="233"/>
      <c r="BZ47" s="233"/>
      <c r="CA47" s="233"/>
      <c r="CB47" s="233"/>
      <c r="CC47" s="233"/>
      <c r="CD47" s="233"/>
      <c r="CE47" s="233"/>
      <c r="CF47" s="472"/>
      <c r="CG47" s="1007"/>
      <c r="CH47" s="1006"/>
      <c r="CI47" s="941"/>
      <c r="CJ47" s="1016"/>
      <c r="CL47" s="1040"/>
      <c r="CM47" s="233"/>
      <c r="CN47" s="233"/>
      <c r="CO47" s="233"/>
      <c r="CP47" s="233"/>
      <c r="CQ47" s="233"/>
      <c r="CR47" s="233"/>
      <c r="CS47" s="233"/>
      <c r="CT47" s="233"/>
      <c r="CU47" s="233"/>
      <c r="CV47" s="233"/>
      <c r="CW47" s="233"/>
      <c r="CX47" s="233"/>
      <c r="CY47" s="233"/>
      <c r="CZ47" s="233"/>
      <c r="DA47" s="233"/>
      <c r="DB47" s="233"/>
      <c r="DC47" s="233"/>
      <c r="DD47" s="477"/>
      <c r="DE47" s="1007"/>
      <c r="DF47" s="1006"/>
      <c r="DG47" s="941"/>
      <c r="DH47" s="1016"/>
      <c r="DJ47" s="1050"/>
      <c r="DK47" s="462"/>
      <c r="DL47" s="462"/>
      <c r="DM47" s="462"/>
      <c r="DN47" s="462"/>
      <c r="DO47" s="462"/>
      <c r="DP47" s="462"/>
      <c r="DQ47" s="462"/>
      <c r="DR47" s="462"/>
      <c r="DS47" s="462"/>
      <c r="DT47" s="462"/>
      <c r="DU47" s="462"/>
      <c r="DV47" s="462"/>
      <c r="DW47" s="462"/>
      <c r="DX47" s="462"/>
      <c r="DY47" s="462"/>
      <c r="DZ47" s="462"/>
      <c r="EA47" s="462"/>
      <c r="EB47" s="474"/>
      <c r="EC47" s="1007"/>
      <c r="ED47" s="1006"/>
      <c r="EE47" s="941"/>
      <c r="EF47" s="1016"/>
      <c r="EH47" s="1066"/>
      <c r="EI47" s="462"/>
      <c r="EJ47" s="462"/>
      <c r="EK47" s="462"/>
      <c r="EL47" s="462"/>
      <c r="EM47" s="462"/>
      <c r="EN47" s="462"/>
      <c r="EO47" s="462"/>
      <c r="EP47" s="462"/>
      <c r="EQ47" s="462"/>
      <c r="ER47" s="462"/>
      <c r="ES47" s="462"/>
      <c r="ET47" s="462"/>
      <c r="EU47" s="462"/>
      <c r="EV47" s="462"/>
      <c r="EW47" s="462"/>
      <c r="EX47" s="462"/>
      <c r="EY47" s="462"/>
      <c r="EZ47" s="474"/>
      <c r="FA47" s="1007"/>
      <c r="FB47" s="1006"/>
      <c r="FC47" s="941"/>
      <c r="FD47" s="1016"/>
      <c r="FF47" s="1040"/>
      <c r="FG47" s="462"/>
      <c r="FH47" s="462"/>
      <c r="FI47" s="462"/>
      <c r="FJ47" s="462"/>
      <c r="FK47" s="462"/>
      <c r="FL47" s="462"/>
      <c r="FM47" s="462"/>
      <c r="FN47" s="462"/>
      <c r="FO47" s="462"/>
      <c r="FP47" s="462"/>
      <c r="FQ47" s="462"/>
      <c r="FR47" s="462"/>
      <c r="FS47" s="462"/>
      <c r="FT47" s="462"/>
      <c r="FU47" s="462"/>
      <c r="FV47" s="462"/>
      <c r="FW47" s="462"/>
      <c r="FX47" s="474"/>
      <c r="FY47" s="1007"/>
      <c r="FZ47" s="1006"/>
      <c r="GA47" s="941"/>
      <c r="GB47" s="1016"/>
      <c r="GD47" s="1053"/>
      <c r="GE47" s="494"/>
      <c r="GF47" s="494"/>
      <c r="GG47" s="494"/>
      <c r="GH47" s="494"/>
      <c r="GI47" s="494"/>
      <c r="GJ47" s="494"/>
      <c r="GK47" s="494"/>
      <c r="GL47" s="494"/>
      <c r="GM47" s="494"/>
      <c r="GN47" s="494"/>
      <c r="GO47" s="494"/>
      <c r="GP47" s="494"/>
      <c r="GQ47" s="494"/>
      <c r="GR47" s="494"/>
      <c r="GS47" s="494"/>
      <c r="GT47" s="494"/>
      <c r="GU47" s="494"/>
      <c r="GV47" s="495"/>
      <c r="GW47" s="1081"/>
      <c r="GX47" s="1073"/>
      <c r="GY47" s="1069"/>
      <c r="GZ47" s="1070"/>
      <c r="HB47" s="1076"/>
      <c r="HC47" s="462"/>
      <c r="HD47" s="462"/>
      <c r="HE47" s="462"/>
      <c r="HF47" s="462"/>
      <c r="HG47" s="462"/>
      <c r="HH47" s="462"/>
      <c r="HI47" s="462"/>
      <c r="HJ47" s="462"/>
      <c r="HK47" s="462"/>
      <c r="HL47" s="462"/>
      <c r="HM47" s="462"/>
      <c r="HN47" s="462"/>
      <c r="HO47" s="462"/>
      <c r="HP47" s="462"/>
      <c r="HQ47" s="462"/>
      <c r="HR47" s="462"/>
      <c r="HS47" s="462"/>
      <c r="HT47" s="474"/>
      <c r="HU47" s="1007"/>
      <c r="HV47" s="1006"/>
      <c r="HW47" s="941"/>
      <c r="HX47" s="1016"/>
      <c r="HZ47" s="1043"/>
      <c r="IA47" s="462"/>
      <c r="IB47" s="462"/>
      <c r="IC47" s="462"/>
      <c r="ID47" s="462"/>
      <c r="IE47" s="462"/>
      <c r="IF47" s="462"/>
      <c r="IG47" s="462"/>
      <c r="IH47" s="462"/>
      <c r="II47" s="462"/>
      <c r="IJ47" s="462"/>
      <c r="IK47" s="462"/>
      <c r="IL47" s="462"/>
      <c r="IM47" s="462"/>
      <c r="IN47" s="462"/>
      <c r="IO47" s="462"/>
      <c r="IP47" s="462"/>
      <c r="IQ47" s="462"/>
      <c r="IR47" s="474"/>
      <c r="IS47" s="1007"/>
      <c r="IT47" s="1006"/>
      <c r="IU47" s="941"/>
      <c r="IV47" s="1016"/>
      <c r="IX47" s="1063"/>
      <c r="IY47" s="462"/>
      <c r="IZ47" s="462"/>
      <c r="JA47" s="462"/>
      <c r="JB47" s="462"/>
      <c r="JC47" s="462"/>
      <c r="JD47" s="462"/>
      <c r="JE47" s="462"/>
      <c r="JF47" s="462"/>
      <c r="JG47" s="462"/>
      <c r="JH47" s="462"/>
      <c r="JI47" s="462"/>
      <c r="JJ47" s="462"/>
      <c r="JK47" s="462"/>
      <c r="JL47" s="462"/>
      <c r="JM47" s="462"/>
      <c r="JN47" s="462"/>
      <c r="JO47" s="462"/>
      <c r="JP47" s="474"/>
      <c r="JQ47" s="1007"/>
      <c r="JR47" s="1006"/>
      <c r="JS47" s="941"/>
      <c r="JT47" s="1016"/>
      <c r="JV47" s="1076"/>
      <c r="JW47" s="462"/>
      <c r="JX47" s="462"/>
      <c r="JY47" s="462"/>
      <c r="JZ47" s="462"/>
      <c r="KA47" s="462"/>
      <c r="KB47" s="462"/>
      <c r="KC47" s="462"/>
      <c r="KD47" s="462"/>
      <c r="KE47" s="462"/>
      <c r="KF47" s="462"/>
      <c r="KG47" s="462"/>
      <c r="KH47" s="462"/>
      <c r="KI47" s="462"/>
      <c r="KJ47" s="462"/>
      <c r="KK47" s="462"/>
      <c r="KL47" s="462"/>
      <c r="KM47" s="462"/>
      <c r="KN47" s="474"/>
      <c r="KO47" s="1007"/>
      <c r="KP47" s="1006"/>
      <c r="KQ47" s="941"/>
      <c r="KR47" s="1016"/>
      <c r="KT47" s="1050"/>
      <c r="KU47" s="462"/>
      <c r="KV47" s="462"/>
      <c r="KW47" s="462"/>
      <c r="KX47" s="462"/>
      <c r="KY47" s="462"/>
      <c r="KZ47" s="462"/>
      <c r="LA47" s="462"/>
      <c r="LB47" s="462"/>
      <c r="LC47" s="462"/>
      <c r="LD47" s="462"/>
      <c r="LE47" s="462"/>
      <c r="LF47" s="462"/>
      <c r="LG47" s="462"/>
      <c r="LH47" s="462"/>
      <c r="LI47" s="462"/>
      <c r="LJ47" s="462"/>
      <c r="LK47" s="462"/>
      <c r="LL47" s="474"/>
      <c r="LM47" s="1007"/>
      <c r="LN47" s="1006"/>
      <c r="LO47" s="941"/>
      <c r="LP47" s="1016"/>
    </row>
    <row r="48" spans="1:355" ht="15">
      <c r="A48"/>
      <c r="B48"/>
      <c r="C48"/>
      <c r="D48"/>
      <c r="E48"/>
      <c r="F48"/>
      <c r="G48"/>
      <c r="H48"/>
      <c r="I48"/>
      <c r="R48" s="876">
        <v>46038</v>
      </c>
      <c r="S48" s="849" t="s">
        <v>434</v>
      </c>
      <c r="T48" s="849"/>
      <c r="U48" s="849"/>
      <c r="V48" s="848" t="s">
        <v>380</v>
      </c>
      <c r="W48" s="848"/>
      <c r="X48" s="848"/>
      <c r="Y48" s="848" t="s">
        <v>68</v>
      </c>
      <c r="Z48" s="848"/>
      <c r="AA48" s="848"/>
      <c r="AB48" s="848" t="s">
        <v>391</v>
      </c>
      <c r="AC48" s="848"/>
      <c r="AD48" s="848"/>
      <c r="AE48" s="834"/>
      <c r="AF48" s="835"/>
      <c r="AG48" s="836"/>
      <c r="AH48" s="834"/>
      <c r="AI48" s="835"/>
      <c r="AJ48" s="835"/>
      <c r="AK48" s="459" t="s">
        <v>425</v>
      </c>
      <c r="AL48" s="1">
        <f t="shared" ref="AL48" si="71">COUNTA(S48:AJ48)</f>
        <v>4</v>
      </c>
      <c r="AM48" s="939"/>
      <c r="AN48" s="855">
        <v>77.5</v>
      </c>
      <c r="AO48" s="118"/>
      <c r="AP48" s="870">
        <v>46069</v>
      </c>
      <c r="AQ48" s="848" t="s">
        <v>89</v>
      </c>
      <c r="AR48" s="848"/>
      <c r="AS48" s="848"/>
      <c r="AT48" s="848" t="s">
        <v>380</v>
      </c>
      <c r="AU48" s="848"/>
      <c r="AV48" s="848"/>
      <c r="AW48" s="848" t="s">
        <v>115</v>
      </c>
      <c r="AX48" s="848"/>
      <c r="AY48" s="848"/>
      <c r="AZ48" s="849" t="s">
        <v>114</v>
      </c>
      <c r="BA48" s="849"/>
      <c r="BB48" s="849"/>
      <c r="BC48" s="848" t="s">
        <v>129</v>
      </c>
      <c r="BD48" s="848"/>
      <c r="BE48" s="848"/>
      <c r="BF48" s="834"/>
      <c r="BG48" s="835"/>
      <c r="BH48" s="835"/>
      <c r="BI48" s="459" t="s">
        <v>425</v>
      </c>
      <c r="BJ48" s="482">
        <f t="shared" si="65"/>
        <v>5</v>
      </c>
      <c r="BK48" s="939"/>
      <c r="BL48" s="1016">
        <v>77</v>
      </c>
      <c r="BM48" s="118"/>
      <c r="BN48" s="870">
        <v>46097</v>
      </c>
      <c r="BO48" s="890" t="s">
        <v>131</v>
      </c>
      <c r="BP48" s="890"/>
      <c r="BQ48" s="890"/>
      <c r="BR48" s="849" t="s">
        <v>72</v>
      </c>
      <c r="BS48" s="849"/>
      <c r="BT48" s="849"/>
      <c r="BU48" s="890" t="s">
        <v>779</v>
      </c>
      <c r="BV48" s="890"/>
      <c r="BW48" s="890"/>
      <c r="BX48" s="848" t="s">
        <v>68</v>
      </c>
      <c r="BY48" s="848"/>
      <c r="BZ48" s="848"/>
      <c r="CA48" s="977" t="s">
        <v>756</v>
      </c>
      <c r="CB48" s="977"/>
      <c r="CC48" s="977"/>
      <c r="CD48" s="834"/>
      <c r="CE48" s="835"/>
      <c r="CF48" s="835"/>
      <c r="CG48" s="459" t="s">
        <v>425</v>
      </c>
      <c r="CH48" s="482">
        <f t="shared" ref="CH48" si="72">COUNTA(BO48:CF48)</f>
        <v>5</v>
      </c>
      <c r="CI48" s="939">
        <v>9</v>
      </c>
      <c r="CJ48" s="1016">
        <v>77.3</v>
      </c>
      <c r="CL48" s="1041">
        <v>46128</v>
      </c>
      <c r="CM48" s="844"/>
      <c r="CN48" s="844"/>
      <c r="CO48" s="844"/>
      <c r="CP48" s="844"/>
      <c r="CQ48" s="844"/>
      <c r="CR48" s="844"/>
      <c r="CS48" s="844"/>
      <c r="CT48" s="844"/>
      <c r="CU48" s="844"/>
      <c r="CV48" s="844"/>
      <c r="CW48" s="844"/>
      <c r="CX48" s="844"/>
      <c r="CY48" s="834"/>
      <c r="CZ48" s="835"/>
      <c r="DA48" s="836"/>
      <c r="DB48" s="834"/>
      <c r="DC48" s="835"/>
      <c r="DD48" s="835"/>
      <c r="DE48" s="459" t="s">
        <v>425</v>
      </c>
      <c r="DF48" s="482">
        <f>COUNTA(CM48:DD48)</f>
        <v>0</v>
      </c>
      <c r="DG48" s="939">
        <v>0</v>
      </c>
      <c r="DH48" s="1016">
        <f t="shared" ref="DH48" si="73">DH45</f>
        <v>76.3</v>
      </c>
      <c r="DJ48" s="1051">
        <v>46158</v>
      </c>
      <c r="DK48" s="1023"/>
      <c r="DL48" s="1023"/>
      <c r="DM48" s="1023"/>
      <c r="DN48" s="1023"/>
      <c r="DO48" s="1023"/>
      <c r="DP48" s="1023"/>
      <c r="DQ48" s="1023"/>
      <c r="DR48" s="1023"/>
      <c r="DS48" s="1023"/>
      <c r="DT48" s="1023"/>
      <c r="DU48" s="1023"/>
      <c r="DV48" s="1023"/>
      <c r="DW48" s="1021"/>
      <c r="DX48" s="1022"/>
      <c r="DY48" s="1024"/>
      <c r="DZ48" s="1021"/>
      <c r="EA48" s="1022"/>
      <c r="EB48" s="1022"/>
      <c r="EC48" s="489" t="s">
        <v>425</v>
      </c>
      <c r="ED48" s="496">
        <f>COUNTA(DK48:EB48)</f>
        <v>0</v>
      </c>
      <c r="EE48" s="1067"/>
      <c r="EF48" s="1070"/>
      <c r="EH48" s="1074">
        <v>46189</v>
      </c>
      <c r="EI48" s="960"/>
      <c r="EJ48" s="960"/>
      <c r="EK48" s="960"/>
      <c r="EL48" s="960"/>
      <c r="EM48" s="960"/>
      <c r="EN48" s="960"/>
      <c r="EO48" s="960"/>
      <c r="EP48" s="960"/>
      <c r="EQ48" s="960"/>
      <c r="ER48" s="960"/>
      <c r="ES48" s="960"/>
      <c r="ET48" s="960"/>
      <c r="EU48" s="961"/>
      <c r="EV48" s="962"/>
      <c r="EW48" s="963"/>
      <c r="EX48" s="961"/>
      <c r="EY48" s="962"/>
      <c r="EZ48" s="962"/>
      <c r="FA48" s="459" t="s">
        <v>425</v>
      </c>
      <c r="FB48" s="482">
        <f>COUNTA(EI48:EZ48)</f>
        <v>0</v>
      </c>
      <c r="FC48" s="939"/>
      <c r="FD48" s="1016"/>
      <c r="FF48" s="1041">
        <v>46219</v>
      </c>
      <c r="FG48" s="960"/>
      <c r="FH48" s="960"/>
      <c r="FI48" s="960"/>
      <c r="FJ48" s="960"/>
      <c r="FK48" s="960"/>
      <c r="FL48" s="960"/>
      <c r="FM48" s="960"/>
      <c r="FN48" s="960"/>
      <c r="FO48" s="960"/>
      <c r="FP48" s="960"/>
      <c r="FQ48" s="960"/>
      <c r="FR48" s="960"/>
      <c r="FS48" s="961"/>
      <c r="FT48" s="962"/>
      <c r="FU48" s="963"/>
      <c r="FV48" s="961"/>
      <c r="FW48" s="962"/>
      <c r="FX48" s="962"/>
      <c r="FY48" s="459" t="s">
        <v>425</v>
      </c>
      <c r="FZ48" s="482">
        <f>COUNTA(FG48:FX48)</f>
        <v>0</v>
      </c>
      <c r="GA48" s="939"/>
      <c r="GB48" s="1016"/>
      <c r="GD48" s="1061">
        <v>46250</v>
      </c>
      <c r="GE48" s="960"/>
      <c r="GF48" s="960"/>
      <c r="GG48" s="960"/>
      <c r="GH48" s="960"/>
      <c r="GI48" s="960"/>
      <c r="GJ48" s="960"/>
      <c r="GK48" s="960"/>
      <c r="GL48" s="960"/>
      <c r="GM48" s="960"/>
      <c r="GN48" s="960"/>
      <c r="GO48" s="960"/>
      <c r="GP48" s="960"/>
      <c r="GQ48" s="961"/>
      <c r="GR48" s="962"/>
      <c r="GS48" s="963"/>
      <c r="GT48" s="961"/>
      <c r="GU48" s="962"/>
      <c r="GV48" s="962"/>
      <c r="GW48" s="459" t="s">
        <v>425</v>
      </c>
      <c r="GX48" s="482">
        <f>COUNTA(GE48:GV48)</f>
        <v>0</v>
      </c>
      <c r="GY48" s="939"/>
      <c r="GZ48" s="1016"/>
      <c r="HB48" s="1038">
        <v>46281</v>
      </c>
      <c r="HC48" s="960"/>
      <c r="HD48" s="960"/>
      <c r="HE48" s="960"/>
      <c r="HF48" s="960"/>
      <c r="HG48" s="960"/>
      <c r="HH48" s="960"/>
      <c r="HI48" s="960"/>
      <c r="HJ48" s="960"/>
      <c r="HK48" s="960"/>
      <c r="HL48" s="960"/>
      <c r="HM48" s="960"/>
      <c r="HN48" s="960"/>
      <c r="HO48" s="961"/>
      <c r="HP48" s="962"/>
      <c r="HQ48" s="963"/>
      <c r="HR48" s="961"/>
      <c r="HS48" s="962"/>
      <c r="HT48" s="962"/>
      <c r="HU48" s="459" t="s">
        <v>425</v>
      </c>
      <c r="HV48" s="482">
        <f>COUNTA(HC48:HT48)</f>
        <v>0</v>
      </c>
      <c r="HW48" s="939"/>
      <c r="HX48" s="1016"/>
      <c r="HZ48" s="1048">
        <v>46311</v>
      </c>
      <c r="IA48" s="960"/>
      <c r="IB48" s="960"/>
      <c r="IC48" s="960"/>
      <c r="ID48" s="960"/>
      <c r="IE48" s="960"/>
      <c r="IF48" s="960"/>
      <c r="IG48" s="960"/>
      <c r="IH48" s="960"/>
      <c r="II48" s="960"/>
      <c r="IJ48" s="960"/>
      <c r="IK48" s="960"/>
      <c r="IL48" s="960"/>
      <c r="IM48" s="961"/>
      <c r="IN48" s="962"/>
      <c r="IO48" s="963"/>
      <c r="IP48" s="961"/>
      <c r="IQ48" s="962"/>
      <c r="IR48" s="962"/>
      <c r="IS48" s="459" t="s">
        <v>425</v>
      </c>
      <c r="IT48" s="482">
        <f>COUNTA(IA48:IR48)</f>
        <v>0</v>
      </c>
      <c r="IU48" s="939"/>
      <c r="IV48" s="1016"/>
      <c r="IX48" s="1064">
        <v>46342</v>
      </c>
      <c r="IY48" s="960"/>
      <c r="IZ48" s="960"/>
      <c r="JA48" s="960"/>
      <c r="JB48" s="960"/>
      <c r="JC48" s="960"/>
      <c r="JD48" s="960"/>
      <c r="JE48" s="960"/>
      <c r="JF48" s="960"/>
      <c r="JG48" s="960"/>
      <c r="JH48" s="960"/>
      <c r="JI48" s="960"/>
      <c r="JJ48" s="960"/>
      <c r="JK48" s="961"/>
      <c r="JL48" s="962"/>
      <c r="JM48" s="963"/>
      <c r="JN48" s="961"/>
      <c r="JO48" s="962"/>
      <c r="JP48" s="962"/>
      <c r="JQ48" s="459" t="s">
        <v>425</v>
      </c>
      <c r="JR48" s="482">
        <f>COUNTA(IY48:JP48)</f>
        <v>0</v>
      </c>
      <c r="JS48" s="939"/>
      <c r="JT48" s="1016"/>
      <c r="JV48" s="1038">
        <v>46372</v>
      </c>
      <c r="JW48" s="960"/>
      <c r="JX48" s="960"/>
      <c r="JY48" s="960"/>
      <c r="JZ48" s="960"/>
      <c r="KA48" s="960"/>
      <c r="KB48" s="960"/>
      <c r="KC48" s="960"/>
      <c r="KD48" s="960"/>
      <c r="KE48" s="960"/>
      <c r="KF48" s="960"/>
      <c r="KG48" s="960"/>
      <c r="KH48" s="960"/>
      <c r="KI48" s="961"/>
      <c r="KJ48" s="962"/>
      <c r="KK48" s="963"/>
      <c r="KL48" s="961"/>
      <c r="KM48" s="962"/>
      <c r="KN48" s="962"/>
      <c r="KO48" s="459" t="s">
        <v>425</v>
      </c>
      <c r="KP48" s="482">
        <f>COUNTA(JW48:KN48)</f>
        <v>0</v>
      </c>
      <c r="KQ48" s="939"/>
      <c r="KR48" s="1016"/>
      <c r="KT48" s="1051">
        <v>46403</v>
      </c>
      <c r="KU48" s="1023"/>
      <c r="KV48" s="1023"/>
      <c r="KW48" s="1023"/>
      <c r="KX48" s="1023"/>
      <c r="KY48" s="1023"/>
      <c r="KZ48" s="1023"/>
      <c r="LA48" s="1023"/>
      <c r="LB48" s="1023"/>
      <c r="LC48" s="1023"/>
      <c r="LD48" s="1023"/>
      <c r="LE48" s="1023"/>
      <c r="LF48" s="1023"/>
      <c r="LG48" s="1021"/>
      <c r="LH48" s="1022"/>
      <c r="LI48" s="1024"/>
      <c r="LJ48" s="1021"/>
      <c r="LK48" s="1022"/>
      <c r="LL48" s="1022"/>
      <c r="LM48" s="489" t="s">
        <v>425</v>
      </c>
      <c r="LN48" s="496">
        <f>COUNTA(KU48:LL48)</f>
        <v>0</v>
      </c>
      <c r="LO48" s="1067"/>
      <c r="LP48" s="1070"/>
    </row>
    <row r="49" spans="1:328" ht="15">
      <c r="A49"/>
      <c r="B49"/>
      <c r="C49"/>
      <c r="D49"/>
      <c r="E49"/>
      <c r="F49"/>
      <c r="G49"/>
      <c r="H49"/>
      <c r="I49"/>
      <c r="R49" s="877"/>
      <c r="S49" s="231" t="s">
        <v>59</v>
      </c>
      <c r="T49" s="231" t="s">
        <v>73</v>
      </c>
      <c r="U49" s="102" t="s">
        <v>4</v>
      </c>
      <c r="V49" s="231" t="s">
        <v>59</v>
      </c>
      <c r="W49" s="231" t="s">
        <v>73</v>
      </c>
      <c r="X49" s="102" t="s">
        <v>4</v>
      </c>
      <c r="Y49" s="231" t="s">
        <v>59</v>
      </c>
      <c r="Z49" s="231" t="s">
        <v>73</v>
      </c>
      <c r="AA49" s="102" t="s">
        <v>4</v>
      </c>
      <c r="AB49" s="231" t="s">
        <v>59</v>
      </c>
      <c r="AC49" s="231" t="s">
        <v>73</v>
      </c>
      <c r="AD49" s="102" t="s">
        <v>4</v>
      </c>
      <c r="AE49" s="107" t="s">
        <v>59</v>
      </c>
      <c r="AF49" s="107" t="s">
        <v>73</v>
      </c>
      <c r="AG49" s="108" t="s">
        <v>4</v>
      </c>
      <c r="AH49" s="107" t="s">
        <v>59</v>
      </c>
      <c r="AI49" s="107" t="s">
        <v>73</v>
      </c>
      <c r="AJ49" s="471" t="s">
        <v>4</v>
      </c>
      <c r="AK49" s="1004">
        <v>54</v>
      </c>
      <c r="AL49" s="1002">
        <f t="shared" ref="AL49" si="74">(S50*T50*U50)+(V50*W50*X50)+(Y50*Z50*AA50)+(AB50*AC50*AD50)+(AE50*AF50*AG50)+(AH50*AI50*AJ50)</f>
        <v>3679.3333333333335</v>
      </c>
      <c r="AM49" s="940"/>
      <c r="AN49" s="855"/>
      <c r="AO49" s="118"/>
      <c r="AP49" s="871"/>
      <c r="AQ49" s="231" t="s">
        <v>59</v>
      </c>
      <c r="AR49" s="231" t="s">
        <v>73</v>
      </c>
      <c r="AS49" s="102" t="s">
        <v>4</v>
      </c>
      <c r="AT49" s="231" t="s">
        <v>59</v>
      </c>
      <c r="AU49" s="231" t="s">
        <v>73</v>
      </c>
      <c r="AV49" s="102" t="s">
        <v>4</v>
      </c>
      <c r="AW49" s="231" t="s">
        <v>59</v>
      </c>
      <c r="AX49" s="231" t="s">
        <v>73</v>
      </c>
      <c r="AY49" s="102" t="s">
        <v>4</v>
      </c>
      <c r="AZ49" s="231" t="s">
        <v>59</v>
      </c>
      <c r="BA49" s="231" t="s">
        <v>73</v>
      </c>
      <c r="BB49" s="102" t="s">
        <v>4</v>
      </c>
      <c r="BC49" s="231" t="s">
        <v>59</v>
      </c>
      <c r="BD49" s="231" t="s">
        <v>73</v>
      </c>
      <c r="BE49" s="102" t="s">
        <v>4</v>
      </c>
      <c r="BF49" s="107" t="s">
        <v>59</v>
      </c>
      <c r="BG49" s="107" t="s">
        <v>73</v>
      </c>
      <c r="BH49" s="471" t="s">
        <v>4</v>
      </c>
      <c r="BI49" s="1004">
        <v>59</v>
      </c>
      <c r="BJ49" s="1003">
        <f t="shared" si="69"/>
        <v>6751.35</v>
      </c>
      <c r="BK49" s="940"/>
      <c r="BL49" s="1016"/>
      <c r="BM49" s="118"/>
      <c r="BN49" s="871"/>
      <c r="BO49" s="231" t="s">
        <v>59</v>
      </c>
      <c r="BP49" s="231" t="s">
        <v>73</v>
      </c>
      <c r="BQ49" s="102" t="s">
        <v>4</v>
      </c>
      <c r="BR49" s="231" t="s">
        <v>59</v>
      </c>
      <c r="BS49" s="231" t="s">
        <v>73</v>
      </c>
      <c r="BT49" s="102" t="s">
        <v>4</v>
      </c>
      <c r="BU49" s="231" t="s">
        <v>59</v>
      </c>
      <c r="BV49" s="231" t="s">
        <v>73</v>
      </c>
      <c r="BW49" s="102" t="s">
        <v>4</v>
      </c>
      <c r="BX49" s="231" t="s">
        <v>59</v>
      </c>
      <c r="BY49" s="231" t="s">
        <v>73</v>
      </c>
      <c r="BZ49" s="102" t="s">
        <v>4</v>
      </c>
      <c r="CA49" s="231" t="s">
        <v>59</v>
      </c>
      <c r="CB49" s="231" t="s">
        <v>73</v>
      </c>
      <c r="CC49" s="102" t="s">
        <v>4</v>
      </c>
      <c r="CD49" s="107" t="s">
        <v>59</v>
      </c>
      <c r="CE49" s="107" t="s">
        <v>73</v>
      </c>
      <c r="CF49" s="471" t="s">
        <v>4</v>
      </c>
      <c r="CG49" s="1004">
        <f>60+4</f>
        <v>64</v>
      </c>
      <c r="CH49" s="1005">
        <f t="shared" ref="CH49" si="75">(BO50*BP50*BQ50)+(BR50*BS50*BT50)+(BU50*BV50*BW50)+(BX50*BY50*BZ50)+(CA50*CB50*CC50)+(CD50*CE50*CF50)</f>
        <v>5260.5</v>
      </c>
      <c r="CI49" s="940"/>
      <c r="CJ49" s="1016"/>
      <c r="CL49" s="1042"/>
      <c r="CM49" s="107" t="s">
        <v>59</v>
      </c>
      <c r="CN49" s="107" t="s">
        <v>73</v>
      </c>
      <c r="CO49" s="108" t="s">
        <v>4</v>
      </c>
      <c r="CP49" s="107" t="s">
        <v>59</v>
      </c>
      <c r="CQ49" s="107" t="s">
        <v>73</v>
      </c>
      <c r="CR49" s="108" t="s">
        <v>4</v>
      </c>
      <c r="CS49" s="107" t="s">
        <v>59</v>
      </c>
      <c r="CT49" s="107" t="s">
        <v>73</v>
      </c>
      <c r="CU49" s="108" t="s">
        <v>4</v>
      </c>
      <c r="CV49" s="107" t="s">
        <v>59</v>
      </c>
      <c r="CW49" s="107" t="s">
        <v>73</v>
      </c>
      <c r="CX49" s="108" t="s">
        <v>4</v>
      </c>
      <c r="CY49" s="107" t="s">
        <v>59</v>
      </c>
      <c r="CZ49" s="107" t="s">
        <v>73</v>
      </c>
      <c r="DA49" s="108" t="s">
        <v>4</v>
      </c>
      <c r="DB49" s="107" t="s">
        <v>59</v>
      </c>
      <c r="DC49" s="107" t="s">
        <v>73</v>
      </c>
      <c r="DD49" s="471" t="s">
        <v>4</v>
      </c>
      <c r="DE49" s="1004">
        <v>0</v>
      </c>
      <c r="DF49" s="1005">
        <f>(CM50*CN50*CO50)+(CP50*CQ50*CR50)+(CS50*CT50*CU50)+(CV50*CW50*CX50)+(CY50*CZ50*DA50)+(DB50*DC50*DD50)</f>
        <v>0</v>
      </c>
      <c r="DG49" s="940"/>
      <c r="DH49" s="1016"/>
      <c r="DJ49" s="1052"/>
      <c r="DK49" s="491" t="s">
        <v>59</v>
      </c>
      <c r="DL49" s="491" t="s">
        <v>73</v>
      </c>
      <c r="DM49" s="492" t="s">
        <v>4</v>
      </c>
      <c r="DN49" s="491" t="s">
        <v>59</v>
      </c>
      <c r="DO49" s="491" t="s">
        <v>73</v>
      </c>
      <c r="DP49" s="492" t="s">
        <v>4</v>
      </c>
      <c r="DQ49" s="491" t="s">
        <v>59</v>
      </c>
      <c r="DR49" s="491" t="s">
        <v>73</v>
      </c>
      <c r="DS49" s="492" t="s">
        <v>4</v>
      </c>
      <c r="DT49" s="491" t="s">
        <v>59</v>
      </c>
      <c r="DU49" s="491" t="s">
        <v>73</v>
      </c>
      <c r="DV49" s="492" t="s">
        <v>4</v>
      </c>
      <c r="DW49" s="491" t="s">
        <v>59</v>
      </c>
      <c r="DX49" s="491" t="s">
        <v>73</v>
      </c>
      <c r="DY49" s="492" t="s">
        <v>4</v>
      </c>
      <c r="DZ49" s="491" t="s">
        <v>59</v>
      </c>
      <c r="EA49" s="491" t="s">
        <v>73</v>
      </c>
      <c r="EB49" s="493" t="s">
        <v>4</v>
      </c>
      <c r="EC49" s="1071"/>
      <c r="ED49" s="1072">
        <f>(DK50*DL50*DM50)+(DN50*DO50*DP50)+(DQ50*DR50*DS50)+(DT50*DU50*DV50)+(DW50*DX50*DY50)+(DZ50*EA50*EB50)</f>
        <v>0</v>
      </c>
      <c r="EE49" s="1068"/>
      <c r="EF49" s="1070"/>
      <c r="EH49" s="1075"/>
      <c r="EI49" s="460" t="s">
        <v>59</v>
      </c>
      <c r="EJ49" s="460" t="s">
        <v>73</v>
      </c>
      <c r="EK49" s="461" t="s">
        <v>4</v>
      </c>
      <c r="EL49" s="460" t="s">
        <v>59</v>
      </c>
      <c r="EM49" s="460" t="s">
        <v>73</v>
      </c>
      <c r="EN49" s="461" t="s">
        <v>4</v>
      </c>
      <c r="EO49" s="460" t="s">
        <v>59</v>
      </c>
      <c r="EP49" s="460" t="s">
        <v>73</v>
      </c>
      <c r="EQ49" s="461" t="s">
        <v>4</v>
      </c>
      <c r="ER49" s="460" t="s">
        <v>59</v>
      </c>
      <c r="ES49" s="460" t="s">
        <v>73</v>
      </c>
      <c r="ET49" s="461" t="s">
        <v>4</v>
      </c>
      <c r="EU49" s="460" t="s">
        <v>59</v>
      </c>
      <c r="EV49" s="460" t="s">
        <v>73</v>
      </c>
      <c r="EW49" s="461" t="s">
        <v>4</v>
      </c>
      <c r="EX49" s="460" t="s">
        <v>59</v>
      </c>
      <c r="EY49" s="460" t="s">
        <v>73</v>
      </c>
      <c r="EZ49" s="473" t="s">
        <v>4</v>
      </c>
      <c r="FA49" s="1004"/>
      <c r="FB49" s="1005">
        <f>(EI50*EJ50*EK50)+(EL50*EM50*EN50)+(EO50*EP50*EQ50)+(ER50*ES50*ET50)+(EU50*EV50*EW50)+(EX50*EY50*EZ50)</f>
        <v>0</v>
      </c>
      <c r="FC49" s="940"/>
      <c r="FD49" s="1016"/>
      <c r="FF49" s="1042"/>
      <c r="FG49" s="460" t="s">
        <v>59</v>
      </c>
      <c r="FH49" s="460" t="s">
        <v>73</v>
      </c>
      <c r="FI49" s="461" t="s">
        <v>4</v>
      </c>
      <c r="FJ49" s="460" t="s">
        <v>59</v>
      </c>
      <c r="FK49" s="460" t="s">
        <v>73</v>
      </c>
      <c r="FL49" s="461" t="s">
        <v>4</v>
      </c>
      <c r="FM49" s="460" t="s">
        <v>59</v>
      </c>
      <c r="FN49" s="460" t="s">
        <v>73</v>
      </c>
      <c r="FO49" s="461" t="s">
        <v>4</v>
      </c>
      <c r="FP49" s="460" t="s">
        <v>59</v>
      </c>
      <c r="FQ49" s="460" t="s">
        <v>73</v>
      </c>
      <c r="FR49" s="461" t="s">
        <v>4</v>
      </c>
      <c r="FS49" s="460" t="s">
        <v>59</v>
      </c>
      <c r="FT49" s="460" t="s">
        <v>73</v>
      </c>
      <c r="FU49" s="461" t="s">
        <v>4</v>
      </c>
      <c r="FV49" s="460" t="s">
        <v>59</v>
      </c>
      <c r="FW49" s="460" t="s">
        <v>73</v>
      </c>
      <c r="FX49" s="473" t="s">
        <v>4</v>
      </c>
      <c r="FY49" s="1004"/>
      <c r="FZ49" s="1005">
        <f>(FG50*FH50*FI50)+(FJ50*FK50*FL50)+(FM50*FN50*FO50)+(FP50*FQ50*FR50)+(FS50*FT50*FU50)+(FV50*FW50*FX50)</f>
        <v>0</v>
      </c>
      <c r="GA49" s="940"/>
      <c r="GB49" s="1016"/>
      <c r="GD49" s="1062"/>
      <c r="GE49" s="460" t="s">
        <v>59</v>
      </c>
      <c r="GF49" s="460" t="s">
        <v>73</v>
      </c>
      <c r="GG49" s="461" t="s">
        <v>4</v>
      </c>
      <c r="GH49" s="460" t="s">
        <v>59</v>
      </c>
      <c r="GI49" s="460" t="s">
        <v>73</v>
      </c>
      <c r="GJ49" s="461" t="s">
        <v>4</v>
      </c>
      <c r="GK49" s="460" t="s">
        <v>59</v>
      </c>
      <c r="GL49" s="460" t="s">
        <v>73</v>
      </c>
      <c r="GM49" s="461" t="s">
        <v>4</v>
      </c>
      <c r="GN49" s="460" t="s">
        <v>59</v>
      </c>
      <c r="GO49" s="460" t="s">
        <v>73</v>
      </c>
      <c r="GP49" s="461" t="s">
        <v>4</v>
      </c>
      <c r="GQ49" s="460" t="s">
        <v>59</v>
      </c>
      <c r="GR49" s="460" t="s">
        <v>73</v>
      </c>
      <c r="GS49" s="461" t="s">
        <v>4</v>
      </c>
      <c r="GT49" s="460" t="s">
        <v>59</v>
      </c>
      <c r="GU49" s="460" t="s">
        <v>73</v>
      </c>
      <c r="GV49" s="473" t="s">
        <v>4</v>
      </c>
      <c r="GW49" s="1004"/>
      <c r="GX49" s="1005">
        <f>(GE50*GF50*GG50)+(GH50*GI50*GJ50)+(GK50*GL50*GM50)+(GN50*GO50*GP50)+(GQ50*GR50*GS50)+(GT50*GU50*GV50)</f>
        <v>0</v>
      </c>
      <c r="GY49" s="940"/>
      <c r="GZ49" s="1016"/>
      <c r="HB49" s="1039"/>
      <c r="HC49" s="460" t="s">
        <v>59</v>
      </c>
      <c r="HD49" s="460" t="s">
        <v>73</v>
      </c>
      <c r="HE49" s="461" t="s">
        <v>4</v>
      </c>
      <c r="HF49" s="460" t="s">
        <v>59</v>
      </c>
      <c r="HG49" s="460" t="s">
        <v>73</v>
      </c>
      <c r="HH49" s="461" t="s">
        <v>4</v>
      </c>
      <c r="HI49" s="460" t="s">
        <v>59</v>
      </c>
      <c r="HJ49" s="460" t="s">
        <v>73</v>
      </c>
      <c r="HK49" s="461" t="s">
        <v>4</v>
      </c>
      <c r="HL49" s="460" t="s">
        <v>59</v>
      </c>
      <c r="HM49" s="460" t="s">
        <v>73</v>
      </c>
      <c r="HN49" s="461" t="s">
        <v>4</v>
      </c>
      <c r="HO49" s="460" t="s">
        <v>59</v>
      </c>
      <c r="HP49" s="460" t="s">
        <v>73</v>
      </c>
      <c r="HQ49" s="461" t="s">
        <v>4</v>
      </c>
      <c r="HR49" s="460" t="s">
        <v>59</v>
      </c>
      <c r="HS49" s="460" t="s">
        <v>73</v>
      </c>
      <c r="HT49" s="473" t="s">
        <v>4</v>
      </c>
      <c r="HU49" s="1004"/>
      <c r="HV49" s="1005">
        <f>(HC50*HD50*HE50)+(HF50*HG50*HH50)+(HI50*HJ50*HK50)+(HL50*HM50*HN50)+(HO50*HP50*HQ50)+(HR50*HS50*HT50)</f>
        <v>0</v>
      </c>
      <c r="HW49" s="940"/>
      <c r="HX49" s="1016"/>
      <c r="HZ49" s="1049"/>
      <c r="IA49" s="460" t="s">
        <v>59</v>
      </c>
      <c r="IB49" s="460" t="s">
        <v>73</v>
      </c>
      <c r="IC49" s="461" t="s">
        <v>4</v>
      </c>
      <c r="ID49" s="460" t="s">
        <v>59</v>
      </c>
      <c r="IE49" s="460" t="s">
        <v>73</v>
      </c>
      <c r="IF49" s="461" t="s">
        <v>4</v>
      </c>
      <c r="IG49" s="460" t="s">
        <v>59</v>
      </c>
      <c r="IH49" s="460" t="s">
        <v>73</v>
      </c>
      <c r="II49" s="461" t="s">
        <v>4</v>
      </c>
      <c r="IJ49" s="460" t="s">
        <v>59</v>
      </c>
      <c r="IK49" s="460" t="s">
        <v>73</v>
      </c>
      <c r="IL49" s="461" t="s">
        <v>4</v>
      </c>
      <c r="IM49" s="460" t="s">
        <v>59</v>
      </c>
      <c r="IN49" s="460" t="s">
        <v>73</v>
      </c>
      <c r="IO49" s="461" t="s">
        <v>4</v>
      </c>
      <c r="IP49" s="460" t="s">
        <v>59</v>
      </c>
      <c r="IQ49" s="460" t="s">
        <v>73</v>
      </c>
      <c r="IR49" s="473" t="s">
        <v>4</v>
      </c>
      <c r="IS49" s="1004"/>
      <c r="IT49" s="1005">
        <f>(IA50*IB50*IC50)+(ID50*IE50*IF50)+(IG50*IH50*II50)+(IJ50*IK50*IL50)+(IM50*IN50*IO50)+(IP50*IQ50*IR50)</f>
        <v>0</v>
      </c>
      <c r="IU49" s="940"/>
      <c r="IV49" s="1016"/>
      <c r="IX49" s="1065"/>
      <c r="IY49" s="460" t="s">
        <v>59</v>
      </c>
      <c r="IZ49" s="460" t="s">
        <v>73</v>
      </c>
      <c r="JA49" s="461" t="s">
        <v>4</v>
      </c>
      <c r="JB49" s="460" t="s">
        <v>59</v>
      </c>
      <c r="JC49" s="460" t="s">
        <v>73</v>
      </c>
      <c r="JD49" s="461" t="s">
        <v>4</v>
      </c>
      <c r="JE49" s="460" t="s">
        <v>59</v>
      </c>
      <c r="JF49" s="460" t="s">
        <v>73</v>
      </c>
      <c r="JG49" s="461" t="s">
        <v>4</v>
      </c>
      <c r="JH49" s="460" t="s">
        <v>59</v>
      </c>
      <c r="JI49" s="460" t="s">
        <v>73</v>
      </c>
      <c r="JJ49" s="461" t="s">
        <v>4</v>
      </c>
      <c r="JK49" s="460" t="s">
        <v>59</v>
      </c>
      <c r="JL49" s="460" t="s">
        <v>73</v>
      </c>
      <c r="JM49" s="461" t="s">
        <v>4</v>
      </c>
      <c r="JN49" s="460" t="s">
        <v>59</v>
      </c>
      <c r="JO49" s="460" t="s">
        <v>73</v>
      </c>
      <c r="JP49" s="473" t="s">
        <v>4</v>
      </c>
      <c r="JQ49" s="1004"/>
      <c r="JR49" s="1005">
        <f>(IY50*IZ50*JA50)+(JB50*JC50*JD50)+(JE50*JF50*JG50)+(JH50*JI50*JJ50)+(JK50*JL50*JM50)+(JN50*JO50*JP50)</f>
        <v>0</v>
      </c>
      <c r="JS49" s="940"/>
      <c r="JT49" s="1016"/>
      <c r="JV49" s="1039"/>
      <c r="JW49" s="460" t="s">
        <v>59</v>
      </c>
      <c r="JX49" s="460" t="s">
        <v>73</v>
      </c>
      <c r="JY49" s="461" t="s">
        <v>4</v>
      </c>
      <c r="JZ49" s="460" t="s">
        <v>59</v>
      </c>
      <c r="KA49" s="460" t="s">
        <v>73</v>
      </c>
      <c r="KB49" s="461" t="s">
        <v>4</v>
      </c>
      <c r="KC49" s="460" t="s">
        <v>59</v>
      </c>
      <c r="KD49" s="460" t="s">
        <v>73</v>
      </c>
      <c r="KE49" s="461" t="s">
        <v>4</v>
      </c>
      <c r="KF49" s="460" t="s">
        <v>59</v>
      </c>
      <c r="KG49" s="460" t="s">
        <v>73</v>
      </c>
      <c r="KH49" s="461" t="s">
        <v>4</v>
      </c>
      <c r="KI49" s="460" t="s">
        <v>59</v>
      </c>
      <c r="KJ49" s="460" t="s">
        <v>73</v>
      </c>
      <c r="KK49" s="461" t="s">
        <v>4</v>
      </c>
      <c r="KL49" s="460" t="s">
        <v>59</v>
      </c>
      <c r="KM49" s="460" t="s">
        <v>73</v>
      </c>
      <c r="KN49" s="473" t="s">
        <v>4</v>
      </c>
      <c r="KO49" s="1004"/>
      <c r="KP49" s="1005">
        <f>(JW50*JX50*JY50)+(JZ50*KA50*KB50)+(KC50*KD50*KE50)+(KF50*KG50*KH50)+(KI50*KJ50*KK50)+(KL50*KM50*KN50)</f>
        <v>0</v>
      </c>
      <c r="KQ49" s="940"/>
      <c r="KR49" s="1016"/>
      <c r="KT49" s="1052"/>
      <c r="KU49" s="491" t="s">
        <v>59</v>
      </c>
      <c r="KV49" s="491" t="s">
        <v>73</v>
      </c>
      <c r="KW49" s="492" t="s">
        <v>4</v>
      </c>
      <c r="KX49" s="491" t="s">
        <v>59</v>
      </c>
      <c r="KY49" s="491" t="s">
        <v>73</v>
      </c>
      <c r="KZ49" s="492" t="s">
        <v>4</v>
      </c>
      <c r="LA49" s="491" t="s">
        <v>59</v>
      </c>
      <c r="LB49" s="491" t="s">
        <v>73</v>
      </c>
      <c r="LC49" s="492" t="s">
        <v>4</v>
      </c>
      <c r="LD49" s="491" t="s">
        <v>59</v>
      </c>
      <c r="LE49" s="491" t="s">
        <v>73</v>
      </c>
      <c r="LF49" s="492" t="s">
        <v>4</v>
      </c>
      <c r="LG49" s="491" t="s">
        <v>59</v>
      </c>
      <c r="LH49" s="491" t="s">
        <v>73</v>
      </c>
      <c r="LI49" s="492" t="s">
        <v>4</v>
      </c>
      <c r="LJ49" s="491" t="s">
        <v>59</v>
      </c>
      <c r="LK49" s="491" t="s">
        <v>73</v>
      </c>
      <c r="LL49" s="493" t="s">
        <v>4</v>
      </c>
      <c r="LM49" s="1071"/>
      <c r="LN49" s="1072">
        <f>(KU50*KV50*KW50)+(KX50*KY50*KZ50)+(LA50*LB50*LC50)+(LD50*LE50*LF50)+(LG50*LH50*LI50)+(LJ50*LK50*LL50)</f>
        <v>0</v>
      </c>
      <c r="LO49" s="1068"/>
      <c r="LP49" s="1070"/>
    </row>
    <row r="50" spans="1:328" ht="15">
      <c r="A50" s="969" t="s">
        <v>583</v>
      </c>
      <c r="B50" s="729"/>
      <c r="C50" s="729"/>
      <c r="D50" s="729"/>
      <c r="E50" s="729"/>
      <c r="F50"/>
      <c r="G50"/>
      <c r="H50"/>
      <c r="I50"/>
      <c r="R50" s="878"/>
      <c r="S50" s="229">
        <v>4</v>
      </c>
      <c r="T50" s="229">
        <f>((12*1)+(8*3))/4</f>
        <v>9</v>
      </c>
      <c r="U50" s="229">
        <f>((12.5*1)+(25*3))/4</f>
        <v>21.875</v>
      </c>
      <c r="V50" s="229">
        <v>4</v>
      </c>
      <c r="W50" s="229">
        <f>((12*3)+(8*1))/4</f>
        <v>11</v>
      </c>
      <c r="X50" s="229">
        <f>((15.9*1)+(29.5*1)+(31.8*2))/4</f>
        <v>27.25</v>
      </c>
      <c r="Y50" s="229">
        <v>4</v>
      </c>
      <c r="Z50" s="229">
        <f>((12*1)+(8*3))/4</f>
        <v>9</v>
      </c>
      <c r="AA50" s="229">
        <f>((23*1)+(45*1)+(50*2))/4</f>
        <v>42</v>
      </c>
      <c r="AB50" s="229">
        <v>4</v>
      </c>
      <c r="AC50" s="229">
        <f>((0.5*1)+(1*3))/4</f>
        <v>0.875</v>
      </c>
      <c r="AD50" s="229">
        <f>AN48*(2/3)</f>
        <v>51.666666666666664</v>
      </c>
      <c r="AE50" s="233"/>
      <c r="AF50" s="233"/>
      <c r="AG50" s="233"/>
      <c r="AH50" s="233"/>
      <c r="AI50" s="233"/>
      <c r="AJ50" s="472"/>
      <c r="AK50" s="1007"/>
      <c r="AL50" s="1002"/>
      <c r="AM50" s="941"/>
      <c r="AN50" s="855"/>
      <c r="AO50" s="118"/>
      <c r="AP50" s="872"/>
      <c r="AQ50" s="229">
        <v>4</v>
      </c>
      <c r="AR50" s="126">
        <f>((12*1)+(10*2)+(8*2))/4</f>
        <v>12</v>
      </c>
      <c r="AS50" s="229">
        <f>((36*1)+(68*3))/4</f>
        <v>60</v>
      </c>
      <c r="AT50" s="229">
        <v>4</v>
      </c>
      <c r="AU50" s="126">
        <f>((14*1)+(16*3))/4</f>
        <v>15.5</v>
      </c>
      <c r="AV50" s="229">
        <f>((18.1*1)+(34*3))/4</f>
        <v>30.024999999999999</v>
      </c>
      <c r="AW50" s="229">
        <v>4</v>
      </c>
      <c r="AX50" s="229">
        <f>((12*1)+(10*3))/4</f>
        <v>10.5</v>
      </c>
      <c r="AY50" s="229">
        <f>((13.9*1)+(24.9*3))/4</f>
        <v>22.15</v>
      </c>
      <c r="AZ50" s="229">
        <v>4</v>
      </c>
      <c r="BA50" s="229">
        <f>((12*1)+(10*3))/4</f>
        <v>10.5</v>
      </c>
      <c r="BB50" s="229">
        <f>((2.5*1)+(7.5*3))/4</f>
        <v>6.25</v>
      </c>
      <c r="BC50" s="229">
        <v>4</v>
      </c>
      <c r="BD50" s="229">
        <f>((14*1)+(8*3))/4</f>
        <v>9.5</v>
      </c>
      <c r="BE50" s="229">
        <f>((11.3*1)+(24.9*3))/4</f>
        <v>21.499999999999996</v>
      </c>
      <c r="BF50" s="233"/>
      <c r="BG50" s="233"/>
      <c r="BH50" s="472"/>
      <c r="BI50" s="1007"/>
      <c r="BJ50" s="1003"/>
      <c r="BK50" s="941"/>
      <c r="BL50" s="1016"/>
      <c r="BM50" s="118"/>
      <c r="BN50" s="872"/>
      <c r="BO50" s="229">
        <v>4</v>
      </c>
      <c r="BP50" s="126">
        <f>((12*4))/4</f>
        <v>12</v>
      </c>
      <c r="BQ50" s="229">
        <f>((20*1)+(40*3))/4</f>
        <v>35</v>
      </c>
      <c r="BR50" s="229">
        <v>4</v>
      </c>
      <c r="BS50" s="229">
        <f>((12*1)+(6*3))/4</f>
        <v>7.5</v>
      </c>
      <c r="BT50" s="126">
        <f>((27*1)+(63*3))/4</f>
        <v>54</v>
      </c>
      <c r="BU50" s="229">
        <v>4</v>
      </c>
      <c r="BV50" s="229">
        <f>((12*1)+(10*3))/4</f>
        <v>10.5</v>
      </c>
      <c r="BW50" s="229">
        <f>((20*1)+(35*3))/4</f>
        <v>31.25</v>
      </c>
      <c r="BX50" s="229">
        <v>2</v>
      </c>
      <c r="BY50" s="229">
        <f>((12*4))/4</f>
        <v>12</v>
      </c>
      <c r="BZ50" s="229">
        <f>((36*1)+(72*1))/4</f>
        <v>27</v>
      </c>
      <c r="CA50" s="229">
        <v>0</v>
      </c>
      <c r="CB50" s="229">
        <f>((12*4))/4</f>
        <v>12</v>
      </c>
      <c r="CC50" s="229">
        <f>((12.5*1)+(25*3))/4</f>
        <v>21.875</v>
      </c>
      <c r="CD50" s="233"/>
      <c r="CE50" s="233"/>
      <c r="CF50" s="472"/>
      <c r="CG50" s="1007"/>
      <c r="CH50" s="1006"/>
      <c r="CI50" s="941"/>
      <c r="CJ50" s="1016"/>
      <c r="CL50" s="1043"/>
      <c r="CM50" s="233"/>
      <c r="CN50" s="233"/>
      <c r="CO50" s="233"/>
      <c r="CP50" s="233"/>
      <c r="CQ50" s="233"/>
      <c r="CR50" s="233"/>
      <c r="CS50" s="233"/>
      <c r="CT50" s="233"/>
      <c r="CU50" s="233"/>
      <c r="CV50" s="233"/>
      <c r="CW50" s="233"/>
      <c r="CX50" s="233"/>
      <c r="CY50" s="233"/>
      <c r="CZ50" s="233"/>
      <c r="DA50" s="233"/>
      <c r="DB50" s="233"/>
      <c r="DC50" s="233"/>
      <c r="DD50" s="477"/>
      <c r="DE50" s="1007"/>
      <c r="DF50" s="1006"/>
      <c r="DG50" s="941"/>
      <c r="DH50" s="1016"/>
      <c r="DJ50" s="1053"/>
      <c r="DK50" s="494"/>
      <c r="DL50" s="494"/>
      <c r="DM50" s="494"/>
      <c r="DN50" s="494"/>
      <c r="DO50" s="494"/>
      <c r="DP50" s="494"/>
      <c r="DQ50" s="494"/>
      <c r="DR50" s="494"/>
      <c r="DS50" s="494"/>
      <c r="DT50" s="494"/>
      <c r="DU50" s="494"/>
      <c r="DV50" s="494"/>
      <c r="DW50" s="494"/>
      <c r="DX50" s="494"/>
      <c r="DY50" s="494"/>
      <c r="DZ50" s="494"/>
      <c r="EA50" s="494"/>
      <c r="EB50" s="495"/>
      <c r="EC50" s="1081"/>
      <c r="ED50" s="1073"/>
      <c r="EE50" s="1069"/>
      <c r="EF50" s="1070"/>
      <c r="EH50" s="1076"/>
      <c r="EI50" s="462"/>
      <c r="EJ50" s="462"/>
      <c r="EK50" s="462"/>
      <c r="EL50" s="462"/>
      <c r="EM50" s="462"/>
      <c r="EN50" s="462"/>
      <c r="EO50" s="462"/>
      <c r="EP50" s="462"/>
      <c r="EQ50" s="462"/>
      <c r="ER50" s="462"/>
      <c r="ES50" s="462"/>
      <c r="ET50" s="462"/>
      <c r="EU50" s="462"/>
      <c r="EV50" s="462"/>
      <c r="EW50" s="462"/>
      <c r="EX50" s="462"/>
      <c r="EY50" s="462"/>
      <c r="EZ50" s="474"/>
      <c r="FA50" s="1007"/>
      <c r="FB50" s="1006"/>
      <c r="FC50" s="941"/>
      <c r="FD50" s="1016"/>
      <c r="FF50" s="1043"/>
      <c r="FG50" s="462"/>
      <c r="FH50" s="462"/>
      <c r="FI50" s="462"/>
      <c r="FJ50" s="462"/>
      <c r="FK50" s="462"/>
      <c r="FL50" s="462"/>
      <c r="FM50" s="462"/>
      <c r="FN50" s="462"/>
      <c r="FO50" s="462"/>
      <c r="FP50" s="462"/>
      <c r="FQ50" s="462"/>
      <c r="FR50" s="462"/>
      <c r="FS50" s="462"/>
      <c r="FT50" s="462"/>
      <c r="FU50" s="462"/>
      <c r="FV50" s="462"/>
      <c r="FW50" s="462"/>
      <c r="FX50" s="474"/>
      <c r="FY50" s="1007"/>
      <c r="FZ50" s="1006"/>
      <c r="GA50" s="941"/>
      <c r="GB50" s="1016"/>
      <c r="GD50" s="1063"/>
      <c r="GE50" s="462"/>
      <c r="GF50" s="462"/>
      <c r="GG50" s="462"/>
      <c r="GH50" s="462"/>
      <c r="GI50" s="462"/>
      <c r="GJ50" s="462"/>
      <c r="GK50" s="462"/>
      <c r="GL50" s="462"/>
      <c r="GM50" s="462"/>
      <c r="GN50" s="462"/>
      <c r="GO50" s="462"/>
      <c r="GP50" s="462"/>
      <c r="GQ50" s="462"/>
      <c r="GR50" s="462"/>
      <c r="GS50" s="462"/>
      <c r="GT50" s="462"/>
      <c r="GU50" s="462"/>
      <c r="GV50" s="474"/>
      <c r="GW50" s="1007"/>
      <c r="GX50" s="1006"/>
      <c r="GY50" s="941"/>
      <c r="GZ50" s="1016"/>
      <c r="HB50" s="1040"/>
      <c r="HC50" s="462"/>
      <c r="HD50" s="462"/>
      <c r="HE50" s="462"/>
      <c r="HF50" s="462"/>
      <c r="HG50" s="462"/>
      <c r="HH50" s="462"/>
      <c r="HI50" s="462"/>
      <c r="HJ50" s="462"/>
      <c r="HK50" s="462"/>
      <c r="HL50" s="462"/>
      <c r="HM50" s="462"/>
      <c r="HN50" s="462"/>
      <c r="HO50" s="462"/>
      <c r="HP50" s="462"/>
      <c r="HQ50" s="462"/>
      <c r="HR50" s="462"/>
      <c r="HS50" s="462"/>
      <c r="HT50" s="474"/>
      <c r="HU50" s="1007"/>
      <c r="HV50" s="1006"/>
      <c r="HW50" s="941"/>
      <c r="HX50" s="1016"/>
      <c r="HZ50" s="1050"/>
      <c r="IA50" s="462"/>
      <c r="IB50" s="462"/>
      <c r="IC50" s="462"/>
      <c r="ID50" s="462"/>
      <c r="IE50" s="462"/>
      <c r="IF50" s="462"/>
      <c r="IG50" s="462"/>
      <c r="IH50" s="462"/>
      <c r="II50" s="462"/>
      <c r="IJ50" s="462"/>
      <c r="IK50" s="462"/>
      <c r="IL50" s="462"/>
      <c r="IM50" s="462"/>
      <c r="IN50" s="462"/>
      <c r="IO50" s="462"/>
      <c r="IP50" s="462"/>
      <c r="IQ50" s="462"/>
      <c r="IR50" s="474"/>
      <c r="IS50" s="1007"/>
      <c r="IT50" s="1006"/>
      <c r="IU50" s="941"/>
      <c r="IV50" s="1016"/>
      <c r="IX50" s="1066"/>
      <c r="IY50" s="462"/>
      <c r="IZ50" s="462"/>
      <c r="JA50" s="462"/>
      <c r="JB50" s="462"/>
      <c r="JC50" s="462"/>
      <c r="JD50" s="462"/>
      <c r="JE50" s="462"/>
      <c r="JF50" s="462"/>
      <c r="JG50" s="462"/>
      <c r="JH50" s="462"/>
      <c r="JI50" s="462"/>
      <c r="JJ50" s="462"/>
      <c r="JK50" s="462"/>
      <c r="JL50" s="462"/>
      <c r="JM50" s="462"/>
      <c r="JN50" s="462"/>
      <c r="JO50" s="462"/>
      <c r="JP50" s="474"/>
      <c r="JQ50" s="1007"/>
      <c r="JR50" s="1006"/>
      <c r="JS50" s="941"/>
      <c r="JT50" s="1016"/>
      <c r="JV50" s="1040"/>
      <c r="JW50" s="462"/>
      <c r="JX50" s="462"/>
      <c r="JY50" s="462"/>
      <c r="JZ50" s="462"/>
      <c r="KA50" s="462"/>
      <c r="KB50" s="462"/>
      <c r="KC50" s="462"/>
      <c r="KD50" s="462"/>
      <c r="KE50" s="462"/>
      <c r="KF50" s="462"/>
      <c r="KG50" s="462"/>
      <c r="KH50" s="462"/>
      <c r="KI50" s="462"/>
      <c r="KJ50" s="462"/>
      <c r="KK50" s="462"/>
      <c r="KL50" s="462"/>
      <c r="KM50" s="462"/>
      <c r="KN50" s="474"/>
      <c r="KO50" s="1007"/>
      <c r="KP50" s="1006"/>
      <c r="KQ50" s="941"/>
      <c r="KR50" s="1016"/>
      <c r="KT50" s="1053"/>
      <c r="KU50" s="494"/>
      <c r="KV50" s="494"/>
      <c r="KW50" s="494"/>
      <c r="KX50" s="494"/>
      <c r="KY50" s="494"/>
      <c r="KZ50" s="494"/>
      <c r="LA50" s="494"/>
      <c r="LB50" s="494"/>
      <c r="LC50" s="494"/>
      <c r="LD50" s="494"/>
      <c r="LE50" s="494"/>
      <c r="LF50" s="494"/>
      <c r="LG50" s="494"/>
      <c r="LH50" s="494"/>
      <c r="LI50" s="494"/>
      <c r="LJ50" s="494"/>
      <c r="LK50" s="494"/>
      <c r="LL50" s="495"/>
      <c r="LM50" s="1081"/>
      <c r="LN50" s="1073"/>
      <c r="LO50" s="1069"/>
      <c r="LP50" s="1070"/>
    </row>
    <row r="51" spans="1:328" ht="15">
      <c r="A51" s="396" t="s">
        <v>584</v>
      </c>
      <c r="B51" s="396" t="s">
        <v>585</v>
      </c>
      <c r="C51" s="396" t="s">
        <v>586</v>
      </c>
      <c r="D51" s="396" t="s">
        <v>587</v>
      </c>
      <c r="E51" s="396" t="s">
        <v>588</v>
      </c>
      <c r="F51"/>
      <c r="G51"/>
      <c r="H51"/>
      <c r="I51"/>
      <c r="R51" s="840">
        <v>46039</v>
      </c>
      <c r="S51" s="1023"/>
      <c r="T51" s="1023"/>
      <c r="U51" s="1023"/>
      <c r="V51" s="1023"/>
      <c r="W51" s="1023"/>
      <c r="X51" s="1023"/>
      <c r="Y51" s="1023"/>
      <c r="Z51" s="1023"/>
      <c r="AA51" s="1023"/>
      <c r="AB51" s="1023"/>
      <c r="AC51" s="1023"/>
      <c r="AD51" s="1023"/>
      <c r="AE51" s="1021"/>
      <c r="AF51" s="1022"/>
      <c r="AG51" s="1024"/>
      <c r="AH51" s="1021"/>
      <c r="AI51" s="1022"/>
      <c r="AJ51" s="1022"/>
      <c r="AK51" s="459" t="s">
        <v>425</v>
      </c>
      <c r="AL51" s="1">
        <f t="shared" ref="AL51" si="76">COUNTA(S51:AJ51)</f>
        <v>0</v>
      </c>
      <c r="AM51" s="939"/>
      <c r="AN51" s="855">
        <f>AN48</f>
        <v>77.5</v>
      </c>
      <c r="AO51" s="118"/>
      <c r="AP51" s="856">
        <v>46070</v>
      </c>
      <c r="AQ51" s="848" t="s">
        <v>70</v>
      </c>
      <c r="AR51" s="848"/>
      <c r="AS51" s="848"/>
      <c r="AT51" s="859"/>
      <c r="AU51" s="859"/>
      <c r="AV51" s="859"/>
      <c r="AW51" s="834"/>
      <c r="AX51" s="835"/>
      <c r="AY51" s="836"/>
      <c r="AZ51" s="867"/>
      <c r="BA51" s="868"/>
      <c r="BB51" s="869"/>
      <c r="BC51" s="834"/>
      <c r="BD51" s="835"/>
      <c r="BE51" s="836"/>
      <c r="BF51" s="834"/>
      <c r="BG51" s="835"/>
      <c r="BH51" s="835"/>
      <c r="BI51" s="459" t="s">
        <v>425</v>
      </c>
      <c r="BJ51" s="482">
        <f t="shared" si="65"/>
        <v>1</v>
      </c>
      <c r="BK51" s="939"/>
      <c r="BL51" s="1016">
        <v>78.599999999999994</v>
      </c>
      <c r="BM51" s="118"/>
      <c r="BN51" s="856">
        <v>46098</v>
      </c>
      <c r="BO51" s="848" t="s">
        <v>89</v>
      </c>
      <c r="BP51" s="848"/>
      <c r="BQ51" s="848"/>
      <c r="BR51" s="977" t="s">
        <v>380</v>
      </c>
      <c r="BS51" s="977"/>
      <c r="BT51" s="977"/>
      <c r="BU51" s="848" t="s">
        <v>115</v>
      </c>
      <c r="BV51" s="848"/>
      <c r="BW51" s="848"/>
      <c r="BX51" s="849" t="s">
        <v>114</v>
      </c>
      <c r="BY51" s="849"/>
      <c r="BZ51" s="849"/>
      <c r="CA51" s="848" t="s">
        <v>129</v>
      </c>
      <c r="CB51" s="848"/>
      <c r="CC51" s="848"/>
      <c r="CD51" s="834"/>
      <c r="CE51" s="835"/>
      <c r="CF51" s="835"/>
      <c r="CG51" s="459" t="s">
        <v>425</v>
      </c>
      <c r="CH51" s="482">
        <f t="shared" ref="CH51" si="77">COUNTA(BO51:CF51)</f>
        <v>5</v>
      </c>
      <c r="CI51" s="939">
        <v>8</v>
      </c>
      <c r="CJ51" s="1016">
        <v>77.95</v>
      </c>
      <c r="CL51" s="1048">
        <v>46129</v>
      </c>
      <c r="CM51" s="890" t="s">
        <v>379</v>
      </c>
      <c r="CN51" s="890"/>
      <c r="CO51" s="890"/>
      <c r="CP51" s="848" t="s">
        <v>68</v>
      </c>
      <c r="CQ51" s="848"/>
      <c r="CR51" s="848"/>
      <c r="CS51" s="848" t="s">
        <v>380</v>
      </c>
      <c r="CT51" s="848"/>
      <c r="CU51" s="848"/>
      <c r="CV51" s="882" t="s">
        <v>391</v>
      </c>
      <c r="CW51" s="883"/>
      <c r="CX51" s="884"/>
      <c r="CY51" s="897" t="s">
        <v>617</v>
      </c>
      <c r="CZ51" s="898"/>
      <c r="DA51" s="899"/>
      <c r="DB51" s="834"/>
      <c r="DC51" s="835"/>
      <c r="DD51" s="835"/>
      <c r="DE51" s="459" t="s">
        <v>425</v>
      </c>
      <c r="DF51" s="482">
        <f>COUNTA(CM51:DD51)</f>
        <v>5</v>
      </c>
      <c r="DG51" s="939">
        <v>8</v>
      </c>
      <c r="DH51" s="1016">
        <v>78.3</v>
      </c>
      <c r="DJ51" s="1061">
        <v>46159</v>
      </c>
      <c r="DK51" s="960"/>
      <c r="DL51" s="960"/>
      <c r="DM51" s="960"/>
      <c r="DN51" s="960"/>
      <c r="DO51" s="960"/>
      <c r="DP51" s="960"/>
      <c r="DQ51" s="960"/>
      <c r="DR51" s="960"/>
      <c r="DS51" s="960"/>
      <c r="DT51" s="960"/>
      <c r="DU51" s="960"/>
      <c r="DV51" s="960"/>
      <c r="DW51" s="961"/>
      <c r="DX51" s="962"/>
      <c r="DY51" s="963"/>
      <c r="DZ51" s="961"/>
      <c r="EA51" s="962"/>
      <c r="EB51" s="962"/>
      <c r="EC51" s="459" t="s">
        <v>425</v>
      </c>
      <c r="ED51" s="482">
        <f>COUNTA(DK51:EB51)</f>
        <v>0</v>
      </c>
      <c r="EE51" s="939"/>
      <c r="EF51" s="1016"/>
      <c r="EH51" s="1038">
        <v>46190</v>
      </c>
      <c r="EI51" s="960"/>
      <c r="EJ51" s="960"/>
      <c r="EK51" s="960"/>
      <c r="EL51" s="960"/>
      <c r="EM51" s="960"/>
      <c r="EN51" s="960"/>
      <c r="EO51" s="960"/>
      <c r="EP51" s="960"/>
      <c r="EQ51" s="960"/>
      <c r="ER51" s="960"/>
      <c r="ES51" s="960"/>
      <c r="ET51" s="960"/>
      <c r="EU51" s="961"/>
      <c r="EV51" s="962"/>
      <c r="EW51" s="963"/>
      <c r="EX51" s="961"/>
      <c r="EY51" s="962"/>
      <c r="EZ51" s="962"/>
      <c r="FA51" s="459" t="s">
        <v>425</v>
      </c>
      <c r="FB51" s="482">
        <f>COUNTA(EI51:EZ51)</f>
        <v>0</v>
      </c>
      <c r="FC51" s="939"/>
      <c r="FD51" s="1016"/>
      <c r="FF51" s="1048">
        <v>46220</v>
      </c>
      <c r="FG51" s="960"/>
      <c r="FH51" s="960"/>
      <c r="FI51" s="960"/>
      <c r="FJ51" s="960"/>
      <c r="FK51" s="960"/>
      <c r="FL51" s="960"/>
      <c r="FM51" s="960"/>
      <c r="FN51" s="960"/>
      <c r="FO51" s="960"/>
      <c r="FP51" s="960"/>
      <c r="FQ51" s="960"/>
      <c r="FR51" s="960"/>
      <c r="FS51" s="961"/>
      <c r="FT51" s="962"/>
      <c r="FU51" s="963"/>
      <c r="FV51" s="961"/>
      <c r="FW51" s="962"/>
      <c r="FX51" s="962"/>
      <c r="FY51" s="459" t="s">
        <v>425</v>
      </c>
      <c r="FZ51" s="482">
        <f>COUNTA(FG51:FX51)</f>
        <v>0</v>
      </c>
      <c r="GA51" s="939"/>
      <c r="GB51" s="1016"/>
      <c r="GD51" s="1064">
        <v>46251</v>
      </c>
      <c r="GE51" s="960"/>
      <c r="GF51" s="960"/>
      <c r="GG51" s="960"/>
      <c r="GH51" s="960"/>
      <c r="GI51" s="960"/>
      <c r="GJ51" s="960"/>
      <c r="GK51" s="960"/>
      <c r="GL51" s="960"/>
      <c r="GM51" s="960"/>
      <c r="GN51" s="960"/>
      <c r="GO51" s="960"/>
      <c r="GP51" s="960"/>
      <c r="GQ51" s="961"/>
      <c r="GR51" s="962"/>
      <c r="GS51" s="963"/>
      <c r="GT51" s="961"/>
      <c r="GU51" s="962"/>
      <c r="GV51" s="962"/>
      <c r="GW51" s="459" t="s">
        <v>425</v>
      </c>
      <c r="GX51" s="482">
        <f>COUNTA(GE51:GV51)</f>
        <v>0</v>
      </c>
      <c r="GY51" s="939"/>
      <c r="GZ51" s="1016"/>
      <c r="HB51" s="1041">
        <v>46282</v>
      </c>
      <c r="HC51" s="960"/>
      <c r="HD51" s="960"/>
      <c r="HE51" s="960"/>
      <c r="HF51" s="960"/>
      <c r="HG51" s="960"/>
      <c r="HH51" s="960"/>
      <c r="HI51" s="960"/>
      <c r="HJ51" s="960"/>
      <c r="HK51" s="960"/>
      <c r="HL51" s="960"/>
      <c r="HM51" s="960"/>
      <c r="HN51" s="960"/>
      <c r="HO51" s="961"/>
      <c r="HP51" s="962"/>
      <c r="HQ51" s="963"/>
      <c r="HR51" s="961"/>
      <c r="HS51" s="962"/>
      <c r="HT51" s="962"/>
      <c r="HU51" s="459" t="s">
        <v>425</v>
      </c>
      <c r="HV51" s="482">
        <f>COUNTA(HC51:HT51)</f>
        <v>0</v>
      </c>
      <c r="HW51" s="939"/>
      <c r="HX51" s="1016"/>
      <c r="HZ51" s="1051">
        <v>46312</v>
      </c>
      <c r="IA51" s="1023"/>
      <c r="IB51" s="1023"/>
      <c r="IC51" s="1023"/>
      <c r="ID51" s="1023"/>
      <c r="IE51" s="1023"/>
      <c r="IF51" s="1023"/>
      <c r="IG51" s="1023"/>
      <c r="IH51" s="1023"/>
      <c r="II51" s="1023"/>
      <c r="IJ51" s="1023"/>
      <c r="IK51" s="1023"/>
      <c r="IL51" s="1023"/>
      <c r="IM51" s="1021"/>
      <c r="IN51" s="1022"/>
      <c r="IO51" s="1024"/>
      <c r="IP51" s="1021"/>
      <c r="IQ51" s="1022"/>
      <c r="IR51" s="1022"/>
      <c r="IS51" s="489" t="s">
        <v>425</v>
      </c>
      <c r="IT51" s="496">
        <f>COUNTA(IA51:IR51)</f>
        <v>0</v>
      </c>
      <c r="IU51" s="1067"/>
      <c r="IV51" s="1070"/>
      <c r="IX51" s="1074">
        <v>46343</v>
      </c>
      <c r="IY51" s="960"/>
      <c r="IZ51" s="960"/>
      <c r="JA51" s="960"/>
      <c r="JB51" s="960"/>
      <c r="JC51" s="960"/>
      <c r="JD51" s="960"/>
      <c r="JE51" s="960"/>
      <c r="JF51" s="960"/>
      <c r="JG51" s="960"/>
      <c r="JH51" s="960"/>
      <c r="JI51" s="960"/>
      <c r="JJ51" s="960"/>
      <c r="JK51" s="961"/>
      <c r="JL51" s="962"/>
      <c r="JM51" s="963"/>
      <c r="JN51" s="961"/>
      <c r="JO51" s="962"/>
      <c r="JP51" s="962"/>
      <c r="JQ51" s="459" t="s">
        <v>425</v>
      </c>
      <c r="JR51" s="482">
        <f>COUNTA(IY51:JP51)</f>
        <v>0</v>
      </c>
      <c r="JS51" s="939"/>
      <c r="JT51" s="1016"/>
      <c r="JV51" s="1041">
        <v>46373</v>
      </c>
      <c r="JW51" s="960"/>
      <c r="JX51" s="960"/>
      <c r="JY51" s="960"/>
      <c r="JZ51" s="960"/>
      <c r="KA51" s="960"/>
      <c r="KB51" s="960"/>
      <c r="KC51" s="960"/>
      <c r="KD51" s="960"/>
      <c r="KE51" s="960"/>
      <c r="KF51" s="960"/>
      <c r="KG51" s="960"/>
      <c r="KH51" s="960"/>
      <c r="KI51" s="961"/>
      <c r="KJ51" s="962"/>
      <c r="KK51" s="963"/>
      <c r="KL51" s="961"/>
      <c r="KM51" s="962"/>
      <c r="KN51" s="962"/>
      <c r="KO51" s="459" t="s">
        <v>425</v>
      </c>
      <c r="KP51" s="482">
        <f>COUNTA(JW51:KN51)</f>
        <v>0</v>
      </c>
      <c r="KQ51" s="939"/>
      <c r="KR51" s="1016"/>
      <c r="KT51" s="1061">
        <v>46404</v>
      </c>
      <c r="KU51" s="960"/>
      <c r="KV51" s="960"/>
      <c r="KW51" s="960"/>
      <c r="KX51" s="960"/>
      <c r="KY51" s="960"/>
      <c r="KZ51" s="960"/>
      <c r="LA51" s="960"/>
      <c r="LB51" s="960"/>
      <c r="LC51" s="960"/>
      <c r="LD51" s="960"/>
      <c r="LE51" s="960"/>
      <c r="LF51" s="960"/>
      <c r="LG51" s="961"/>
      <c r="LH51" s="962"/>
      <c r="LI51" s="963"/>
      <c r="LJ51" s="961"/>
      <c r="LK51" s="962"/>
      <c r="LL51" s="962"/>
      <c r="LM51" s="459" t="s">
        <v>425</v>
      </c>
      <c r="LN51" s="482">
        <f>COUNTA(KU51:LL51)</f>
        <v>0</v>
      </c>
      <c r="LO51" s="939"/>
      <c r="LP51" s="1016"/>
    </row>
    <row r="52" spans="1:328" ht="15">
      <c r="A52" s="231" t="s">
        <v>558</v>
      </c>
      <c r="B52" s="231" t="s">
        <v>589</v>
      </c>
      <c r="C52" s="231" t="s">
        <v>590</v>
      </c>
      <c r="D52" s="231" t="s">
        <v>591</v>
      </c>
      <c r="E52" s="397" t="s">
        <v>592</v>
      </c>
      <c r="F52"/>
      <c r="G52"/>
      <c r="H52"/>
      <c r="I52"/>
      <c r="R52" s="841"/>
      <c r="S52" s="491" t="s">
        <v>59</v>
      </c>
      <c r="T52" s="491" t="s">
        <v>73</v>
      </c>
      <c r="U52" s="492" t="s">
        <v>4</v>
      </c>
      <c r="V52" s="491" t="s">
        <v>59</v>
      </c>
      <c r="W52" s="491" t="s">
        <v>73</v>
      </c>
      <c r="X52" s="492" t="s">
        <v>4</v>
      </c>
      <c r="Y52" s="491" t="s">
        <v>59</v>
      </c>
      <c r="Z52" s="491" t="s">
        <v>73</v>
      </c>
      <c r="AA52" s="492" t="s">
        <v>4</v>
      </c>
      <c r="AB52" s="491" t="s">
        <v>59</v>
      </c>
      <c r="AC52" s="491" t="s">
        <v>73</v>
      </c>
      <c r="AD52" s="492" t="s">
        <v>4</v>
      </c>
      <c r="AE52" s="491" t="s">
        <v>59</v>
      </c>
      <c r="AF52" s="491" t="s">
        <v>73</v>
      </c>
      <c r="AG52" s="492" t="s">
        <v>4</v>
      </c>
      <c r="AH52" s="491" t="s">
        <v>59</v>
      </c>
      <c r="AI52" s="491" t="s">
        <v>73</v>
      </c>
      <c r="AJ52" s="493" t="s">
        <v>4</v>
      </c>
      <c r="AK52" s="1004">
        <v>0</v>
      </c>
      <c r="AL52" s="1002">
        <f t="shared" ref="AL52" si="78">(S53*T53*U53)+(V53*W53*X53)+(Y53*Z53*AA53)+(AB53*AC53*AD53)+(AE53*AF53*AG53)+(AH53*AI53*AJ53)</f>
        <v>0</v>
      </c>
      <c r="AM52" s="940"/>
      <c r="AN52" s="855"/>
      <c r="AO52" s="118"/>
      <c r="AP52" s="857"/>
      <c r="AQ52" s="231" t="s">
        <v>59</v>
      </c>
      <c r="AR52" s="231" t="s">
        <v>73</v>
      </c>
      <c r="AS52" s="102" t="s">
        <v>4</v>
      </c>
      <c r="AT52" s="107" t="s">
        <v>59</v>
      </c>
      <c r="AU52" s="107" t="s">
        <v>73</v>
      </c>
      <c r="AV52" s="108" t="s">
        <v>4</v>
      </c>
      <c r="AW52" s="107" t="s">
        <v>59</v>
      </c>
      <c r="AX52" s="107" t="s">
        <v>73</v>
      </c>
      <c r="AY52" s="108" t="s">
        <v>4</v>
      </c>
      <c r="AZ52" s="107" t="s">
        <v>59</v>
      </c>
      <c r="BA52" s="107" t="s">
        <v>73</v>
      </c>
      <c r="BB52" s="108" t="s">
        <v>4</v>
      </c>
      <c r="BC52" s="107" t="s">
        <v>59</v>
      </c>
      <c r="BD52" s="107" t="s">
        <v>73</v>
      </c>
      <c r="BE52" s="108" t="s">
        <v>4</v>
      </c>
      <c r="BF52" s="107" t="s">
        <v>59</v>
      </c>
      <c r="BG52" s="107" t="s">
        <v>73</v>
      </c>
      <c r="BH52" s="471" t="s">
        <v>4</v>
      </c>
      <c r="BI52" s="1004">
        <v>47</v>
      </c>
      <c r="BJ52" s="1003">
        <f t="shared" si="69"/>
        <v>3536.9999999999995</v>
      </c>
      <c r="BK52" s="940"/>
      <c r="BL52" s="1016"/>
      <c r="BM52" s="118"/>
      <c r="BN52" s="857"/>
      <c r="BO52" s="231" t="s">
        <v>59</v>
      </c>
      <c r="BP52" s="231" t="s">
        <v>73</v>
      </c>
      <c r="BQ52" s="102" t="s">
        <v>4</v>
      </c>
      <c r="BR52" s="303" t="s">
        <v>59</v>
      </c>
      <c r="BS52" s="303" t="s">
        <v>73</v>
      </c>
      <c r="BT52" s="304" t="s">
        <v>4</v>
      </c>
      <c r="BU52" s="231" t="s">
        <v>59</v>
      </c>
      <c r="BV52" s="231" t="s">
        <v>73</v>
      </c>
      <c r="BW52" s="102" t="s">
        <v>4</v>
      </c>
      <c r="BX52" s="231" t="s">
        <v>59</v>
      </c>
      <c r="BY52" s="231" t="s">
        <v>73</v>
      </c>
      <c r="BZ52" s="102" t="s">
        <v>4</v>
      </c>
      <c r="CA52" s="231" t="s">
        <v>59</v>
      </c>
      <c r="CB52" s="231" t="s">
        <v>73</v>
      </c>
      <c r="CC52" s="102" t="s">
        <v>4</v>
      </c>
      <c r="CD52" s="107" t="s">
        <v>59</v>
      </c>
      <c r="CE52" s="107" t="s">
        <v>73</v>
      </c>
      <c r="CF52" s="471" t="s">
        <v>4</v>
      </c>
      <c r="CG52" s="1004">
        <f>60+4</f>
        <v>64</v>
      </c>
      <c r="CH52" s="1005">
        <f t="shared" ref="CH52" si="79">(BO53*BP53*BQ53)+(BR53*BS53*BT53)+(BU53*BV53*BW53)+(BX53*BY53*BZ53)+(CA53*CB53*CC53)+(CD53*CE53*CF53)</f>
        <v>5771.1</v>
      </c>
      <c r="CI52" s="940"/>
      <c r="CJ52" s="1016"/>
      <c r="CL52" s="1049"/>
      <c r="CM52" s="231" t="s">
        <v>59</v>
      </c>
      <c r="CN52" s="231" t="s">
        <v>73</v>
      </c>
      <c r="CO52" s="102" t="s">
        <v>4</v>
      </c>
      <c r="CP52" s="231" t="s">
        <v>59</v>
      </c>
      <c r="CQ52" s="231" t="s">
        <v>73</v>
      </c>
      <c r="CR52" s="102" t="s">
        <v>4</v>
      </c>
      <c r="CS52" s="231" t="s">
        <v>59</v>
      </c>
      <c r="CT52" s="231" t="s">
        <v>73</v>
      </c>
      <c r="CU52" s="102" t="s">
        <v>4</v>
      </c>
      <c r="CV52" s="231" t="s">
        <v>59</v>
      </c>
      <c r="CW52" s="231" t="s">
        <v>73</v>
      </c>
      <c r="CX52" s="102" t="s">
        <v>4</v>
      </c>
      <c r="CY52" s="231" t="s">
        <v>59</v>
      </c>
      <c r="CZ52" s="231" t="s">
        <v>73</v>
      </c>
      <c r="DA52" s="102" t="s">
        <v>4</v>
      </c>
      <c r="DB52" s="107" t="s">
        <v>59</v>
      </c>
      <c r="DC52" s="107" t="s">
        <v>73</v>
      </c>
      <c r="DD52" s="471" t="s">
        <v>4</v>
      </c>
      <c r="DE52" s="1004">
        <f>46</f>
        <v>46</v>
      </c>
      <c r="DF52" s="1005">
        <f>(CM53*CN53*CO53)+(CP53*CQ53*CR53)+(CS53*CT53*CU53)+(CV53*CW53*CX53)+(CY53*CZ53*DA53)+(DB53*DC53*DD53)</f>
        <v>6706.4</v>
      </c>
      <c r="DG52" s="940"/>
      <c r="DH52" s="1016"/>
      <c r="DJ52" s="1062"/>
      <c r="DK52" s="460" t="s">
        <v>59</v>
      </c>
      <c r="DL52" s="460" t="s">
        <v>73</v>
      </c>
      <c r="DM52" s="461" t="s">
        <v>4</v>
      </c>
      <c r="DN52" s="460" t="s">
        <v>59</v>
      </c>
      <c r="DO52" s="460" t="s">
        <v>73</v>
      </c>
      <c r="DP52" s="461" t="s">
        <v>4</v>
      </c>
      <c r="DQ52" s="460" t="s">
        <v>59</v>
      </c>
      <c r="DR52" s="460" t="s">
        <v>73</v>
      </c>
      <c r="DS52" s="461" t="s">
        <v>4</v>
      </c>
      <c r="DT52" s="460" t="s">
        <v>59</v>
      </c>
      <c r="DU52" s="460" t="s">
        <v>73</v>
      </c>
      <c r="DV52" s="461" t="s">
        <v>4</v>
      </c>
      <c r="DW52" s="460" t="s">
        <v>59</v>
      </c>
      <c r="DX52" s="460" t="s">
        <v>73</v>
      </c>
      <c r="DY52" s="461" t="s">
        <v>4</v>
      </c>
      <c r="DZ52" s="460" t="s">
        <v>59</v>
      </c>
      <c r="EA52" s="460" t="s">
        <v>73</v>
      </c>
      <c r="EB52" s="473" t="s">
        <v>4</v>
      </c>
      <c r="EC52" s="1004"/>
      <c r="ED52" s="1005">
        <f>(DK53*DL53*DM53)+(DN53*DO53*DP53)+(DQ53*DR53*DS53)+(DT53*DU53*DV53)+(DW53*DX53*DY53)+(DZ53*EA53*EB53)</f>
        <v>0</v>
      </c>
      <c r="EE52" s="940"/>
      <c r="EF52" s="1016"/>
      <c r="EH52" s="1039"/>
      <c r="EI52" s="460" t="s">
        <v>59</v>
      </c>
      <c r="EJ52" s="460" t="s">
        <v>73</v>
      </c>
      <c r="EK52" s="461" t="s">
        <v>4</v>
      </c>
      <c r="EL52" s="460" t="s">
        <v>59</v>
      </c>
      <c r="EM52" s="460" t="s">
        <v>73</v>
      </c>
      <c r="EN52" s="461" t="s">
        <v>4</v>
      </c>
      <c r="EO52" s="460" t="s">
        <v>59</v>
      </c>
      <c r="EP52" s="460" t="s">
        <v>73</v>
      </c>
      <c r="EQ52" s="461" t="s">
        <v>4</v>
      </c>
      <c r="ER52" s="460" t="s">
        <v>59</v>
      </c>
      <c r="ES52" s="460" t="s">
        <v>73</v>
      </c>
      <c r="ET52" s="461" t="s">
        <v>4</v>
      </c>
      <c r="EU52" s="460" t="s">
        <v>59</v>
      </c>
      <c r="EV52" s="460" t="s">
        <v>73</v>
      </c>
      <c r="EW52" s="461" t="s">
        <v>4</v>
      </c>
      <c r="EX52" s="460" t="s">
        <v>59</v>
      </c>
      <c r="EY52" s="460" t="s">
        <v>73</v>
      </c>
      <c r="EZ52" s="473" t="s">
        <v>4</v>
      </c>
      <c r="FA52" s="1004"/>
      <c r="FB52" s="1005">
        <f>(EI53*EJ53*EK53)+(EL53*EM53*EN53)+(EO53*EP53*EQ53)+(ER53*ES53*ET53)+(EU53*EV53*EW53)+(EX53*EY53*EZ53)</f>
        <v>0</v>
      </c>
      <c r="FC52" s="940"/>
      <c r="FD52" s="1016"/>
      <c r="FF52" s="1049"/>
      <c r="FG52" s="460" t="s">
        <v>59</v>
      </c>
      <c r="FH52" s="460" t="s">
        <v>73</v>
      </c>
      <c r="FI52" s="461" t="s">
        <v>4</v>
      </c>
      <c r="FJ52" s="460" t="s">
        <v>59</v>
      </c>
      <c r="FK52" s="460" t="s">
        <v>73</v>
      </c>
      <c r="FL52" s="461" t="s">
        <v>4</v>
      </c>
      <c r="FM52" s="460" t="s">
        <v>59</v>
      </c>
      <c r="FN52" s="460" t="s">
        <v>73</v>
      </c>
      <c r="FO52" s="461" t="s">
        <v>4</v>
      </c>
      <c r="FP52" s="460" t="s">
        <v>59</v>
      </c>
      <c r="FQ52" s="460" t="s">
        <v>73</v>
      </c>
      <c r="FR52" s="461" t="s">
        <v>4</v>
      </c>
      <c r="FS52" s="460" t="s">
        <v>59</v>
      </c>
      <c r="FT52" s="460" t="s">
        <v>73</v>
      </c>
      <c r="FU52" s="461" t="s">
        <v>4</v>
      </c>
      <c r="FV52" s="460" t="s">
        <v>59</v>
      </c>
      <c r="FW52" s="460" t="s">
        <v>73</v>
      </c>
      <c r="FX52" s="473" t="s">
        <v>4</v>
      </c>
      <c r="FY52" s="1004"/>
      <c r="FZ52" s="1005">
        <f>(FG53*FH53*FI53)+(FJ53*FK53*FL53)+(FM53*FN53*FO53)+(FP53*FQ53*FR53)+(FS53*FT53*FU53)+(FV53*FW53*FX53)</f>
        <v>0</v>
      </c>
      <c r="GA52" s="940"/>
      <c r="GB52" s="1016"/>
      <c r="GD52" s="1065"/>
      <c r="GE52" s="460" t="s">
        <v>59</v>
      </c>
      <c r="GF52" s="460" t="s">
        <v>73</v>
      </c>
      <c r="GG52" s="461" t="s">
        <v>4</v>
      </c>
      <c r="GH52" s="460" t="s">
        <v>59</v>
      </c>
      <c r="GI52" s="460" t="s">
        <v>73</v>
      </c>
      <c r="GJ52" s="461" t="s">
        <v>4</v>
      </c>
      <c r="GK52" s="460" t="s">
        <v>59</v>
      </c>
      <c r="GL52" s="460" t="s">
        <v>73</v>
      </c>
      <c r="GM52" s="461" t="s">
        <v>4</v>
      </c>
      <c r="GN52" s="460" t="s">
        <v>59</v>
      </c>
      <c r="GO52" s="460" t="s">
        <v>73</v>
      </c>
      <c r="GP52" s="461" t="s">
        <v>4</v>
      </c>
      <c r="GQ52" s="460" t="s">
        <v>59</v>
      </c>
      <c r="GR52" s="460" t="s">
        <v>73</v>
      </c>
      <c r="GS52" s="461" t="s">
        <v>4</v>
      </c>
      <c r="GT52" s="460" t="s">
        <v>59</v>
      </c>
      <c r="GU52" s="460" t="s">
        <v>73</v>
      </c>
      <c r="GV52" s="473" t="s">
        <v>4</v>
      </c>
      <c r="GW52" s="1004"/>
      <c r="GX52" s="1005">
        <f>(GE53*GF53*GG53)+(GH53*GI53*GJ53)+(GK53*GL53*GM53)+(GN53*GO53*GP53)+(GQ53*GR53*GS53)+(GT53*GU53*GV53)</f>
        <v>0</v>
      </c>
      <c r="GY52" s="940"/>
      <c r="GZ52" s="1016"/>
      <c r="HB52" s="1042"/>
      <c r="HC52" s="460" t="s">
        <v>59</v>
      </c>
      <c r="HD52" s="460" t="s">
        <v>73</v>
      </c>
      <c r="HE52" s="461" t="s">
        <v>4</v>
      </c>
      <c r="HF52" s="460" t="s">
        <v>59</v>
      </c>
      <c r="HG52" s="460" t="s">
        <v>73</v>
      </c>
      <c r="HH52" s="461" t="s">
        <v>4</v>
      </c>
      <c r="HI52" s="460" t="s">
        <v>59</v>
      </c>
      <c r="HJ52" s="460" t="s">
        <v>73</v>
      </c>
      <c r="HK52" s="461" t="s">
        <v>4</v>
      </c>
      <c r="HL52" s="460" t="s">
        <v>59</v>
      </c>
      <c r="HM52" s="460" t="s">
        <v>73</v>
      </c>
      <c r="HN52" s="461" t="s">
        <v>4</v>
      </c>
      <c r="HO52" s="460" t="s">
        <v>59</v>
      </c>
      <c r="HP52" s="460" t="s">
        <v>73</v>
      </c>
      <c r="HQ52" s="461" t="s">
        <v>4</v>
      </c>
      <c r="HR52" s="460" t="s">
        <v>59</v>
      </c>
      <c r="HS52" s="460" t="s">
        <v>73</v>
      </c>
      <c r="HT52" s="473" t="s">
        <v>4</v>
      </c>
      <c r="HU52" s="1004"/>
      <c r="HV52" s="1005">
        <f>(HC53*HD53*HE53)+(HF53*HG53*HH53)+(HI53*HJ53*HK53)+(HL53*HM53*HN53)+(HO53*HP53*HQ53)+(HR53*HS53*HT53)</f>
        <v>0</v>
      </c>
      <c r="HW52" s="940"/>
      <c r="HX52" s="1016"/>
      <c r="HZ52" s="1052"/>
      <c r="IA52" s="491" t="s">
        <v>59</v>
      </c>
      <c r="IB52" s="491" t="s">
        <v>73</v>
      </c>
      <c r="IC52" s="492" t="s">
        <v>4</v>
      </c>
      <c r="ID52" s="491" t="s">
        <v>59</v>
      </c>
      <c r="IE52" s="491" t="s">
        <v>73</v>
      </c>
      <c r="IF52" s="492" t="s">
        <v>4</v>
      </c>
      <c r="IG52" s="491" t="s">
        <v>59</v>
      </c>
      <c r="IH52" s="491" t="s">
        <v>73</v>
      </c>
      <c r="II52" s="492" t="s">
        <v>4</v>
      </c>
      <c r="IJ52" s="491" t="s">
        <v>59</v>
      </c>
      <c r="IK52" s="491" t="s">
        <v>73</v>
      </c>
      <c r="IL52" s="492" t="s">
        <v>4</v>
      </c>
      <c r="IM52" s="491" t="s">
        <v>59</v>
      </c>
      <c r="IN52" s="491" t="s">
        <v>73</v>
      </c>
      <c r="IO52" s="492" t="s">
        <v>4</v>
      </c>
      <c r="IP52" s="491" t="s">
        <v>59</v>
      </c>
      <c r="IQ52" s="491" t="s">
        <v>73</v>
      </c>
      <c r="IR52" s="493" t="s">
        <v>4</v>
      </c>
      <c r="IS52" s="1071"/>
      <c r="IT52" s="1072">
        <f>(IA53*IB53*IC53)+(ID53*IE53*IF53)+(IG53*IH53*II53)+(IJ53*IK53*IL53)+(IM53*IN53*IO53)+(IP53*IQ53*IR53)</f>
        <v>0</v>
      </c>
      <c r="IU52" s="1068"/>
      <c r="IV52" s="1070"/>
      <c r="IX52" s="1075"/>
      <c r="IY52" s="460" t="s">
        <v>59</v>
      </c>
      <c r="IZ52" s="460" t="s">
        <v>73</v>
      </c>
      <c r="JA52" s="461" t="s">
        <v>4</v>
      </c>
      <c r="JB52" s="460" t="s">
        <v>59</v>
      </c>
      <c r="JC52" s="460" t="s">
        <v>73</v>
      </c>
      <c r="JD52" s="461" t="s">
        <v>4</v>
      </c>
      <c r="JE52" s="460" t="s">
        <v>59</v>
      </c>
      <c r="JF52" s="460" t="s">
        <v>73</v>
      </c>
      <c r="JG52" s="461" t="s">
        <v>4</v>
      </c>
      <c r="JH52" s="460" t="s">
        <v>59</v>
      </c>
      <c r="JI52" s="460" t="s">
        <v>73</v>
      </c>
      <c r="JJ52" s="461" t="s">
        <v>4</v>
      </c>
      <c r="JK52" s="460" t="s">
        <v>59</v>
      </c>
      <c r="JL52" s="460" t="s">
        <v>73</v>
      </c>
      <c r="JM52" s="461" t="s">
        <v>4</v>
      </c>
      <c r="JN52" s="460" t="s">
        <v>59</v>
      </c>
      <c r="JO52" s="460" t="s">
        <v>73</v>
      </c>
      <c r="JP52" s="473" t="s">
        <v>4</v>
      </c>
      <c r="JQ52" s="1004"/>
      <c r="JR52" s="1005">
        <f>(IY53*IZ53*JA53)+(JB53*JC53*JD53)+(JE53*JF53*JG53)+(JH53*JI53*JJ53)+(JK53*JL53*JM53)+(JN53*JO53*JP53)</f>
        <v>0</v>
      </c>
      <c r="JS52" s="940"/>
      <c r="JT52" s="1016"/>
      <c r="JV52" s="1042"/>
      <c r="JW52" s="460" t="s">
        <v>59</v>
      </c>
      <c r="JX52" s="460" t="s">
        <v>73</v>
      </c>
      <c r="JY52" s="461" t="s">
        <v>4</v>
      </c>
      <c r="JZ52" s="460" t="s">
        <v>59</v>
      </c>
      <c r="KA52" s="460" t="s">
        <v>73</v>
      </c>
      <c r="KB52" s="461" t="s">
        <v>4</v>
      </c>
      <c r="KC52" s="460" t="s">
        <v>59</v>
      </c>
      <c r="KD52" s="460" t="s">
        <v>73</v>
      </c>
      <c r="KE52" s="461" t="s">
        <v>4</v>
      </c>
      <c r="KF52" s="460" t="s">
        <v>59</v>
      </c>
      <c r="KG52" s="460" t="s">
        <v>73</v>
      </c>
      <c r="KH52" s="461" t="s">
        <v>4</v>
      </c>
      <c r="KI52" s="460" t="s">
        <v>59</v>
      </c>
      <c r="KJ52" s="460" t="s">
        <v>73</v>
      </c>
      <c r="KK52" s="461" t="s">
        <v>4</v>
      </c>
      <c r="KL52" s="460" t="s">
        <v>59</v>
      </c>
      <c r="KM52" s="460" t="s">
        <v>73</v>
      </c>
      <c r="KN52" s="473" t="s">
        <v>4</v>
      </c>
      <c r="KO52" s="1004"/>
      <c r="KP52" s="1005">
        <f>(JW53*JX53*JY53)+(JZ53*KA53*KB53)+(KC53*KD53*KE53)+(KF53*KG53*KH53)+(KI53*KJ53*KK53)+(KL53*KM53*KN53)</f>
        <v>0</v>
      </c>
      <c r="KQ52" s="940"/>
      <c r="KR52" s="1016"/>
      <c r="KT52" s="1062"/>
      <c r="KU52" s="460" t="s">
        <v>59</v>
      </c>
      <c r="KV52" s="460" t="s">
        <v>73</v>
      </c>
      <c r="KW52" s="461" t="s">
        <v>4</v>
      </c>
      <c r="KX52" s="460" t="s">
        <v>59</v>
      </c>
      <c r="KY52" s="460" t="s">
        <v>73</v>
      </c>
      <c r="KZ52" s="461" t="s">
        <v>4</v>
      </c>
      <c r="LA52" s="460" t="s">
        <v>59</v>
      </c>
      <c r="LB52" s="460" t="s">
        <v>73</v>
      </c>
      <c r="LC52" s="461" t="s">
        <v>4</v>
      </c>
      <c r="LD52" s="460" t="s">
        <v>59</v>
      </c>
      <c r="LE52" s="460" t="s">
        <v>73</v>
      </c>
      <c r="LF52" s="461" t="s">
        <v>4</v>
      </c>
      <c r="LG52" s="460" t="s">
        <v>59</v>
      </c>
      <c r="LH52" s="460" t="s">
        <v>73</v>
      </c>
      <c r="LI52" s="461" t="s">
        <v>4</v>
      </c>
      <c r="LJ52" s="460" t="s">
        <v>59</v>
      </c>
      <c r="LK52" s="460" t="s">
        <v>73</v>
      </c>
      <c r="LL52" s="473" t="s">
        <v>4</v>
      </c>
      <c r="LM52" s="1004"/>
      <c r="LN52" s="1005">
        <f>(KU53*KV53*KW53)+(KX53*KY53*KZ53)+(LA53*LB53*LC53)+(LD53*LE53*LF53)+(LG53*LH53*LI53)+(LJ53*LK53*LL53)</f>
        <v>0</v>
      </c>
      <c r="LO52" s="940"/>
      <c r="LP52" s="1016"/>
    </row>
    <row r="53" spans="1:328" ht="15">
      <c r="A53" s="231" t="s">
        <v>560</v>
      </c>
      <c r="B53" s="231" t="s">
        <v>593</v>
      </c>
      <c r="C53" s="231" t="s">
        <v>590</v>
      </c>
      <c r="D53" s="231" t="s">
        <v>576</v>
      </c>
      <c r="E53" s="397" t="s">
        <v>594</v>
      </c>
      <c r="F53"/>
      <c r="G53"/>
      <c r="H53"/>
      <c r="I53"/>
      <c r="R53" s="842"/>
      <c r="S53" s="494"/>
      <c r="T53" s="494"/>
      <c r="U53" s="494"/>
      <c r="V53" s="494"/>
      <c r="W53" s="494"/>
      <c r="X53" s="494"/>
      <c r="Y53" s="494"/>
      <c r="Z53" s="494"/>
      <c r="AA53" s="494"/>
      <c r="AB53" s="494"/>
      <c r="AC53" s="494"/>
      <c r="AD53" s="494"/>
      <c r="AE53" s="494"/>
      <c r="AF53" s="494"/>
      <c r="AG53" s="494"/>
      <c r="AH53" s="494"/>
      <c r="AI53" s="494"/>
      <c r="AJ53" s="497"/>
      <c r="AK53" s="1007"/>
      <c r="AL53" s="1002"/>
      <c r="AM53" s="941"/>
      <c r="AN53" s="855"/>
      <c r="AO53" s="118"/>
      <c r="AP53" s="858"/>
      <c r="AQ53" s="229">
        <v>1</v>
      </c>
      <c r="AR53" s="229">
        <v>45</v>
      </c>
      <c r="AS53" s="229">
        <f>BL51</f>
        <v>78.599999999999994</v>
      </c>
      <c r="AT53" s="233"/>
      <c r="AU53" s="233"/>
      <c r="AV53" s="233"/>
      <c r="AW53" s="233"/>
      <c r="AX53" s="233"/>
      <c r="AY53" s="233"/>
      <c r="AZ53" s="233"/>
      <c r="BA53" s="233"/>
      <c r="BB53" s="233"/>
      <c r="BC53" s="233"/>
      <c r="BD53" s="233"/>
      <c r="BE53" s="233"/>
      <c r="BF53" s="233"/>
      <c r="BG53" s="233"/>
      <c r="BH53" s="472"/>
      <c r="BI53" s="1007"/>
      <c r="BJ53" s="1003"/>
      <c r="BK53" s="941"/>
      <c r="BL53" s="1016"/>
      <c r="BM53" s="118"/>
      <c r="BN53" s="858"/>
      <c r="BO53" s="229">
        <v>4</v>
      </c>
      <c r="BP53" s="229">
        <f>((12*1)+(6*3))/4</f>
        <v>7.5</v>
      </c>
      <c r="BQ53" s="126">
        <f>((36*1)+(72*3))/4</f>
        <v>63</v>
      </c>
      <c r="BR53" s="305">
        <v>4</v>
      </c>
      <c r="BS53" s="305">
        <f>((12*1)+(16*3))/4</f>
        <v>15</v>
      </c>
      <c r="BT53" s="305">
        <f>((15.9*1)+(34*3))/4</f>
        <v>29.475000000000001</v>
      </c>
      <c r="BU53" s="229">
        <v>4</v>
      </c>
      <c r="BV53" s="229">
        <f>((12*1)+(6*3))/4</f>
        <v>7.5</v>
      </c>
      <c r="BW53" s="126">
        <f>((15.9*1)+(29.5*3))/4</f>
        <v>26.1</v>
      </c>
      <c r="BX53" s="229">
        <v>4</v>
      </c>
      <c r="BY53" s="229">
        <f>((12*4))/4</f>
        <v>12</v>
      </c>
      <c r="BZ53" s="229">
        <f>((5*1)+(7.5*3))/4</f>
        <v>6.875</v>
      </c>
      <c r="CA53" s="229">
        <v>4</v>
      </c>
      <c r="CB53" s="126">
        <f>((12*1)+(10*3))/4</f>
        <v>10.5</v>
      </c>
      <c r="CC53" s="229">
        <f>((13.6*1)+(27.2*3))/4</f>
        <v>23.799999999999997</v>
      </c>
      <c r="CD53" s="233"/>
      <c r="CE53" s="233"/>
      <c r="CF53" s="472"/>
      <c r="CG53" s="1007"/>
      <c r="CH53" s="1006"/>
      <c r="CI53" s="941"/>
      <c r="CJ53" s="1016"/>
      <c r="CL53" s="1050"/>
      <c r="CM53" s="229">
        <v>4</v>
      </c>
      <c r="CN53" s="229">
        <f>((12*1)+(8*2)+(9*1))/4</f>
        <v>9.25</v>
      </c>
      <c r="CO53" s="229">
        <f>((25*1)+(50*3))/4</f>
        <v>43.75</v>
      </c>
      <c r="CP53" s="229">
        <v>4</v>
      </c>
      <c r="CQ53" s="229">
        <f>((12*4))/4</f>
        <v>12</v>
      </c>
      <c r="CR53" s="229">
        <f>((36*1)+(72*3))/4</f>
        <v>63</v>
      </c>
      <c r="CS53" s="229">
        <v>4</v>
      </c>
      <c r="CT53" s="229">
        <f>((12*3)+(14*1))/4</f>
        <v>12.5</v>
      </c>
      <c r="CU53" s="229">
        <f>((18.1*1)+(34*3))/4</f>
        <v>30.024999999999999</v>
      </c>
      <c r="CV53" s="229">
        <v>0</v>
      </c>
      <c r="CW53" s="229">
        <f>((((0.38/0.3)*0.5)*1)+(((1.15/1)*1)*3))/4</f>
        <v>1.0208333333333333</v>
      </c>
      <c r="CX53" s="229">
        <f>DH51*(2/3)</f>
        <v>52.199999999999996</v>
      </c>
      <c r="CY53" s="229">
        <v>4</v>
      </c>
      <c r="CZ53" s="229">
        <f>((12*1)+(7*2)+(6*1))/4</f>
        <v>8</v>
      </c>
      <c r="DA53" s="229">
        <f>((9.1*1)+(20.4*3))/4</f>
        <v>17.574999999999999</v>
      </c>
      <c r="DB53" s="233"/>
      <c r="DC53" s="233"/>
      <c r="DD53" s="472"/>
      <c r="DE53" s="1007"/>
      <c r="DF53" s="1006"/>
      <c r="DG53" s="941"/>
      <c r="DH53" s="1016"/>
      <c r="DJ53" s="1063"/>
      <c r="DK53" s="462"/>
      <c r="DL53" s="462"/>
      <c r="DM53" s="462"/>
      <c r="DN53" s="462"/>
      <c r="DO53" s="462"/>
      <c r="DP53" s="462"/>
      <c r="DQ53" s="462"/>
      <c r="DR53" s="462"/>
      <c r="DS53" s="462"/>
      <c r="DT53" s="462"/>
      <c r="DU53" s="462"/>
      <c r="DV53" s="462"/>
      <c r="DW53" s="462"/>
      <c r="DX53" s="462"/>
      <c r="DY53" s="462"/>
      <c r="DZ53" s="462"/>
      <c r="EA53" s="462"/>
      <c r="EB53" s="475"/>
      <c r="EC53" s="1007"/>
      <c r="ED53" s="1006"/>
      <c r="EE53" s="941"/>
      <c r="EF53" s="1016"/>
      <c r="EH53" s="1040"/>
      <c r="EI53" s="462"/>
      <c r="EJ53" s="462"/>
      <c r="EK53" s="462"/>
      <c r="EL53" s="462"/>
      <c r="EM53" s="462"/>
      <c r="EN53" s="462"/>
      <c r="EO53" s="462"/>
      <c r="EP53" s="462"/>
      <c r="EQ53" s="462"/>
      <c r="ER53" s="462"/>
      <c r="ES53" s="462"/>
      <c r="ET53" s="462"/>
      <c r="EU53" s="462"/>
      <c r="EV53" s="462"/>
      <c r="EW53" s="462"/>
      <c r="EX53" s="462"/>
      <c r="EY53" s="462"/>
      <c r="EZ53" s="475"/>
      <c r="FA53" s="1007"/>
      <c r="FB53" s="1006"/>
      <c r="FC53" s="941"/>
      <c r="FD53" s="1016"/>
      <c r="FF53" s="1050"/>
      <c r="FG53" s="462"/>
      <c r="FH53" s="462"/>
      <c r="FI53" s="462"/>
      <c r="FJ53" s="462"/>
      <c r="FK53" s="462"/>
      <c r="FL53" s="462"/>
      <c r="FM53" s="462"/>
      <c r="FN53" s="462"/>
      <c r="FO53" s="462"/>
      <c r="FP53" s="462"/>
      <c r="FQ53" s="462"/>
      <c r="FR53" s="462"/>
      <c r="FS53" s="462"/>
      <c r="FT53" s="462"/>
      <c r="FU53" s="462"/>
      <c r="FV53" s="462"/>
      <c r="FW53" s="462"/>
      <c r="FX53" s="475"/>
      <c r="FY53" s="1007"/>
      <c r="FZ53" s="1006"/>
      <c r="GA53" s="941"/>
      <c r="GB53" s="1016"/>
      <c r="GD53" s="1066"/>
      <c r="GE53" s="462"/>
      <c r="GF53" s="462"/>
      <c r="GG53" s="462"/>
      <c r="GH53" s="462"/>
      <c r="GI53" s="462"/>
      <c r="GJ53" s="462"/>
      <c r="GK53" s="462"/>
      <c r="GL53" s="462"/>
      <c r="GM53" s="462"/>
      <c r="GN53" s="462"/>
      <c r="GO53" s="462"/>
      <c r="GP53" s="462"/>
      <c r="GQ53" s="462"/>
      <c r="GR53" s="462"/>
      <c r="GS53" s="462"/>
      <c r="GT53" s="462"/>
      <c r="GU53" s="462"/>
      <c r="GV53" s="475"/>
      <c r="GW53" s="1007"/>
      <c r="GX53" s="1006"/>
      <c r="GY53" s="941"/>
      <c r="GZ53" s="1016"/>
      <c r="HB53" s="1043"/>
      <c r="HC53" s="462"/>
      <c r="HD53" s="462"/>
      <c r="HE53" s="462"/>
      <c r="HF53" s="462"/>
      <c r="HG53" s="462"/>
      <c r="HH53" s="462"/>
      <c r="HI53" s="462"/>
      <c r="HJ53" s="462"/>
      <c r="HK53" s="462"/>
      <c r="HL53" s="462"/>
      <c r="HM53" s="462"/>
      <c r="HN53" s="462"/>
      <c r="HO53" s="462"/>
      <c r="HP53" s="462"/>
      <c r="HQ53" s="462"/>
      <c r="HR53" s="462"/>
      <c r="HS53" s="462"/>
      <c r="HT53" s="475"/>
      <c r="HU53" s="1007"/>
      <c r="HV53" s="1006"/>
      <c r="HW53" s="941"/>
      <c r="HX53" s="1016"/>
      <c r="HZ53" s="1053"/>
      <c r="IA53" s="494"/>
      <c r="IB53" s="494"/>
      <c r="IC53" s="494"/>
      <c r="ID53" s="494"/>
      <c r="IE53" s="494"/>
      <c r="IF53" s="494"/>
      <c r="IG53" s="494"/>
      <c r="IH53" s="494"/>
      <c r="II53" s="494"/>
      <c r="IJ53" s="494"/>
      <c r="IK53" s="494"/>
      <c r="IL53" s="494"/>
      <c r="IM53" s="494"/>
      <c r="IN53" s="494"/>
      <c r="IO53" s="494"/>
      <c r="IP53" s="494"/>
      <c r="IQ53" s="494"/>
      <c r="IR53" s="497"/>
      <c r="IS53" s="1081"/>
      <c r="IT53" s="1073"/>
      <c r="IU53" s="1069"/>
      <c r="IV53" s="1070"/>
      <c r="IX53" s="1076"/>
      <c r="IY53" s="462"/>
      <c r="IZ53" s="462"/>
      <c r="JA53" s="462"/>
      <c r="JB53" s="462"/>
      <c r="JC53" s="462"/>
      <c r="JD53" s="462"/>
      <c r="JE53" s="462"/>
      <c r="JF53" s="462"/>
      <c r="JG53" s="462"/>
      <c r="JH53" s="462"/>
      <c r="JI53" s="462"/>
      <c r="JJ53" s="462"/>
      <c r="JK53" s="462"/>
      <c r="JL53" s="462"/>
      <c r="JM53" s="462"/>
      <c r="JN53" s="462"/>
      <c r="JO53" s="462"/>
      <c r="JP53" s="475"/>
      <c r="JQ53" s="1007"/>
      <c r="JR53" s="1006"/>
      <c r="JS53" s="941"/>
      <c r="JT53" s="1016"/>
      <c r="JV53" s="1043"/>
      <c r="JW53" s="462"/>
      <c r="JX53" s="462"/>
      <c r="JY53" s="462"/>
      <c r="JZ53" s="462"/>
      <c r="KA53" s="462"/>
      <c r="KB53" s="462"/>
      <c r="KC53" s="462"/>
      <c r="KD53" s="462"/>
      <c r="KE53" s="462"/>
      <c r="KF53" s="462"/>
      <c r="KG53" s="462"/>
      <c r="KH53" s="462"/>
      <c r="KI53" s="462"/>
      <c r="KJ53" s="462"/>
      <c r="KK53" s="462"/>
      <c r="KL53" s="462"/>
      <c r="KM53" s="462"/>
      <c r="KN53" s="475"/>
      <c r="KO53" s="1007"/>
      <c r="KP53" s="1006"/>
      <c r="KQ53" s="941"/>
      <c r="KR53" s="1016"/>
      <c r="KT53" s="1063"/>
      <c r="KU53" s="462"/>
      <c r="KV53" s="462"/>
      <c r="KW53" s="462"/>
      <c r="KX53" s="462"/>
      <c r="KY53" s="462"/>
      <c r="KZ53" s="462"/>
      <c r="LA53" s="462"/>
      <c r="LB53" s="462"/>
      <c r="LC53" s="462"/>
      <c r="LD53" s="462"/>
      <c r="LE53" s="462"/>
      <c r="LF53" s="462"/>
      <c r="LG53" s="462"/>
      <c r="LH53" s="462"/>
      <c r="LI53" s="462"/>
      <c r="LJ53" s="462"/>
      <c r="LK53" s="462"/>
      <c r="LL53" s="475"/>
      <c r="LM53" s="1007"/>
      <c r="LN53" s="1006"/>
      <c r="LO53" s="941"/>
      <c r="LP53" s="1016"/>
    </row>
    <row r="54" spans="1:328" ht="15">
      <c r="A54" s="231" t="s">
        <v>562</v>
      </c>
      <c r="B54" s="231" t="s">
        <v>595</v>
      </c>
      <c r="C54" s="231" t="s">
        <v>596</v>
      </c>
      <c r="D54" s="231" t="s">
        <v>569</v>
      </c>
      <c r="E54" s="398" t="s">
        <v>597</v>
      </c>
      <c r="F54"/>
      <c r="G54"/>
      <c r="H54"/>
      <c r="I54"/>
      <c r="R54" s="864">
        <v>46040</v>
      </c>
      <c r="S54" s="849" t="s">
        <v>434</v>
      </c>
      <c r="T54" s="849"/>
      <c r="U54" s="849"/>
      <c r="V54" s="849" t="s">
        <v>72</v>
      </c>
      <c r="W54" s="849"/>
      <c r="X54" s="849"/>
      <c r="Y54" s="890" t="s">
        <v>435</v>
      </c>
      <c r="Z54" s="890"/>
      <c r="AA54" s="890"/>
      <c r="AB54" s="848" t="s">
        <v>68</v>
      </c>
      <c r="AC54" s="848"/>
      <c r="AD54" s="848"/>
      <c r="AE54" s="882" t="s">
        <v>123</v>
      </c>
      <c r="AF54" s="883"/>
      <c r="AG54" s="884"/>
      <c r="AH54" s="834"/>
      <c r="AI54" s="835"/>
      <c r="AJ54" s="835"/>
      <c r="AK54" s="459" t="s">
        <v>425</v>
      </c>
      <c r="AL54" s="1">
        <f t="shared" ref="AL54" si="80">COUNTA(S54:AJ54)</f>
        <v>5</v>
      </c>
      <c r="AM54" s="939"/>
      <c r="AN54" s="855">
        <v>77.400000000000006</v>
      </c>
      <c r="AO54" s="118"/>
      <c r="AP54" s="845">
        <v>46071</v>
      </c>
      <c r="AQ54" s="849" t="s">
        <v>156</v>
      </c>
      <c r="AR54" s="849"/>
      <c r="AS54" s="849"/>
      <c r="AT54" s="848" t="s">
        <v>103</v>
      </c>
      <c r="AU54" s="848"/>
      <c r="AV54" s="848"/>
      <c r="AW54" s="848" t="s">
        <v>68</v>
      </c>
      <c r="AX54" s="848"/>
      <c r="AY54" s="848"/>
      <c r="AZ54" s="848" t="s">
        <v>417</v>
      </c>
      <c r="BA54" s="848"/>
      <c r="BB54" s="848"/>
      <c r="BC54" s="834"/>
      <c r="BD54" s="835"/>
      <c r="BE54" s="836"/>
      <c r="BF54" s="834"/>
      <c r="BG54" s="835"/>
      <c r="BH54" s="835"/>
      <c r="BI54" s="459" t="s">
        <v>425</v>
      </c>
      <c r="BJ54" s="482">
        <f t="shared" si="65"/>
        <v>4</v>
      </c>
      <c r="BK54" s="939"/>
      <c r="BL54" s="1016">
        <v>77.7</v>
      </c>
      <c r="BM54" s="118"/>
      <c r="BN54" s="845">
        <v>46099</v>
      </c>
      <c r="BO54" s="977" t="s">
        <v>756</v>
      </c>
      <c r="BP54" s="977"/>
      <c r="BQ54" s="977"/>
      <c r="BR54" s="849" t="s">
        <v>156</v>
      </c>
      <c r="BS54" s="849"/>
      <c r="BT54" s="849"/>
      <c r="BU54" s="848" t="s">
        <v>103</v>
      </c>
      <c r="BV54" s="848"/>
      <c r="BW54" s="848"/>
      <c r="BX54" s="848" t="s">
        <v>68</v>
      </c>
      <c r="BY54" s="848"/>
      <c r="BZ54" s="848"/>
      <c r="CA54" s="848" t="s">
        <v>417</v>
      </c>
      <c r="CB54" s="848"/>
      <c r="CC54" s="848"/>
      <c r="CD54" s="834"/>
      <c r="CE54" s="835"/>
      <c r="CF54" s="835"/>
      <c r="CG54" s="459" t="s">
        <v>425</v>
      </c>
      <c r="CH54" s="482">
        <f t="shared" ref="CH54" si="81">COUNTA(BO54:CF54)</f>
        <v>5</v>
      </c>
      <c r="CI54" s="939">
        <v>8.5</v>
      </c>
      <c r="CJ54" s="1016">
        <v>78.05</v>
      </c>
      <c r="CL54" s="1051">
        <v>46130</v>
      </c>
      <c r="CM54" s="1023"/>
      <c r="CN54" s="1023"/>
      <c r="CO54" s="1023"/>
      <c r="CP54" s="1023"/>
      <c r="CQ54" s="1023"/>
      <c r="CR54" s="1023"/>
      <c r="CS54" s="1023"/>
      <c r="CT54" s="1023"/>
      <c r="CU54" s="1023"/>
      <c r="CV54" s="1023"/>
      <c r="CW54" s="1023"/>
      <c r="CX54" s="1023"/>
      <c r="CY54" s="1021"/>
      <c r="CZ54" s="1022"/>
      <c r="DA54" s="1024"/>
      <c r="DB54" s="1021"/>
      <c r="DC54" s="1022"/>
      <c r="DD54" s="1022"/>
      <c r="DE54" s="576" t="s">
        <v>425</v>
      </c>
      <c r="DF54" s="577">
        <f>COUNTA(CM54:DD54)</f>
        <v>0</v>
      </c>
      <c r="DG54" s="1054"/>
      <c r="DH54" s="1057"/>
      <c r="DJ54" s="1064">
        <v>46160</v>
      </c>
      <c r="DK54" s="960"/>
      <c r="DL54" s="960"/>
      <c r="DM54" s="960"/>
      <c r="DN54" s="960"/>
      <c r="DO54" s="960"/>
      <c r="DP54" s="960"/>
      <c r="DQ54" s="960"/>
      <c r="DR54" s="960"/>
      <c r="DS54" s="960"/>
      <c r="DT54" s="960"/>
      <c r="DU54" s="960"/>
      <c r="DV54" s="960"/>
      <c r="DW54" s="961"/>
      <c r="DX54" s="962"/>
      <c r="DY54" s="963"/>
      <c r="DZ54" s="961"/>
      <c r="EA54" s="962"/>
      <c r="EB54" s="962"/>
      <c r="EC54" s="459" t="s">
        <v>425</v>
      </c>
      <c r="ED54" s="482">
        <f>COUNTA(DK54:EB54)</f>
        <v>0</v>
      </c>
      <c r="EE54" s="939"/>
      <c r="EF54" s="1016"/>
      <c r="EH54" s="1041">
        <v>46191</v>
      </c>
      <c r="EI54" s="960"/>
      <c r="EJ54" s="960"/>
      <c r="EK54" s="960"/>
      <c r="EL54" s="960"/>
      <c r="EM54" s="960"/>
      <c r="EN54" s="960"/>
      <c r="EO54" s="960"/>
      <c r="EP54" s="960"/>
      <c r="EQ54" s="960"/>
      <c r="ER54" s="960"/>
      <c r="ES54" s="960"/>
      <c r="ET54" s="960"/>
      <c r="EU54" s="961"/>
      <c r="EV54" s="962"/>
      <c r="EW54" s="963"/>
      <c r="EX54" s="961"/>
      <c r="EY54" s="962"/>
      <c r="EZ54" s="962"/>
      <c r="FA54" s="459" t="s">
        <v>425</v>
      </c>
      <c r="FB54" s="482">
        <f>COUNTA(EI54:EZ54)</f>
        <v>0</v>
      </c>
      <c r="FC54" s="939"/>
      <c r="FD54" s="1016"/>
      <c r="FF54" s="1051">
        <v>46221</v>
      </c>
      <c r="FG54" s="1023"/>
      <c r="FH54" s="1023"/>
      <c r="FI54" s="1023"/>
      <c r="FJ54" s="1023"/>
      <c r="FK54" s="1023"/>
      <c r="FL54" s="1023"/>
      <c r="FM54" s="1023"/>
      <c r="FN54" s="1023"/>
      <c r="FO54" s="1023"/>
      <c r="FP54" s="1023"/>
      <c r="FQ54" s="1023"/>
      <c r="FR54" s="1023"/>
      <c r="FS54" s="1021"/>
      <c r="FT54" s="1022"/>
      <c r="FU54" s="1024"/>
      <c r="FV54" s="1021"/>
      <c r="FW54" s="1022"/>
      <c r="FX54" s="1022"/>
      <c r="FY54" s="489" t="s">
        <v>425</v>
      </c>
      <c r="FZ54" s="496">
        <f>COUNTA(FG54:FX54)</f>
        <v>0</v>
      </c>
      <c r="GA54" s="1067"/>
      <c r="GB54" s="1070"/>
      <c r="GD54" s="1074">
        <v>46252</v>
      </c>
      <c r="GE54" s="960"/>
      <c r="GF54" s="960"/>
      <c r="GG54" s="960"/>
      <c r="GH54" s="960"/>
      <c r="GI54" s="960"/>
      <c r="GJ54" s="960"/>
      <c r="GK54" s="960"/>
      <c r="GL54" s="960"/>
      <c r="GM54" s="960"/>
      <c r="GN54" s="960"/>
      <c r="GO54" s="960"/>
      <c r="GP54" s="960"/>
      <c r="GQ54" s="961"/>
      <c r="GR54" s="962"/>
      <c r="GS54" s="963"/>
      <c r="GT54" s="961"/>
      <c r="GU54" s="962"/>
      <c r="GV54" s="962"/>
      <c r="GW54" s="459" t="s">
        <v>425</v>
      </c>
      <c r="GX54" s="482">
        <f>COUNTA(GE54:GV54)</f>
        <v>0</v>
      </c>
      <c r="GY54" s="939"/>
      <c r="GZ54" s="1016"/>
      <c r="HB54" s="1048">
        <v>46283</v>
      </c>
      <c r="HC54" s="960"/>
      <c r="HD54" s="960"/>
      <c r="HE54" s="960"/>
      <c r="HF54" s="960"/>
      <c r="HG54" s="960"/>
      <c r="HH54" s="960"/>
      <c r="HI54" s="960"/>
      <c r="HJ54" s="960"/>
      <c r="HK54" s="960"/>
      <c r="HL54" s="960"/>
      <c r="HM54" s="960"/>
      <c r="HN54" s="960"/>
      <c r="HO54" s="961"/>
      <c r="HP54" s="962"/>
      <c r="HQ54" s="963"/>
      <c r="HR54" s="961"/>
      <c r="HS54" s="962"/>
      <c r="HT54" s="962"/>
      <c r="HU54" s="459" t="s">
        <v>425</v>
      </c>
      <c r="HV54" s="482">
        <f>COUNTA(HC54:HT54)</f>
        <v>0</v>
      </c>
      <c r="HW54" s="939"/>
      <c r="HX54" s="1016"/>
      <c r="HZ54" s="1061">
        <v>46313</v>
      </c>
      <c r="IA54" s="960"/>
      <c r="IB54" s="960"/>
      <c r="IC54" s="960"/>
      <c r="ID54" s="960"/>
      <c r="IE54" s="960"/>
      <c r="IF54" s="960"/>
      <c r="IG54" s="960"/>
      <c r="IH54" s="960"/>
      <c r="II54" s="960"/>
      <c r="IJ54" s="960"/>
      <c r="IK54" s="960"/>
      <c r="IL54" s="960"/>
      <c r="IM54" s="961"/>
      <c r="IN54" s="962"/>
      <c r="IO54" s="963"/>
      <c r="IP54" s="961"/>
      <c r="IQ54" s="962"/>
      <c r="IR54" s="962"/>
      <c r="IS54" s="459" t="s">
        <v>425</v>
      </c>
      <c r="IT54" s="482">
        <f>COUNTA(IA54:IR54)</f>
        <v>0</v>
      </c>
      <c r="IU54" s="939"/>
      <c r="IV54" s="1016"/>
      <c r="IX54" s="1038">
        <v>46344</v>
      </c>
      <c r="IY54" s="960"/>
      <c r="IZ54" s="960"/>
      <c r="JA54" s="960"/>
      <c r="JB54" s="960"/>
      <c r="JC54" s="960"/>
      <c r="JD54" s="960"/>
      <c r="JE54" s="960"/>
      <c r="JF54" s="960"/>
      <c r="JG54" s="960"/>
      <c r="JH54" s="960"/>
      <c r="JI54" s="960"/>
      <c r="JJ54" s="960"/>
      <c r="JK54" s="961"/>
      <c r="JL54" s="962"/>
      <c r="JM54" s="963"/>
      <c r="JN54" s="961"/>
      <c r="JO54" s="962"/>
      <c r="JP54" s="962"/>
      <c r="JQ54" s="459" t="s">
        <v>425</v>
      </c>
      <c r="JR54" s="482">
        <f>COUNTA(IY54:JP54)</f>
        <v>0</v>
      </c>
      <c r="JS54" s="939"/>
      <c r="JT54" s="1016"/>
      <c r="JV54" s="1048">
        <v>46374</v>
      </c>
      <c r="JW54" s="960"/>
      <c r="JX54" s="960"/>
      <c r="JY54" s="960"/>
      <c r="JZ54" s="960"/>
      <c r="KA54" s="960"/>
      <c r="KB54" s="960"/>
      <c r="KC54" s="960"/>
      <c r="KD54" s="960"/>
      <c r="KE54" s="960"/>
      <c r="KF54" s="960"/>
      <c r="KG54" s="960"/>
      <c r="KH54" s="960"/>
      <c r="KI54" s="961"/>
      <c r="KJ54" s="962"/>
      <c r="KK54" s="963"/>
      <c r="KL54" s="961"/>
      <c r="KM54" s="962"/>
      <c r="KN54" s="962"/>
      <c r="KO54" s="459" t="s">
        <v>425</v>
      </c>
      <c r="KP54" s="482">
        <f>COUNTA(JW54:KN54)</f>
        <v>0</v>
      </c>
      <c r="KQ54" s="939"/>
      <c r="KR54" s="1016"/>
      <c r="KT54" s="1064">
        <v>46405</v>
      </c>
      <c r="KU54" s="960"/>
      <c r="KV54" s="960"/>
      <c r="KW54" s="960"/>
      <c r="KX54" s="960"/>
      <c r="KY54" s="960"/>
      <c r="KZ54" s="960"/>
      <c r="LA54" s="960"/>
      <c r="LB54" s="960"/>
      <c r="LC54" s="960"/>
      <c r="LD54" s="960"/>
      <c r="LE54" s="960"/>
      <c r="LF54" s="960"/>
      <c r="LG54" s="961"/>
      <c r="LH54" s="962"/>
      <c r="LI54" s="963"/>
      <c r="LJ54" s="961"/>
      <c r="LK54" s="962"/>
      <c r="LL54" s="962"/>
      <c r="LM54" s="459" t="s">
        <v>425</v>
      </c>
      <c r="LN54" s="482">
        <f>COUNTA(KU54:LL54)</f>
        <v>0</v>
      </c>
      <c r="LO54" s="939"/>
      <c r="LP54" s="1016"/>
    </row>
    <row r="55" spans="1:328" ht="15">
      <c r="A55" s="231" t="s">
        <v>565</v>
      </c>
      <c r="B55" s="231" t="s">
        <v>598</v>
      </c>
      <c r="C55" s="231" t="s">
        <v>599</v>
      </c>
      <c r="D55" s="231" t="s">
        <v>559</v>
      </c>
      <c r="E55" s="398" t="s">
        <v>600</v>
      </c>
      <c r="F55"/>
      <c r="G55"/>
      <c r="H55"/>
      <c r="I55"/>
      <c r="R55" s="865"/>
      <c r="S55" s="231" t="s">
        <v>59</v>
      </c>
      <c r="T55" s="231" t="s">
        <v>73</v>
      </c>
      <c r="U55" s="102" t="s">
        <v>4</v>
      </c>
      <c r="V55" s="231" t="s">
        <v>59</v>
      </c>
      <c r="W55" s="231" t="s">
        <v>73</v>
      </c>
      <c r="X55" s="102" t="s">
        <v>4</v>
      </c>
      <c r="Y55" s="231" t="s">
        <v>59</v>
      </c>
      <c r="Z55" s="231" t="s">
        <v>73</v>
      </c>
      <c r="AA55" s="102" t="s">
        <v>4</v>
      </c>
      <c r="AB55" s="231" t="s">
        <v>59</v>
      </c>
      <c r="AC55" s="231" t="s">
        <v>73</v>
      </c>
      <c r="AD55" s="102" t="s">
        <v>4</v>
      </c>
      <c r="AE55" s="231" t="s">
        <v>59</v>
      </c>
      <c r="AF55" s="231" t="s">
        <v>73</v>
      </c>
      <c r="AG55" s="102" t="s">
        <v>4</v>
      </c>
      <c r="AH55" s="107" t="s">
        <v>59</v>
      </c>
      <c r="AI55" s="107" t="s">
        <v>73</v>
      </c>
      <c r="AJ55" s="471" t="s">
        <v>4</v>
      </c>
      <c r="AK55" s="1004">
        <v>74</v>
      </c>
      <c r="AL55" s="1002">
        <f t="shared" ref="AL55" si="82">(S56*T56*U56)+(V56*W56*X56)+(Y56*Z56*AA56)+(AB56*AC56*AD56)+(AE56*AF56*AG56)+(AH56*AI56*AJ56)</f>
        <v>5712.2</v>
      </c>
      <c r="AM55" s="940"/>
      <c r="AN55" s="855"/>
      <c r="AO55" s="118"/>
      <c r="AP55" s="846"/>
      <c r="AQ55" s="231" t="s">
        <v>59</v>
      </c>
      <c r="AR55" s="231" t="s">
        <v>73</v>
      </c>
      <c r="AS55" s="102" t="s">
        <v>4</v>
      </c>
      <c r="AT55" s="231" t="s">
        <v>59</v>
      </c>
      <c r="AU55" s="231" t="s">
        <v>73</v>
      </c>
      <c r="AV55" s="102" t="s">
        <v>4</v>
      </c>
      <c r="AW55" s="231" t="s">
        <v>59</v>
      </c>
      <c r="AX55" s="231" t="s">
        <v>73</v>
      </c>
      <c r="AY55" s="102" t="s">
        <v>4</v>
      </c>
      <c r="AZ55" s="231" t="s">
        <v>59</v>
      </c>
      <c r="BA55" s="231" t="s">
        <v>73</v>
      </c>
      <c r="BB55" s="102" t="s">
        <v>4</v>
      </c>
      <c r="BC55" s="107" t="s">
        <v>59</v>
      </c>
      <c r="BD55" s="107" t="s">
        <v>73</v>
      </c>
      <c r="BE55" s="108" t="s">
        <v>4</v>
      </c>
      <c r="BF55" s="107" t="s">
        <v>59</v>
      </c>
      <c r="BG55" s="107" t="s">
        <v>73</v>
      </c>
      <c r="BH55" s="471" t="s">
        <v>4</v>
      </c>
      <c r="BI55" s="1004">
        <v>54</v>
      </c>
      <c r="BJ55" s="1003">
        <f t="shared" si="69"/>
        <v>6860.1</v>
      </c>
      <c r="BK55" s="940"/>
      <c r="BL55" s="1016"/>
      <c r="BM55" s="118"/>
      <c r="BN55" s="846"/>
      <c r="BO55" s="231" t="s">
        <v>59</v>
      </c>
      <c r="BP55" s="231" t="s">
        <v>73</v>
      </c>
      <c r="BQ55" s="102" t="s">
        <v>4</v>
      </c>
      <c r="BR55" s="231" t="s">
        <v>59</v>
      </c>
      <c r="BS55" s="231" t="s">
        <v>73</v>
      </c>
      <c r="BT55" s="102" t="s">
        <v>4</v>
      </c>
      <c r="BU55" s="231" t="s">
        <v>59</v>
      </c>
      <c r="BV55" s="231" t="s">
        <v>73</v>
      </c>
      <c r="BW55" s="102" t="s">
        <v>4</v>
      </c>
      <c r="BX55" s="231" t="s">
        <v>59</v>
      </c>
      <c r="BY55" s="231" t="s">
        <v>73</v>
      </c>
      <c r="BZ55" s="102" t="s">
        <v>4</v>
      </c>
      <c r="CA55" s="231" t="s">
        <v>59</v>
      </c>
      <c r="CB55" s="231" t="s">
        <v>73</v>
      </c>
      <c r="CC55" s="102" t="s">
        <v>4</v>
      </c>
      <c r="CD55" s="107" t="s">
        <v>59</v>
      </c>
      <c r="CE55" s="107" t="s">
        <v>73</v>
      </c>
      <c r="CF55" s="471" t="s">
        <v>4</v>
      </c>
      <c r="CG55" s="1004">
        <f>60</f>
        <v>60</v>
      </c>
      <c r="CH55" s="1005">
        <f t="shared" ref="CH55" si="83">(BO56*BP56*BQ56)+(BR56*BS56*BT56)+(BU56*BV56*BW56)+(BX56*BY56*BZ56)+(CA56*CB56*CC56)+(CD56*CE56*CF56)</f>
        <v>6751.5</v>
      </c>
      <c r="CI55" s="940"/>
      <c r="CJ55" s="1016"/>
      <c r="CL55" s="1052"/>
      <c r="CM55" s="491" t="s">
        <v>59</v>
      </c>
      <c r="CN55" s="491" t="s">
        <v>73</v>
      </c>
      <c r="CO55" s="492" t="s">
        <v>4</v>
      </c>
      <c r="CP55" s="491" t="s">
        <v>59</v>
      </c>
      <c r="CQ55" s="491" t="s">
        <v>73</v>
      </c>
      <c r="CR55" s="492" t="s">
        <v>4</v>
      </c>
      <c r="CS55" s="491" t="s">
        <v>59</v>
      </c>
      <c r="CT55" s="491" t="s">
        <v>73</v>
      </c>
      <c r="CU55" s="492" t="s">
        <v>4</v>
      </c>
      <c r="CV55" s="491" t="s">
        <v>59</v>
      </c>
      <c r="CW55" s="491" t="s">
        <v>73</v>
      </c>
      <c r="CX55" s="492" t="s">
        <v>4</v>
      </c>
      <c r="CY55" s="491" t="s">
        <v>59</v>
      </c>
      <c r="CZ55" s="491" t="s">
        <v>73</v>
      </c>
      <c r="DA55" s="492" t="s">
        <v>4</v>
      </c>
      <c r="DB55" s="491" t="s">
        <v>59</v>
      </c>
      <c r="DC55" s="491" t="s">
        <v>73</v>
      </c>
      <c r="DD55" s="493" t="s">
        <v>4</v>
      </c>
      <c r="DE55" s="1058"/>
      <c r="DF55" s="1059">
        <f>(CM56*CN56*CO56)+(CP56*CQ56*CR56)+(CS56*CT56*CU56)+(CV56*CW56*CX56)+(CY56*CZ56*DA56)+(DB56*DC56*DD56)</f>
        <v>0</v>
      </c>
      <c r="DG55" s="1055"/>
      <c r="DH55" s="1057"/>
      <c r="DJ55" s="1065"/>
      <c r="DK55" s="460" t="s">
        <v>59</v>
      </c>
      <c r="DL55" s="460" t="s">
        <v>73</v>
      </c>
      <c r="DM55" s="461" t="s">
        <v>4</v>
      </c>
      <c r="DN55" s="460" t="s">
        <v>59</v>
      </c>
      <c r="DO55" s="460" t="s">
        <v>73</v>
      </c>
      <c r="DP55" s="461" t="s">
        <v>4</v>
      </c>
      <c r="DQ55" s="460" t="s">
        <v>59</v>
      </c>
      <c r="DR55" s="460" t="s">
        <v>73</v>
      </c>
      <c r="DS55" s="461" t="s">
        <v>4</v>
      </c>
      <c r="DT55" s="460" t="s">
        <v>59</v>
      </c>
      <c r="DU55" s="460" t="s">
        <v>73</v>
      </c>
      <c r="DV55" s="461" t="s">
        <v>4</v>
      </c>
      <c r="DW55" s="460" t="s">
        <v>59</v>
      </c>
      <c r="DX55" s="460" t="s">
        <v>73</v>
      </c>
      <c r="DY55" s="461" t="s">
        <v>4</v>
      </c>
      <c r="DZ55" s="460" t="s">
        <v>59</v>
      </c>
      <c r="EA55" s="460" t="s">
        <v>73</v>
      </c>
      <c r="EB55" s="473" t="s">
        <v>4</v>
      </c>
      <c r="EC55" s="1004"/>
      <c r="ED55" s="1005">
        <f>(DK56*DL56*DM56)+(DN56*DO56*DP56)+(DQ56*DR56*DS56)+(DT56*DU56*DV56)+(DW56*DX56*DY56)+(DZ56*EA56*EB56)</f>
        <v>0</v>
      </c>
      <c r="EE55" s="940"/>
      <c r="EF55" s="1016"/>
      <c r="EH55" s="1042"/>
      <c r="EI55" s="460" t="s">
        <v>59</v>
      </c>
      <c r="EJ55" s="460" t="s">
        <v>73</v>
      </c>
      <c r="EK55" s="461" t="s">
        <v>4</v>
      </c>
      <c r="EL55" s="460" t="s">
        <v>59</v>
      </c>
      <c r="EM55" s="460" t="s">
        <v>73</v>
      </c>
      <c r="EN55" s="461" t="s">
        <v>4</v>
      </c>
      <c r="EO55" s="460" t="s">
        <v>59</v>
      </c>
      <c r="EP55" s="460" t="s">
        <v>73</v>
      </c>
      <c r="EQ55" s="461" t="s">
        <v>4</v>
      </c>
      <c r="ER55" s="460" t="s">
        <v>59</v>
      </c>
      <c r="ES55" s="460" t="s">
        <v>73</v>
      </c>
      <c r="ET55" s="461" t="s">
        <v>4</v>
      </c>
      <c r="EU55" s="460" t="s">
        <v>59</v>
      </c>
      <c r="EV55" s="460" t="s">
        <v>73</v>
      </c>
      <c r="EW55" s="461" t="s">
        <v>4</v>
      </c>
      <c r="EX55" s="460" t="s">
        <v>59</v>
      </c>
      <c r="EY55" s="460" t="s">
        <v>73</v>
      </c>
      <c r="EZ55" s="473" t="s">
        <v>4</v>
      </c>
      <c r="FA55" s="1004"/>
      <c r="FB55" s="1005">
        <f>(EI56*EJ56*EK56)+(EL56*EM56*EN56)+(EO56*EP56*EQ56)+(ER56*ES56*ET56)+(EU56*EV56*EW56)+(EX56*EY56*EZ56)</f>
        <v>0</v>
      </c>
      <c r="FC55" s="940"/>
      <c r="FD55" s="1016"/>
      <c r="FF55" s="1052"/>
      <c r="FG55" s="491" t="s">
        <v>59</v>
      </c>
      <c r="FH55" s="491" t="s">
        <v>73</v>
      </c>
      <c r="FI55" s="492" t="s">
        <v>4</v>
      </c>
      <c r="FJ55" s="491" t="s">
        <v>59</v>
      </c>
      <c r="FK55" s="491" t="s">
        <v>73</v>
      </c>
      <c r="FL55" s="492" t="s">
        <v>4</v>
      </c>
      <c r="FM55" s="491" t="s">
        <v>59</v>
      </c>
      <c r="FN55" s="491" t="s">
        <v>73</v>
      </c>
      <c r="FO55" s="492" t="s">
        <v>4</v>
      </c>
      <c r="FP55" s="491" t="s">
        <v>59</v>
      </c>
      <c r="FQ55" s="491" t="s">
        <v>73</v>
      </c>
      <c r="FR55" s="492" t="s">
        <v>4</v>
      </c>
      <c r="FS55" s="491" t="s">
        <v>59</v>
      </c>
      <c r="FT55" s="491" t="s">
        <v>73</v>
      </c>
      <c r="FU55" s="492" t="s">
        <v>4</v>
      </c>
      <c r="FV55" s="491" t="s">
        <v>59</v>
      </c>
      <c r="FW55" s="491" t="s">
        <v>73</v>
      </c>
      <c r="FX55" s="493" t="s">
        <v>4</v>
      </c>
      <c r="FY55" s="1071"/>
      <c r="FZ55" s="1072">
        <f>(FG56*FH56*FI56)+(FJ56*FK56*FL56)+(FM56*FN56*FO56)+(FP56*FQ56*FR56)+(FS56*FT56*FU56)+(FV56*FW56*FX56)</f>
        <v>0</v>
      </c>
      <c r="GA55" s="1068"/>
      <c r="GB55" s="1070"/>
      <c r="GD55" s="1075"/>
      <c r="GE55" s="460" t="s">
        <v>59</v>
      </c>
      <c r="GF55" s="460" t="s">
        <v>73</v>
      </c>
      <c r="GG55" s="461" t="s">
        <v>4</v>
      </c>
      <c r="GH55" s="460" t="s">
        <v>59</v>
      </c>
      <c r="GI55" s="460" t="s">
        <v>73</v>
      </c>
      <c r="GJ55" s="461" t="s">
        <v>4</v>
      </c>
      <c r="GK55" s="460" t="s">
        <v>59</v>
      </c>
      <c r="GL55" s="460" t="s">
        <v>73</v>
      </c>
      <c r="GM55" s="461" t="s">
        <v>4</v>
      </c>
      <c r="GN55" s="460" t="s">
        <v>59</v>
      </c>
      <c r="GO55" s="460" t="s">
        <v>73</v>
      </c>
      <c r="GP55" s="461" t="s">
        <v>4</v>
      </c>
      <c r="GQ55" s="460" t="s">
        <v>59</v>
      </c>
      <c r="GR55" s="460" t="s">
        <v>73</v>
      </c>
      <c r="GS55" s="461" t="s">
        <v>4</v>
      </c>
      <c r="GT55" s="460" t="s">
        <v>59</v>
      </c>
      <c r="GU55" s="460" t="s">
        <v>73</v>
      </c>
      <c r="GV55" s="473" t="s">
        <v>4</v>
      </c>
      <c r="GW55" s="1004"/>
      <c r="GX55" s="1005">
        <f>(GE56*GF56*GG56)+(GH56*GI56*GJ56)+(GK56*GL56*GM56)+(GN56*GO56*GP56)+(GQ56*GR56*GS56)+(GT56*GU56*GV56)</f>
        <v>0</v>
      </c>
      <c r="GY55" s="940"/>
      <c r="GZ55" s="1016"/>
      <c r="HB55" s="1049"/>
      <c r="HC55" s="460" t="s">
        <v>59</v>
      </c>
      <c r="HD55" s="460" t="s">
        <v>73</v>
      </c>
      <c r="HE55" s="461" t="s">
        <v>4</v>
      </c>
      <c r="HF55" s="460" t="s">
        <v>59</v>
      </c>
      <c r="HG55" s="460" t="s">
        <v>73</v>
      </c>
      <c r="HH55" s="461" t="s">
        <v>4</v>
      </c>
      <c r="HI55" s="460" t="s">
        <v>59</v>
      </c>
      <c r="HJ55" s="460" t="s">
        <v>73</v>
      </c>
      <c r="HK55" s="461" t="s">
        <v>4</v>
      </c>
      <c r="HL55" s="460" t="s">
        <v>59</v>
      </c>
      <c r="HM55" s="460" t="s">
        <v>73</v>
      </c>
      <c r="HN55" s="461" t="s">
        <v>4</v>
      </c>
      <c r="HO55" s="460" t="s">
        <v>59</v>
      </c>
      <c r="HP55" s="460" t="s">
        <v>73</v>
      </c>
      <c r="HQ55" s="461" t="s">
        <v>4</v>
      </c>
      <c r="HR55" s="460" t="s">
        <v>59</v>
      </c>
      <c r="HS55" s="460" t="s">
        <v>73</v>
      </c>
      <c r="HT55" s="473" t="s">
        <v>4</v>
      </c>
      <c r="HU55" s="1004"/>
      <c r="HV55" s="1005">
        <f>(HC56*HD56*HE56)+(HF56*HG56*HH56)+(HI56*HJ56*HK56)+(HL56*HM56*HN56)+(HO56*HP56*HQ56)+(HR56*HS56*HT56)</f>
        <v>0</v>
      </c>
      <c r="HW55" s="940"/>
      <c r="HX55" s="1016"/>
      <c r="HZ55" s="1062"/>
      <c r="IA55" s="460" t="s">
        <v>59</v>
      </c>
      <c r="IB55" s="460" t="s">
        <v>73</v>
      </c>
      <c r="IC55" s="461" t="s">
        <v>4</v>
      </c>
      <c r="ID55" s="460" t="s">
        <v>59</v>
      </c>
      <c r="IE55" s="460" t="s">
        <v>73</v>
      </c>
      <c r="IF55" s="461" t="s">
        <v>4</v>
      </c>
      <c r="IG55" s="460" t="s">
        <v>59</v>
      </c>
      <c r="IH55" s="460" t="s">
        <v>73</v>
      </c>
      <c r="II55" s="461" t="s">
        <v>4</v>
      </c>
      <c r="IJ55" s="460" t="s">
        <v>59</v>
      </c>
      <c r="IK55" s="460" t="s">
        <v>73</v>
      </c>
      <c r="IL55" s="461" t="s">
        <v>4</v>
      </c>
      <c r="IM55" s="460" t="s">
        <v>59</v>
      </c>
      <c r="IN55" s="460" t="s">
        <v>73</v>
      </c>
      <c r="IO55" s="461" t="s">
        <v>4</v>
      </c>
      <c r="IP55" s="460" t="s">
        <v>59</v>
      </c>
      <c r="IQ55" s="460" t="s">
        <v>73</v>
      </c>
      <c r="IR55" s="473" t="s">
        <v>4</v>
      </c>
      <c r="IS55" s="1004"/>
      <c r="IT55" s="1005">
        <f>(IA56*IB56*IC56)+(ID56*IE56*IF56)+(IG56*IH56*II56)+(IJ56*IK56*IL56)+(IM56*IN56*IO56)+(IP56*IQ56*IR56)</f>
        <v>0</v>
      </c>
      <c r="IU55" s="940"/>
      <c r="IV55" s="1016"/>
      <c r="IX55" s="1039"/>
      <c r="IY55" s="460" t="s">
        <v>59</v>
      </c>
      <c r="IZ55" s="460" t="s">
        <v>73</v>
      </c>
      <c r="JA55" s="461" t="s">
        <v>4</v>
      </c>
      <c r="JB55" s="460" t="s">
        <v>59</v>
      </c>
      <c r="JC55" s="460" t="s">
        <v>73</v>
      </c>
      <c r="JD55" s="461" t="s">
        <v>4</v>
      </c>
      <c r="JE55" s="460" t="s">
        <v>59</v>
      </c>
      <c r="JF55" s="460" t="s">
        <v>73</v>
      </c>
      <c r="JG55" s="461" t="s">
        <v>4</v>
      </c>
      <c r="JH55" s="460" t="s">
        <v>59</v>
      </c>
      <c r="JI55" s="460" t="s">
        <v>73</v>
      </c>
      <c r="JJ55" s="461" t="s">
        <v>4</v>
      </c>
      <c r="JK55" s="460" t="s">
        <v>59</v>
      </c>
      <c r="JL55" s="460" t="s">
        <v>73</v>
      </c>
      <c r="JM55" s="461" t="s">
        <v>4</v>
      </c>
      <c r="JN55" s="460" t="s">
        <v>59</v>
      </c>
      <c r="JO55" s="460" t="s">
        <v>73</v>
      </c>
      <c r="JP55" s="473" t="s">
        <v>4</v>
      </c>
      <c r="JQ55" s="1004"/>
      <c r="JR55" s="1005">
        <f>(IY56*IZ56*JA56)+(JB56*JC56*JD56)+(JE56*JF56*JG56)+(JH56*JI56*JJ56)+(JK56*JL56*JM56)+(JN56*JO56*JP56)</f>
        <v>0</v>
      </c>
      <c r="JS55" s="940"/>
      <c r="JT55" s="1016"/>
      <c r="JV55" s="1049"/>
      <c r="JW55" s="460" t="s">
        <v>59</v>
      </c>
      <c r="JX55" s="460" t="s">
        <v>73</v>
      </c>
      <c r="JY55" s="461" t="s">
        <v>4</v>
      </c>
      <c r="JZ55" s="460" t="s">
        <v>59</v>
      </c>
      <c r="KA55" s="460" t="s">
        <v>73</v>
      </c>
      <c r="KB55" s="461" t="s">
        <v>4</v>
      </c>
      <c r="KC55" s="460" t="s">
        <v>59</v>
      </c>
      <c r="KD55" s="460" t="s">
        <v>73</v>
      </c>
      <c r="KE55" s="461" t="s">
        <v>4</v>
      </c>
      <c r="KF55" s="460" t="s">
        <v>59</v>
      </c>
      <c r="KG55" s="460" t="s">
        <v>73</v>
      </c>
      <c r="KH55" s="461" t="s">
        <v>4</v>
      </c>
      <c r="KI55" s="460" t="s">
        <v>59</v>
      </c>
      <c r="KJ55" s="460" t="s">
        <v>73</v>
      </c>
      <c r="KK55" s="461" t="s">
        <v>4</v>
      </c>
      <c r="KL55" s="460" t="s">
        <v>59</v>
      </c>
      <c r="KM55" s="460" t="s">
        <v>73</v>
      </c>
      <c r="KN55" s="473" t="s">
        <v>4</v>
      </c>
      <c r="KO55" s="1004"/>
      <c r="KP55" s="1005">
        <f>(JW56*JX56*JY56)+(JZ56*KA56*KB56)+(KC56*KD56*KE56)+(KF56*KG56*KH56)+(KI56*KJ56*KK56)+(KL56*KM56*KN56)</f>
        <v>0</v>
      </c>
      <c r="KQ55" s="940"/>
      <c r="KR55" s="1016"/>
      <c r="KT55" s="1065"/>
      <c r="KU55" s="460" t="s">
        <v>59</v>
      </c>
      <c r="KV55" s="460" t="s">
        <v>73</v>
      </c>
      <c r="KW55" s="461" t="s">
        <v>4</v>
      </c>
      <c r="KX55" s="460" t="s">
        <v>59</v>
      </c>
      <c r="KY55" s="460" t="s">
        <v>73</v>
      </c>
      <c r="KZ55" s="461" t="s">
        <v>4</v>
      </c>
      <c r="LA55" s="460" t="s">
        <v>59</v>
      </c>
      <c r="LB55" s="460" t="s">
        <v>73</v>
      </c>
      <c r="LC55" s="461" t="s">
        <v>4</v>
      </c>
      <c r="LD55" s="460" t="s">
        <v>59</v>
      </c>
      <c r="LE55" s="460" t="s">
        <v>73</v>
      </c>
      <c r="LF55" s="461" t="s">
        <v>4</v>
      </c>
      <c r="LG55" s="460" t="s">
        <v>59</v>
      </c>
      <c r="LH55" s="460" t="s">
        <v>73</v>
      </c>
      <c r="LI55" s="461" t="s">
        <v>4</v>
      </c>
      <c r="LJ55" s="460" t="s">
        <v>59</v>
      </c>
      <c r="LK55" s="460" t="s">
        <v>73</v>
      </c>
      <c r="LL55" s="473" t="s">
        <v>4</v>
      </c>
      <c r="LM55" s="1004"/>
      <c r="LN55" s="1005">
        <f>(KU56*KV56*KW56)+(KX56*KY56*KZ56)+(LA56*LB56*LC56)+(LD56*LE56*LF56)+(LG56*LH56*LI56)+(LJ56*LK56*LL56)</f>
        <v>0</v>
      </c>
      <c r="LO55" s="940"/>
      <c r="LP55" s="1016"/>
    </row>
    <row r="56" spans="1:328" ht="15">
      <c r="A56" s="231" t="s">
        <v>568</v>
      </c>
      <c r="B56" s="231" t="s">
        <v>557</v>
      </c>
      <c r="C56" s="231" t="s">
        <v>601</v>
      </c>
      <c r="D56" s="231" t="s">
        <v>563</v>
      </c>
      <c r="E56" s="399" t="s">
        <v>602</v>
      </c>
      <c r="F56"/>
      <c r="G56"/>
      <c r="H56"/>
      <c r="I56"/>
      <c r="R56" s="866"/>
      <c r="S56" s="229">
        <v>4</v>
      </c>
      <c r="T56" s="229">
        <f>((12*1)+(8*3))/4</f>
        <v>9</v>
      </c>
      <c r="U56" s="229">
        <f>((12.5*1)+(25*3))/4</f>
        <v>21.875</v>
      </c>
      <c r="V56" s="229">
        <v>4</v>
      </c>
      <c r="W56" s="229">
        <f>((12*1)+(8*1)+(10*2))/4</f>
        <v>10</v>
      </c>
      <c r="X56" s="229">
        <f>((23*1)+(50*3))/4</f>
        <v>43.25</v>
      </c>
      <c r="Y56" s="229">
        <v>4</v>
      </c>
      <c r="Z56" s="229">
        <f>((12*1)+(8*3))/4</f>
        <v>9</v>
      </c>
      <c r="AA56" s="229">
        <f>((10*1)+(20*3))/4</f>
        <v>17.5</v>
      </c>
      <c r="AB56" s="229">
        <v>4</v>
      </c>
      <c r="AC56" s="229">
        <f>((12*2)+(8*2))/4</f>
        <v>10</v>
      </c>
      <c r="AD56" s="229">
        <f>((23*1)+(50*2)+(54*1))/4</f>
        <v>44.25</v>
      </c>
      <c r="AE56" s="229">
        <v>4</v>
      </c>
      <c r="AF56" s="229">
        <f>((12*1)+(8*3))/4</f>
        <v>9</v>
      </c>
      <c r="AG56" s="229">
        <f>((13.6*1)+(24.9*3))/4</f>
        <v>22.074999999999996</v>
      </c>
      <c r="AH56" s="233"/>
      <c r="AI56" s="233"/>
      <c r="AJ56" s="472"/>
      <c r="AK56" s="1007"/>
      <c r="AL56" s="1002"/>
      <c r="AM56" s="941"/>
      <c r="AN56" s="855"/>
      <c r="AO56" s="118"/>
      <c r="AP56" s="847"/>
      <c r="AQ56" s="229">
        <v>4</v>
      </c>
      <c r="AR56" s="229">
        <f>((12*1)+(8*3))/4</f>
        <v>9</v>
      </c>
      <c r="AS56" s="126">
        <f>((8.5*1)+(18*3))/4</f>
        <v>15.625</v>
      </c>
      <c r="AT56" s="229">
        <v>4</v>
      </c>
      <c r="AU56" s="229">
        <f>((12*1)+(10*3))/4</f>
        <v>10.5</v>
      </c>
      <c r="AV56" s="229">
        <f>((20*1)+(40*3))/4</f>
        <v>35</v>
      </c>
      <c r="AW56" s="229">
        <v>4</v>
      </c>
      <c r="AX56" s="229">
        <v>12</v>
      </c>
      <c r="AY56" s="229">
        <f>((32*1)+(63*3))/4</f>
        <v>55.25</v>
      </c>
      <c r="AZ56" s="229">
        <v>4</v>
      </c>
      <c r="BA56" s="229">
        <f>((12*1)+(24*3))/4</f>
        <v>21</v>
      </c>
      <c r="BB56" s="229">
        <f>(1/3)*BL54</f>
        <v>25.9</v>
      </c>
      <c r="BC56" s="233"/>
      <c r="BD56" s="233"/>
      <c r="BE56" s="233"/>
      <c r="BF56" s="233"/>
      <c r="BG56" s="233"/>
      <c r="BH56" s="472"/>
      <c r="BI56" s="1007"/>
      <c r="BJ56" s="1003"/>
      <c r="BK56" s="941"/>
      <c r="BL56" s="1016"/>
      <c r="BM56" s="118"/>
      <c r="BN56" s="847"/>
      <c r="BO56" s="229">
        <v>4</v>
      </c>
      <c r="BP56" s="126">
        <f>((12*1)+(6*2)+(8*1))/4</f>
        <v>8</v>
      </c>
      <c r="BQ56" s="126">
        <f>((12.5*1)+(27.5*3))/4</f>
        <v>23.75</v>
      </c>
      <c r="BR56" s="229">
        <v>4</v>
      </c>
      <c r="BS56" s="126">
        <f>((12*1)+(8*3))/4</f>
        <v>9</v>
      </c>
      <c r="BT56" s="229">
        <f>((22.5*1)+(45*3))/4</f>
        <v>39.375</v>
      </c>
      <c r="BU56" s="229">
        <v>4</v>
      </c>
      <c r="BV56" s="126">
        <f>((12*1)+(8*1)+(10*2))/4</f>
        <v>10</v>
      </c>
      <c r="BW56" s="229">
        <f>((20*1)+(45*3))/4</f>
        <v>38.75</v>
      </c>
      <c r="BX56" s="229">
        <v>4</v>
      </c>
      <c r="BY56" s="229">
        <f>((12*4))/4</f>
        <v>12</v>
      </c>
      <c r="BZ56" s="229">
        <f>((36*1)+(72*3))/4</f>
        <v>63</v>
      </c>
      <c r="CA56" s="229">
        <v>0</v>
      </c>
      <c r="CB56" s="229">
        <f>((14*1)+(28*3))/4</f>
        <v>24.5</v>
      </c>
      <c r="CC56" s="229">
        <f>(1/3)*CJ54</f>
        <v>26.016666666666666</v>
      </c>
      <c r="CD56" s="233"/>
      <c r="CE56" s="233"/>
      <c r="CF56" s="472"/>
      <c r="CG56" s="1007"/>
      <c r="CH56" s="1006"/>
      <c r="CI56" s="941"/>
      <c r="CJ56" s="1016"/>
      <c r="CL56" s="1053"/>
      <c r="CM56" s="494"/>
      <c r="CN56" s="494"/>
      <c r="CO56" s="494"/>
      <c r="CP56" s="494"/>
      <c r="CQ56" s="494"/>
      <c r="CR56" s="494"/>
      <c r="CS56" s="494"/>
      <c r="CT56" s="494"/>
      <c r="CU56" s="494"/>
      <c r="CV56" s="494"/>
      <c r="CW56" s="494"/>
      <c r="CX56" s="494"/>
      <c r="CY56" s="494"/>
      <c r="CZ56" s="494"/>
      <c r="DA56" s="494"/>
      <c r="DB56" s="494"/>
      <c r="DC56" s="494"/>
      <c r="DD56" s="495"/>
      <c r="DE56" s="1077"/>
      <c r="DF56" s="1060"/>
      <c r="DG56" s="1056"/>
      <c r="DH56" s="1057"/>
      <c r="DJ56" s="1066"/>
      <c r="DK56" s="462"/>
      <c r="DL56" s="462"/>
      <c r="DM56" s="462"/>
      <c r="DN56" s="462"/>
      <c r="DO56" s="462"/>
      <c r="DP56" s="462"/>
      <c r="DQ56" s="462"/>
      <c r="DR56" s="462"/>
      <c r="DS56" s="462"/>
      <c r="DT56" s="462"/>
      <c r="DU56" s="462"/>
      <c r="DV56" s="462"/>
      <c r="DW56" s="462"/>
      <c r="DX56" s="462"/>
      <c r="DY56" s="462"/>
      <c r="DZ56" s="462"/>
      <c r="EA56" s="462"/>
      <c r="EB56" s="474"/>
      <c r="EC56" s="1007"/>
      <c r="ED56" s="1006"/>
      <c r="EE56" s="941"/>
      <c r="EF56" s="1016"/>
      <c r="EH56" s="1043"/>
      <c r="EI56" s="462"/>
      <c r="EJ56" s="462"/>
      <c r="EK56" s="462"/>
      <c r="EL56" s="462"/>
      <c r="EM56" s="462"/>
      <c r="EN56" s="462"/>
      <c r="EO56" s="462"/>
      <c r="EP56" s="462"/>
      <c r="EQ56" s="462"/>
      <c r="ER56" s="462"/>
      <c r="ES56" s="462"/>
      <c r="ET56" s="462"/>
      <c r="EU56" s="462"/>
      <c r="EV56" s="462"/>
      <c r="EW56" s="462"/>
      <c r="EX56" s="462"/>
      <c r="EY56" s="462"/>
      <c r="EZ56" s="474"/>
      <c r="FA56" s="1007"/>
      <c r="FB56" s="1006"/>
      <c r="FC56" s="941"/>
      <c r="FD56" s="1016"/>
      <c r="FF56" s="1053"/>
      <c r="FG56" s="494"/>
      <c r="FH56" s="494"/>
      <c r="FI56" s="494"/>
      <c r="FJ56" s="494"/>
      <c r="FK56" s="494"/>
      <c r="FL56" s="494"/>
      <c r="FM56" s="494"/>
      <c r="FN56" s="494"/>
      <c r="FO56" s="494"/>
      <c r="FP56" s="494"/>
      <c r="FQ56" s="494"/>
      <c r="FR56" s="494"/>
      <c r="FS56" s="494"/>
      <c r="FT56" s="494"/>
      <c r="FU56" s="494"/>
      <c r="FV56" s="494"/>
      <c r="FW56" s="494"/>
      <c r="FX56" s="495"/>
      <c r="FY56" s="1081"/>
      <c r="FZ56" s="1073"/>
      <c r="GA56" s="1069"/>
      <c r="GB56" s="1070"/>
      <c r="GD56" s="1076"/>
      <c r="GE56" s="462"/>
      <c r="GF56" s="462"/>
      <c r="GG56" s="462"/>
      <c r="GH56" s="462"/>
      <c r="GI56" s="462"/>
      <c r="GJ56" s="462"/>
      <c r="GK56" s="462"/>
      <c r="GL56" s="462"/>
      <c r="GM56" s="462"/>
      <c r="GN56" s="462"/>
      <c r="GO56" s="462"/>
      <c r="GP56" s="462"/>
      <c r="GQ56" s="462"/>
      <c r="GR56" s="462"/>
      <c r="GS56" s="462"/>
      <c r="GT56" s="462"/>
      <c r="GU56" s="462"/>
      <c r="GV56" s="474"/>
      <c r="GW56" s="1007"/>
      <c r="GX56" s="1006"/>
      <c r="GY56" s="941"/>
      <c r="GZ56" s="1016"/>
      <c r="HB56" s="1050"/>
      <c r="HC56" s="462"/>
      <c r="HD56" s="462"/>
      <c r="HE56" s="462"/>
      <c r="HF56" s="462"/>
      <c r="HG56" s="462"/>
      <c r="HH56" s="462"/>
      <c r="HI56" s="462"/>
      <c r="HJ56" s="462"/>
      <c r="HK56" s="462"/>
      <c r="HL56" s="462"/>
      <c r="HM56" s="462"/>
      <c r="HN56" s="462"/>
      <c r="HO56" s="462"/>
      <c r="HP56" s="462"/>
      <c r="HQ56" s="462"/>
      <c r="HR56" s="462"/>
      <c r="HS56" s="462"/>
      <c r="HT56" s="474"/>
      <c r="HU56" s="1007"/>
      <c r="HV56" s="1006"/>
      <c r="HW56" s="941"/>
      <c r="HX56" s="1016"/>
      <c r="HZ56" s="1063"/>
      <c r="IA56" s="462"/>
      <c r="IB56" s="462"/>
      <c r="IC56" s="462"/>
      <c r="ID56" s="462"/>
      <c r="IE56" s="462"/>
      <c r="IF56" s="462"/>
      <c r="IG56" s="462"/>
      <c r="IH56" s="462"/>
      <c r="II56" s="462"/>
      <c r="IJ56" s="462"/>
      <c r="IK56" s="462"/>
      <c r="IL56" s="462"/>
      <c r="IM56" s="462"/>
      <c r="IN56" s="462"/>
      <c r="IO56" s="462"/>
      <c r="IP56" s="462"/>
      <c r="IQ56" s="462"/>
      <c r="IR56" s="474"/>
      <c r="IS56" s="1007"/>
      <c r="IT56" s="1006"/>
      <c r="IU56" s="941"/>
      <c r="IV56" s="1016"/>
      <c r="IX56" s="1040"/>
      <c r="IY56" s="462"/>
      <c r="IZ56" s="462"/>
      <c r="JA56" s="462"/>
      <c r="JB56" s="462"/>
      <c r="JC56" s="462"/>
      <c r="JD56" s="462"/>
      <c r="JE56" s="462"/>
      <c r="JF56" s="462"/>
      <c r="JG56" s="462"/>
      <c r="JH56" s="462"/>
      <c r="JI56" s="462"/>
      <c r="JJ56" s="462"/>
      <c r="JK56" s="462"/>
      <c r="JL56" s="462"/>
      <c r="JM56" s="462"/>
      <c r="JN56" s="462"/>
      <c r="JO56" s="462"/>
      <c r="JP56" s="474"/>
      <c r="JQ56" s="1007"/>
      <c r="JR56" s="1006"/>
      <c r="JS56" s="941"/>
      <c r="JT56" s="1016"/>
      <c r="JV56" s="1050"/>
      <c r="JW56" s="462"/>
      <c r="JX56" s="462"/>
      <c r="JY56" s="462"/>
      <c r="JZ56" s="462"/>
      <c r="KA56" s="462"/>
      <c r="KB56" s="462"/>
      <c r="KC56" s="462"/>
      <c r="KD56" s="462"/>
      <c r="KE56" s="462"/>
      <c r="KF56" s="462"/>
      <c r="KG56" s="462"/>
      <c r="KH56" s="462"/>
      <c r="KI56" s="462"/>
      <c r="KJ56" s="462"/>
      <c r="KK56" s="462"/>
      <c r="KL56" s="462"/>
      <c r="KM56" s="462"/>
      <c r="KN56" s="474"/>
      <c r="KO56" s="1007"/>
      <c r="KP56" s="1006"/>
      <c r="KQ56" s="941"/>
      <c r="KR56" s="1016"/>
      <c r="KT56" s="1066"/>
      <c r="KU56" s="462"/>
      <c r="KV56" s="462"/>
      <c r="KW56" s="462"/>
      <c r="KX56" s="462"/>
      <c r="KY56" s="462"/>
      <c r="KZ56" s="462"/>
      <c r="LA56" s="462"/>
      <c r="LB56" s="462"/>
      <c r="LC56" s="462"/>
      <c r="LD56" s="462"/>
      <c r="LE56" s="462"/>
      <c r="LF56" s="462"/>
      <c r="LG56" s="462"/>
      <c r="LH56" s="462"/>
      <c r="LI56" s="462"/>
      <c r="LJ56" s="462"/>
      <c r="LK56" s="462"/>
      <c r="LL56" s="474"/>
      <c r="LM56" s="1007"/>
      <c r="LN56" s="1006"/>
      <c r="LO56" s="941"/>
      <c r="LP56" s="1016"/>
    </row>
    <row r="57" spans="1:328" ht="15">
      <c r="A57" s="231" t="s">
        <v>564</v>
      </c>
      <c r="B57" s="231" t="s">
        <v>589</v>
      </c>
      <c r="C57" s="231" t="s">
        <v>596</v>
      </c>
      <c r="D57" s="231" t="s">
        <v>603</v>
      </c>
      <c r="E57" s="397" t="s">
        <v>592</v>
      </c>
      <c r="F57"/>
      <c r="G57"/>
      <c r="H57"/>
      <c r="I57"/>
      <c r="R57" s="870">
        <v>46041</v>
      </c>
      <c r="S57" s="848" t="s">
        <v>89</v>
      </c>
      <c r="T57" s="848"/>
      <c r="U57" s="848"/>
      <c r="V57" s="848" t="s">
        <v>380</v>
      </c>
      <c r="W57" s="848"/>
      <c r="X57" s="848"/>
      <c r="Y57" s="848" t="s">
        <v>115</v>
      </c>
      <c r="Z57" s="848"/>
      <c r="AA57" s="848"/>
      <c r="AB57" s="849" t="s">
        <v>114</v>
      </c>
      <c r="AC57" s="849"/>
      <c r="AD57" s="849"/>
      <c r="AE57" s="848" t="s">
        <v>129</v>
      </c>
      <c r="AF57" s="848"/>
      <c r="AG57" s="848"/>
      <c r="AH57" s="834"/>
      <c r="AI57" s="835"/>
      <c r="AJ57" s="835"/>
      <c r="AK57" s="459" t="s">
        <v>425</v>
      </c>
      <c r="AL57" s="1">
        <f t="shared" ref="AL57" si="84">COUNTA(S57:AJ57)</f>
        <v>5</v>
      </c>
      <c r="AM57" s="939"/>
      <c r="AN57" s="855">
        <v>77.3</v>
      </c>
      <c r="AO57" s="118"/>
      <c r="AP57" s="873">
        <v>46072</v>
      </c>
      <c r="AQ57" s="973" t="s">
        <v>72</v>
      </c>
      <c r="AR57" s="973"/>
      <c r="AS57" s="973"/>
      <c r="AT57" s="977" t="s">
        <v>102</v>
      </c>
      <c r="AU57" s="977"/>
      <c r="AV57" s="977"/>
      <c r="AW57" s="972" t="s">
        <v>502</v>
      </c>
      <c r="AX57" s="972"/>
      <c r="AY57" s="972"/>
      <c r="AZ57" s="977" t="s">
        <v>380</v>
      </c>
      <c r="BA57" s="977"/>
      <c r="BB57" s="977"/>
      <c r="BC57" s="978" t="s">
        <v>78</v>
      </c>
      <c r="BD57" s="979"/>
      <c r="BE57" s="980"/>
      <c r="BF57" s="834"/>
      <c r="BG57" s="835"/>
      <c r="BH57" s="835"/>
      <c r="BI57" s="459" t="s">
        <v>425</v>
      </c>
      <c r="BJ57" s="482">
        <f t="shared" si="65"/>
        <v>5</v>
      </c>
      <c r="BK57" s="939"/>
      <c r="BL57" s="1016">
        <v>77.5</v>
      </c>
      <c r="BM57" s="118"/>
      <c r="BN57" s="873">
        <v>46100</v>
      </c>
      <c r="BO57" s="844"/>
      <c r="BP57" s="844"/>
      <c r="BQ57" s="844"/>
      <c r="BR57" s="844"/>
      <c r="BS57" s="844"/>
      <c r="BT57" s="844"/>
      <c r="BU57" s="844"/>
      <c r="BV57" s="844"/>
      <c r="BW57" s="844"/>
      <c r="BX57" s="844"/>
      <c r="BY57" s="844"/>
      <c r="BZ57" s="844"/>
      <c r="CA57" s="834"/>
      <c r="CB57" s="835"/>
      <c r="CC57" s="836"/>
      <c r="CD57" s="834"/>
      <c r="CE57" s="835"/>
      <c r="CF57" s="835"/>
      <c r="CG57" s="459" t="s">
        <v>425</v>
      </c>
      <c r="CH57" s="482">
        <f t="shared" ref="CH57" si="85">COUNTA(BO57:CF57)</f>
        <v>0</v>
      </c>
      <c r="CI57" s="939">
        <v>0</v>
      </c>
      <c r="CJ57" s="1016">
        <f>CJ54</f>
        <v>78.05</v>
      </c>
      <c r="CL57" s="1061">
        <v>46131</v>
      </c>
      <c r="CM57" s="960"/>
      <c r="CN57" s="960"/>
      <c r="CO57" s="960"/>
      <c r="CP57" s="960"/>
      <c r="CQ57" s="960"/>
      <c r="CR57" s="960"/>
      <c r="CS57" s="960"/>
      <c r="CT57" s="960"/>
      <c r="CU57" s="960"/>
      <c r="CV57" s="960"/>
      <c r="CW57" s="960"/>
      <c r="CX57" s="960"/>
      <c r="CY57" s="961"/>
      <c r="CZ57" s="962"/>
      <c r="DA57" s="963"/>
      <c r="DB57" s="961"/>
      <c r="DC57" s="962"/>
      <c r="DD57" s="962"/>
      <c r="DE57" s="459" t="s">
        <v>425</v>
      </c>
      <c r="DF57" s="482">
        <f>COUNTA(CM57:DD57)</f>
        <v>0</v>
      </c>
      <c r="DG57" s="939"/>
      <c r="DH57" s="1016"/>
      <c r="DJ57" s="1074">
        <v>46161</v>
      </c>
      <c r="DK57" s="960"/>
      <c r="DL57" s="960"/>
      <c r="DM57" s="960"/>
      <c r="DN57" s="960"/>
      <c r="DO57" s="960"/>
      <c r="DP57" s="960"/>
      <c r="DQ57" s="960"/>
      <c r="DR57" s="960"/>
      <c r="DS57" s="960"/>
      <c r="DT57" s="960"/>
      <c r="DU57" s="960"/>
      <c r="DV57" s="960"/>
      <c r="DW57" s="961"/>
      <c r="DX57" s="962"/>
      <c r="DY57" s="963"/>
      <c r="DZ57" s="961"/>
      <c r="EA57" s="962"/>
      <c r="EB57" s="962"/>
      <c r="EC57" s="459" t="s">
        <v>425</v>
      </c>
      <c r="ED57" s="482">
        <f>COUNTA(DK57:EB57)</f>
        <v>0</v>
      </c>
      <c r="EE57" s="939"/>
      <c r="EF57" s="1016"/>
      <c r="EH57" s="1048">
        <v>46192</v>
      </c>
      <c r="EI57" s="960"/>
      <c r="EJ57" s="960"/>
      <c r="EK57" s="960"/>
      <c r="EL57" s="960"/>
      <c r="EM57" s="960"/>
      <c r="EN57" s="960"/>
      <c r="EO57" s="960"/>
      <c r="EP57" s="960"/>
      <c r="EQ57" s="960"/>
      <c r="ER57" s="960"/>
      <c r="ES57" s="960"/>
      <c r="ET57" s="960"/>
      <c r="EU57" s="961"/>
      <c r="EV57" s="962"/>
      <c r="EW57" s="963"/>
      <c r="EX57" s="961"/>
      <c r="EY57" s="962"/>
      <c r="EZ57" s="962"/>
      <c r="FA57" s="459" t="s">
        <v>425</v>
      </c>
      <c r="FB57" s="482">
        <f>COUNTA(EI57:EZ57)</f>
        <v>0</v>
      </c>
      <c r="FC57" s="939"/>
      <c r="FD57" s="1016"/>
      <c r="FF57" s="1061">
        <v>46222</v>
      </c>
      <c r="FG57" s="960"/>
      <c r="FH57" s="960"/>
      <c r="FI57" s="960"/>
      <c r="FJ57" s="960"/>
      <c r="FK57" s="960"/>
      <c r="FL57" s="960"/>
      <c r="FM57" s="960"/>
      <c r="FN57" s="960"/>
      <c r="FO57" s="960"/>
      <c r="FP57" s="960"/>
      <c r="FQ57" s="960"/>
      <c r="FR57" s="960"/>
      <c r="FS57" s="961"/>
      <c r="FT57" s="962"/>
      <c r="FU57" s="963"/>
      <c r="FV57" s="961"/>
      <c r="FW57" s="962"/>
      <c r="FX57" s="962"/>
      <c r="FY57" s="459" t="s">
        <v>425</v>
      </c>
      <c r="FZ57" s="482">
        <f>COUNTA(FG57:FX57)</f>
        <v>0</v>
      </c>
      <c r="GA57" s="939"/>
      <c r="GB57" s="1016"/>
      <c r="GD57" s="1038">
        <v>46253</v>
      </c>
      <c r="GE57" s="960"/>
      <c r="GF57" s="960"/>
      <c r="GG57" s="960"/>
      <c r="GH57" s="960"/>
      <c r="GI57" s="960"/>
      <c r="GJ57" s="960"/>
      <c r="GK57" s="960"/>
      <c r="GL57" s="960"/>
      <c r="GM57" s="960"/>
      <c r="GN57" s="960"/>
      <c r="GO57" s="960"/>
      <c r="GP57" s="960"/>
      <c r="GQ57" s="961"/>
      <c r="GR57" s="962"/>
      <c r="GS57" s="963"/>
      <c r="GT57" s="961"/>
      <c r="GU57" s="962"/>
      <c r="GV57" s="962"/>
      <c r="GW57" s="459" t="s">
        <v>425</v>
      </c>
      <c r="GX57" s="482">
        <f>COUNTA(GE57:GV57)</f>
        <v>0</v>
      </c>
      <c r="GY57" s="939"/>
      <c r="GZ57" s="1016"/>
      <c r="HB57" s="1051">
        <v>46284</v>
      </c>
      <c r="HC57" s="1023"/>
      <c r="HD57" s="1023"/>
      <c r="HE57" s="1023"/>
      <c r="HF57" s="1023"/>
      <c r="HG57" s="1023"/>
      <c r="HH57" s="1023"/>
      <c r="HI57" s="1023"/>
      <c r="HJ57" s="1023"/>
      <c r="HK57" s="1023"/>
      <c r="HL57" s="1023"/>
      <c r="HM57" s="1023"/>
      <c r="HN57" s="1023"/>
      <c r="HO57" s="1021"/>
      <c r="HP57" s="1022"/>
      <c r="HQ57" s="1024"/>
      <c r="HR57" s="1021"/>
      <c r="HS57" s="1022"/>
      <c r="HT57" s="1022"/>
      <c r="HU57" s="489" t="s">
        <v>425</v>
      </c>
      <c r="HV57" s="496">
        <f>COUNTA(HC57:HT57)</f>
        <v>0</v>
      </c>
      <c r="HW57" s="1067"/>
      <c r="HX57" s="1070"/>
      <c r="HZ57" s="1064">
        <v>46314</v>
      </c>
      <c r="IA57" s="960"/>
      <c r="IB57" s="960"/>
      <c r="IC57" s="960"/>
      <c r="ID57" s="960"/>
      <c r="IE57" s="960"/>
      <c r="IF57" s="960"/>
      <c r="IG57" s="960"/>
      <c r="IH57" s="960"/>
      <c r="II57" s="960"/>
      <c r="IJ57" s="960"/>
      <c r="IK57" s="960"/>
      <c r="IL57" s="960"/>
      <c r="IM57" s="961"/>
      <c r="IN57" s="962"/>
      <c r="IO57" s="963"/>
      <c r="IP57" s="961"/>
      <c r="IQ57" s="962"/>
      <c r="IR57" s="962"/>
      <c r="IS57" s="459" t="s">
        <v>425</v>
      </c>
      <c r="IT57" s="482">
        <f>COUNTA(IA57:IR57)</f>
        <v>0</v>
      </c>
      <c r="IU57" s="939"/>
      <c r="IV57" s="1016"/>
      <c r="IX57" s="1041">
        <v>46345</v>
      </c>
      <c r="IY57" s="960"/>
      <c r="IZ57" s="960"/>
      <c r="JA57" s="960"/>
      <c r="JB57" s="960"/>
      <c r="JC57" s="960"/>
      <c r="JD57" s="960"/>
      <c r="JE57" s="960"/>
      <c r="JF57" s="960"/>
      <c r="JG57" s="960"/>
      <c r="JH57" s="960"/>
      <c r="JI57" s="960"/>
      <c r="JJ57" s="960"/>
      <c r="JK57" s="961"/>
      <c r="JL57" s="962"/>
      <c r="JM57" s="963"/>
      <c r="JN57" s="961"/>
      <c r="JO57" s="962"/>
      <c r="JP57" s="962"/>
      <c r="JQ57" s="459" t="s">
        <v>425</v>
      </c>
      <c r="JR57" s="482">
        <f>COUNTA(IY57:JP57)</f>
        <v>0</v>
      </c>
      <c r="JS57" s="939"/>
      <c r="JT57" s="1016"/>
      <c r="JV57" s="1051">
        <v>46375</v>
      </c>
      <c r="JW57" s="1023"/>
      <c r="JX57" s="1023"/>
      <c r="JY57" s="1023"/>
      <c r="JZ57" s="1023"/>
      <c r="KA57" s="1023"/>
      <c r="KB57" s="1023"/>
      <c r="KC57" s="1023"/>
      <c r="KD57" s="1023"/>
      <c r="KE57" s="1023"/>
      <c r="KF57" s="1023"/>
      <c r="KG57" s="1023"/>
      <c r="KH57" s="1023"/>
      <c r="KI57" s="1021"/>
      <c r="KJ57" s="1022"/>
      <c r="KK57" s="1024"/>
      <c r="KL57" s="1021"/>
      <c r="KM57" s="1022"/>
      <c r="KN57" s="1022"/>
      <c r="KO57" s="489" t="s">
        <v>425</v>
      </c>
      <c r="KP57" s="496">
        <f>COUNTA(JW57:KN57)</f>
        <v>0</v>
      </c>
      <c r="KQ57" s="1067"/>
      <c r="KR57" s="1070"/>
      <c r="KT57" s="1074">
        <v>46406</v>
      </c>
      <c r="KU57" s="960"/>
      <c r="KV57" s="960"/>
      <c r="KW57" s="960"/>
      <c r="KX57" s="960"/>
      <c r="KY57" s="960"/>
      <c r="KZ57" s="960"/>
      <c r="LA57" s="960"/>
      <c r="LB57" s="960"/>
      <c r="LC57" s="960"/>
      <c r="LD57" s="960"/>
      <c r="LE57" s="960"/>
      <c r="LF57" s="960"/>
      <c r="LG57" s="961"/>
      <c r="LH57" s="962"/>
      <c r="LI57" s="963"/>
      <c r="LJ57" s="961"/>
      <c r="LK57" s="962"/>
      <c r="LL57" s="962"/>
      <c r="LM57" s="459" t="s">
        <v>425</v>
      </c>
      <c r="LN57" s="482">
        <f>COUNTA(KU57:LL57)</f>
        <v>0</v>
      </c>
      <c r="LO57" s="939"/>
      <c r="LP57" s="1016"/>
    </row>
    <row r="58" spans="1:328" ht="15">
      <c r="A58" s="231" t="s">
        <v>575</v>
      </c>
      <c r="B58" s="231" t="s">
        <v>595</v>
      </c>
      <c r="C58" s="231" t="s">
        <v>599</v>
      </c>
      <c r="D58" s="231" t="s">
        <v>604</v>
      </c>
      <c r="E58" s="397" t="s">
        <v>605</v>
      </c>
      <c r="F58"/>
      <c r="G58"/>
      <c r="H58"/>
      <c r="I58"/>
      <c r="R58" s="871"/>
      <c r="S58" s="231" t="s">
        <v>59</v>
      </c>
      <c r="T58" s="231" t="s">
        <v>73</v>
      </c>
      <c r="U58" s="102" t="s">
        <v>4</v>
      </c>
      <c r="V58" s="231" t="s">
        <v>59</v>
      </c>
      <c r="W58" s="231" t="s">
        <v>73</v>
      </c>
      <c r="X58" s="102" t="s">
        <v>4</v>
      </c>
      <c r="Y58" s="231" t="s">
        <v>59</v>
      </c>
      <c r="Z58" s="231" t="s">
        <v>73</v>
      </c>
      <c r="AA58" s="102" t="s">
        <v>4</v>
      </c>
      <c r="AB58" s="231" t="s">
        <v>59</v>
      </c>
      <c r="AC58" s="231" t="s">
        <v>73</v>
      </c>
      <c r="AD58" s="102" t="s">
        <v>4</v>
      </c>
      <c r="AE58" s="231" t="s">
        <v>59</v>
      </c>
      <c r="AF58" s="231" t="s">
        <v>73</v>
      </c>
      <c r="AG58" s="102" t="s">
        <v>4</v>
      </c>
      <c r="AH58" s="107" t="s">
        <v>59</v>
      </c>
      <c r="AI58" s="107" t="s">
        <v>73</v>
      </c>
      <c r="AJ58" s="471" t="s">
        <v>4</v>
      </c>
      <c r="AK58" s="1004">
        <v>61</v>
      </c>
      <c r="AL58" s="1002">
        <f t="shared" ref="AL58" si="86">(S59*T59*U59)+(V59*W59*X59)+(Y59*Z59*AA59)+(AB59*AC59*AD59)+(AE59*AF59*AG59)+(AH59*AI59*AJ59)</f>
        <v>4758.6000000000004</v>
      </c>
      <c r="AM58" s="940"/>
      <c r="AN58" s="855"/>
      <c r="AO58" s="118"/>
      <c r="AP58" s="874"/>
      <c r="AQ58" s="303" t="s">
        <v>59</v>
      </c>
      <c r="AR58" s="303" t="s">
        <v>73</v>
      </c>
      <c r="AS58" s="304" t="s">
        <v>4</v>
      </c>
      <c r="AT58" s="303" t="s">
        <v>59</v>
      </c>
      <c r="AU58" s="303" t="s">
        <v>73</v>
      </c>
      <c r="AV58" s="304" t="s">
        <v>4</v>
      </c>
      <c r="AW58" s="303" t="s">
        <v>59</v>
      </c>
      <c r="AX58" s="303" t="s">
        <v>73</v>
      </c>
      <c r="AY58" s="304" t="s">
        <v>4</v>
      </c>
      <c r="AZ58" s="303" t="s">
        <v>59</v>
      </c>
      <c r="BA58" s="303" t="s">
        <v>73</v>
      </c>
      <c r="BB58" s="304" t="s">
        <v>4</v>
      </c>
      <c r="BC58" s="303" t="s">
        <v>59</v>
      </c>
      <c r="BD58" s="303" t="s">
        <v>73</v>
      </c>
      <c r="BE58" s="304" t="s">
        <v>4</v>
      </c>
      <c r="BF58" s="107" t="s">
        <v>59</v>
      </c>
      <c r="BG58" s="107" t="s">
        <v>73</v>
      </c>
      <c r="BH58" s="471" t="s">
        <v>4</v>
      </c>
      <c r="BI58" s="1004">
        <v>59</v>
      </c>
      <c r="BJ58" s="1003">
        <f t="shared" si="69"/>
        <v>6251.7999999999993</v>
      </c>
      <c r="BK58" s="940"/>
      <c r="BL58" s="1016"/>
      <c r="BM58" s="118"/>
      <c r="BN58" s="874"/>
      <c r="BO58" s="107" t="s">
        <v>59</v>
      </c>
      <c r="BP58" s="107" t="s">
        <v>73</v>
      </c>
      <c r="BQ58" s="108" t="s">
        <v>4</v>
      </c>
      <c r="BR58" s="107" t="s">
        <v>59</v>
      </c>
      <c r="BS58" s="107" t="s">
        <v>73</v>
      </c>
      <c r="BT58" s="108" t="s">
        <v>4</v>
      </c>
      <c r="BU58" s="107" t="s">
        <v>59</v>
      </c>
      <c r="BV58" s="107" t="s">
        <v>73</v>
      </c>
      <c r="BW58" s="108" t="s">
        <v>4</v>
      </c>
      <c r="BX58" s="107" t="s">
        <v>59</v>
      </c>
      <c r="BY58" s="107" t="s">
        <v>73</v>
      </c>
      <c r="BZ58" s="108" t="s">
        <v>4</v>
      </c>
      <c r="CA58" s="107" t="s">
        <v>59</v>
      </c>
      <c r="CB58" s="107" t="s">
        <v>73</v>
      </c>
      <c r="CC58" s="108" t="s">
        <v>4</v>
      </c>
      <c r="CD58" s="107" t="s">
        <v>59</v>
      </c>
      <c r="CE58" s="107" t="s">
        <v>73</v>
      </c>
      <c r="CF58" s="471" t="s">
        <v>4</v>
      </c>
      <c r="CG58" s="1004">
        <v>0</v>
      </c>
      <c r="CH58" s="1005">
        <f t="shared" ref="CH58" si="87">(BO59*BP59*BQ59)+(BR59*BS59*BT59)+(BU59*BV59*BW59)+(BX59*BY59*BZ59)+(CA59*CB59*CC59)+(CD59*CE59*CF59)</f>
        <v>0</v>
      </c>
      <c r="CI58" s="940"/>
      <c r="CJ58" s="1016"/>
      <c r="CL58" s="1062"/>
      <c r="CM58" s="460" t="s">
        <v>59</v>
      </c>
      <c r="CN58" s="460" t="s">
        <v>73</v>
      </c>
      <c r="CO58" s="461" t="s">
        <v>4</v>
      </c>
      <c r="CP58" s="460" t="s">
        <v>59</v>
      </c>
      <c r="CQ58" s="460" t="s">
        <v>73</v>
      </c>
      <c r="CR58" s="461" t="s">
        <v>4</v>
      </c>
      <c r="CS58" s="460" t="s">
        <v>59</v>
      </c>
      <c r="CT58" s="460" t="s">
        <v>73</v>
      </c>
      <c r="CU58" s="461" t="s">
        <v>4</v>
      </c>
      <c r="CV58" s="460" t="s">
        <v>59</v>
      </c>
      <c r="CW58" s="460" t="s">
        <v>73</v>
      </c>
      <c r="CX58" s="461" t="s">
        <v>4</v>
      </c>
      <c r="CY58" s="460" t="s">
        <v>59</v>
      </c>
      <c r="CZ58" s="460" t="s">
        <v>73</v>
      </c>
      <c r="DA58" s="461" t="s">
        <v>4</v>
      </c>
      <c r="DB58" s="460" t="s">
        <v>59</v>
      </c>
      <c r="DC58" s="460" t="s">
        <v>73</v>
      </c>
      <c r="DD58" s="473" t="s">
        <v>4</v>
      </c>
      <c r="DE58" s="1004"/>
      <c r="DF58" s="1005">
        <f>(CM59*CN59*CO59)+(CP59*CQ59*CR59)+(CS59*CT59*CU59)+(CV59*CW59*CX59)+(CY59*CZ59*DA59)+(DB59*DC59*DD59)</f>
        <v>0</v>
      </c>
      <c r="DG58" s="940"/>
      <c r="DH58" s="1016"/>
      <c r="DJ58" s="1075"/>
      <c r="DK58" s="460" t="s">
        <v>59</v>
      </c>
      <c r="DL58" s="460" t="s">
        <v>73</v>
      </c>
      <c r="DM58" s="461" t="s">
        <v>4</v>
      </c>
      <c r="DN58" s="460" t="s">
        <v>59</v>
      </c>
      <c r="DO58" s="460" t="s">
        <v>73</v>
      </c>
      <c r="DP58" s="461" t="s">
        <v>4</v>
      </c>
      <c r="DQ58" s="460" t="s">
        <v>59</v>
      </c>
      <c r="DR58" s="460" t="s">
        <v>73</v>
      </c>
      <c r="DS58" s="461" t="s">
        <v>4</v>
      </c>
      <c r="DT58" s="460" t="s">
        <v>59</v>
      </c>
      <c r="DU58" s="460" t="s">
        <v>73</v>
      </c>
      <c r="DV58" s="461" t="s">
        <v>4</v>
      </c>
      <c r="DW58" s="460" t="s">
        <v>59</v>
      </c>
      <c r="DX58" s="460" t="s">
        <v>73</v>
      </c>
      <c r="DY58" s="461" t="s">
        <v>4</v>
      </c>
      <c r="DZ58" s="460" t="s">
        <v>59</v>
      </c>
      <c r="EA58" s="460" t="s">
        <v>73</v>
      </c>
      <c r="EB58" s="473" t="s">
        <v>4</v>
      </c>
      <c r="EC58" s="1004"/>
      <c r="ED58" s="1005">
        <f>(DK59*DL59*DM59)+(DN59*DO59*DP59)+(DQ59*DR59*DS59)+(DT59*DU59*DV59)+(DW59*DX59*DY59)+(DZ59*EA59*EB59)</f>
        <v>0</v>
      </c>
      <c r="EE58" s="940"/>
      <c r="EF58" s="1016"/>
      <c r="EH58" s="1049"/>
      <c r="EI58" s="460" t="s">
        <v>59</v>
      </c>
      <c r="EJ58" s="460" t="s">
        <v>73</v>
      </c>
      <c r="EK58" s="461" t="s">
        <v>4</v>
      </c>
      <c r="EL58" s="460" t="s">
        <v>59</v>
      </c>
      <c r="EM58" s="460" t="s">
        <v>73</v>
      </c>
      <c r="EN58" s="461" t="s">
        <v>4</v>
      </c>
      <c r="EO58" s="460" t="s">
        <v>59</v>
      </c>
      <c r="EP58" s="460" t="s">
        <v>73</v>
      </c>
      <c r="EQ58" s="461" t="s">
        <v>4</v>
      </c>
      <c r="ER58" s="460" t="s">
        <v>59</v>
      </c>
      <c r="ES58" s="460" t="s">
        <v>73</v>
      </c>
      <c r="ET58" s="461" t="s">
        <v>4</v>
      </c>
      <c r="EU58" s="460" t="s">
        <v>59</v>
      </c>
      <c r="EV58" s="460" t="s">
        <v>73</v>
      </c>
      <c r="EW58" s="461" t="s">
        <v>4</v>
      </c>
      <c r="EX58" s="460" t="s">
        <v>59</v>
      </c>
      <c r="EY58" s="460" t="s">
        <v>73</v>
      </c>
      <c r="EZ58" s="473" t="s">
        <v>4</v>
      </c>
      <c r="FA58" s="1004"/>
      <c r="FB58" s="1005">
        <f>(EI59*EJ59*EK59)+(EL59*EM59*EN59)+(EO59*EP59*EQ59)+(ER59*ES59*ET59)+(EU59*EV59*EW59)+(EX59*EY59*EZ59)</f>
        <v>0</v>
      </c>
      <c r="FC58" s="940"/>
      <c r="FD58" s="1016"/>
      <c r="FF58" s="1062"/>
      <c r="FG58" s="460" t="s">
        <v>59</v>
      </c>
      <c r="FH58" s="460" t="s">
        <v>73</v>
      </c>
      <c r="FI58" s="461" t="s">
        <v>4</v>
      </c>
      <c r="FJ58" s="460" t="s">
        <v>59</v>
      </c>
      <c r="FK58" s="460" t="s">
        <v>73</v>
      </c>
      <c r="FL58" s="461" t="s">
        <v>4</v>
      </c>
      <c r="FM58" s="460" t="s">
        <v>59</v>
      </c>
      <c r="FN58" s="460" t="s">
        <v>73</v>
      </c>
      <c r="FO58" s="461" t="s">
        <v>4</v>
      </c>
      <c r="FP58" s="460" t="s">
        <v>59</v>
      </c>
      <c r="FQ58" s="460" t="s">
        <v>73</v>
      </c>
      <c r="FR58" s="461" t="s">
        <v>4</v>
      </c>
      <c r="FS58" s="460" t="s">
        <v>59</v>
      </c>
      <c r="FT58" s="460" t="s">
        <v>73</v>
      </c>
      <c r="FU58" s="461" t="s">
        <v>4</v>
      </c>
      <c r="FV58" s="460" t="s">
        <v>59</v>
      </c>
      <c r="FW58" s="460" t="s">
        <v>73</v>
      </c>
      <c r="FX58" s="473" t="s">
        <v>4</v>
      </c>
      <c r="FY58" s="1004"/>
      <c r="FZ58" s="1005">
        <f>(FG59*FH59*FI59)+(FJ59*FK59*FL59)+(FM59*FN59*FO59)+(FP59*FQ59*FR59)+(FS59*FT59*FU59)+(FV59*FW59*FX59)</f>
        <v>0</v>
      </c>
      <c r="GA58" s="940"/>
      <c r="GB58" s="1016"/>
      <c r="GD58" s="1039"/>
      <c r="GE58" s="460" t="s">
        <v>59</v>
      </c>
      <c r="GF58" s="460" t="s">
        <v>73</v>
      </c>
      <c r="GG58" s="461" t="s">
        <v>4</v>
      </c>
      <c r="GH58" s="460" t="s">
        <v>59</v>
      </c>
      <c r="GI58" s="460" t="s">
        <v>73</v>
      </c>
      <c r="GJ58" s="461" t="s">
        <v>4</v>
      </c>
      <c r="GK58" s="460" t="s">
        <v>59</v>
      </c>
      <c r="GL58" s="460" t="s">
        <v>73</v>
      </c>
      <c r="GM58" s="461" t="s">
        <v>4</v>
      </c>
      <c r="GN58" s="460" t="s">
        <v>59</v>
      </c>
      <c r="GO58" s="460" t="s">
        <v>73</v>
      </c>
      <c r="GP58" s="461" t="s">
        <v>4</v>
      </c>
      <c r="GQ58" s="460" t="s">
        <v>59</v>
      </c>
      <c r="GR58" s="460" t="s">
        <v>73</v>
      </c>
      <c r="GS58" s="461" t="s">
        <v>4</v>
      </c>
      <c r="GT58" s="460" t="s">
        <v>59</v>
      </c>
      <c r="GU58" s="460" t="s">
        <v>73</v>
      </c>
      <c r="GV58" s="473" t="s">
        <v>4</v>
      </c>
      <c r="GW58" s="1004"/>
      <c r="GX58" s="1005">
        <f>(GE59*GF59*GG59)+(GH59*GI59*GJ59)+(GK59*GL59*GM59)+(GN59*GO59*GP59)+(GQ59*GR59*GS59)+(GT59*GU59*GV59)</f>
        <v>0</v>
      </c>
      <c r="GY58" s="940"/>
      <c r="GZ58" s="1016"/>
      <c r="HB58" s="1052"/>
      <c r="HC58" s="491" t="s">
        <v>59</v>
      </c>
      <c r="HD58" s="491" t="s">
        <v>73</v>
      </c>
      <c r="HE58" s="492" t="s">
        <v>4</v>
      </c>
      <c r="HF58" s="491" t="s">
        <v>59</v>
      </c>
      <c r="HG58" s="491" t="s">
        <v>73</v>
      </c>
      <c r="HH58" s="492" t="s">
        <v>4</v>
      </c>
      <c r="HI58" s="491" t="s">
        <v>59</v>
      </c>
      <c r="HJ58" s="491" t="s">
        <v>73</v>
      </c>
      <c r="HK58" s="492" t="s">
        <v>4</v>
      </c>
      <c r="HL58" s="491" t="s">
        <v>59</v>
      </c>
      <c r="HM58" s="491" t="s">
        <v>73</v>
      </c>
      <c r="HN58" s="492" t="s">
        <v>4</v>
      </c>
      <c r="HO58" s="491" t="s">
        <v>59</v>
      </c>
      <c r="HP58" s="491" t="s">
        <v>73</v>
      </c>
      <c r="HQ58" s="492" t="s">
        <v>4</v>
      </c>
      <c r="HR58" s="491" t="s">
        <v>59</v>
      </c>
      <c r="HS58" s="491" t="s">
        <v>73</v>
      </c>
      <c r="HT58" s="493" t="s">
        <v>4</v>
      </c>
      <c r="HU58" s="1071"/>
      <c r="HV58" s="1072">
        <f>(HC59*HD59*HE59)+(HF59*HG59*HH59)+(HI59*HJ59*HK59)+(HL59*HM59*HN59)+(HO59*HP59*HQ59)+(HR59*HS59*HT59)</f>
        <v>0</v>
      </c>
      <c r="HW58" s="1068"/>
      <c r="HX58" s="1070"/>
      <c r="HZ58" s="1065"/>
      <c r="IA58" s="460" t="s">
        <v>59</v>
      </c>
      <c r="IB58" s="460" t="s">
        <v>73</v>
      </c>
      <c r="IC58" s="461" t="s">
        <v>4</v>
      </c>
      <c r="ID58" s="460" t="s">
        <v>59</v>
      </c>
      <c r="IE58" s="460" t="s">
        <v>73</v>
      </c>
      <c r="IF58" s="461" t="s">
        <v>4</v>
      </c>
      <c r="IG58" s="460" t="s">
        <v>59</v>
      </c>
      <c r="IH58" s="460" t="s">
        <v>73</v>
      </c>
      <c r="II58" s="461" t="s">
        <v>4</v>
      </c>
      <c r="IJ58" s="460" t="s">
        <v>59</v>
      </c>
      <c r="IK58" s="460" t="s">
        <v>73</v>
      </c>
      <c r="IL58" s="461" t="s">
        <v>4</v>
      </c>
      <c r="IM58" s="460" t="s">
        <v>59</v>
      </c>
      <c r="IN58" s="460" t="s">
        <v>73</v>
      </c>
      <c r="IO58" s="461" t="s">
        <v>4</v>
      </c>
      <c r="IP58" s="460" t="s">
        <v>59</v>
      </c>
      <c r="IQ58" s="460" t="s">
        <v>73</v>
      </c>
      <c r="IR58" s="473" t="s">
        <v>4</v>
      </c>
      <c r="IS58" s="1004"/>
      <c r="IT58" s="1005">
        <f>(IA59*IB59*IC59)+(ID59*IE59*IF59)+(IG59*IH59*II59)+(IJ59*IK59*IL59)+(IM59*IN59*IO59)+(IP59*IQ59*IR59)</f>
        <v>0</v>
      </c>
      <c r="IU58" s="940"/>
      <c r="IV58" s="1016"/>
      <c r="IX58" s="1042"/>
      <c r="IY58" s="460" t="s">
        <v>59</v>
      </c>
      <c r="IZ58" s="460" t="s">
        <v>73</v>
      </c>
      <c r="JA58" s="461" t="s">
        <v>4</v>
      </c>
      <c r="JB58" s="460" t="s">
        <v>59</v>
      </c>
      <c r="JC58" s="460" t="s">
        <v>73</v>
      </c>
      <c r="JD58" s="461" t="s">
        <v>4</v>
      </c>
      <c r="JE58" s="460" t="s">
        <v>59</v>
      </c>
      <c r="JF58" s="460" t="s">
        <v>73</v>
      </c>
      <c r="JG58" s="461" t="s">
        <v>4</v>
      </c>
      <c r="JH58" s="460" t="s">
        <v>59</v>
      </c>
      <c r="JI58" s="460" t="s">
        <v>73</v>
      </c>
      <c r="JJ58" s="461" t="s">
        <v>4</v>
      </c>
      <c r="JK58" s="460" t="s">
        <v>59</v>
      </c>
      <c r="JL58" s="460" t="s">
        <v>73</v>
      </c>
      <c r="JM58" s="461" t="s">
        <v>4</v>
      </c>
      <c r="JN58" s="460" t="s">
        <v>59</v>
      </c>
      <c r="JO58" s="460" t="s">
        <v>73</v>
      </c>
      <c r="JP58" s="473" t="s">
        <v>4</v>
      </c>
      <c r="JQ58" s="1004"/>
      <c r="JR58" s="1005">
        <f>(IY59*IZ59*JA59)+(JB59*JC59*JD59)+(JE59*JF59*JG59)+(JH59*JI59*JJ59)+(JK59*JL59*JM59)+(JN59*JO59*JP59)</f>
        <v>0</v>
      </c>
      <c r="JS58" s="940"/>
      <c r="JT58" s="1016"/>
      <c r="JV58" s="1052"/>
      <c r="JW58" s="491" t="s">
        <v>59</v>
      </c>
      <c r="JX58" s="491" t="s">
        <v>73</v>
      </c>
      <c r="JY58" s="492" t="s">
        <v>4</v>
      </c>
      <c r="JZ58" s="491" t="s">
        <v>59</v>
      </c>
      <c r="KA58" s="491" t="s">
        <v>73</v>
      </c>
      <c r="KB58" s="492" t="s">
        <v>4</v>
      </c>
      <c r="KC58" s="491" t="s">
        <v>59</v>
      </c>
      <c r="KD58" s="491" t="s">
        <v>73</v>
      </c>
      <c r="KE58" s="492" t="s">
        <v>4</v>
      </c>
      <c r="KF58" s="491" t="s">
        <v>59</v>
      </c>
      <c r="KG58" s="491" t="s">
        <v>73</v>
      </c>
      <c r="KH58" s="492" t="s">
        <v>4</v>
      </c>
      <c r="KI58" s="491" t="s">
        <v>59</v>
      </c>
      <c r="KJ58" s="491" t="s">
        <v>73</v>
      </c>
      <c r="KK58" s="492" t="s">
        <v>4</v>
      </c>
      <c r="KL58" s="491" t="s">
        <v>59</v>
      </c>
      <c r="KM58" s="491" t="s">
        <v>73</v>
      </c>
      <c r="KN58" s="493" t="s">
        <v>4</v>
      </c>
      <c r="KO58" s="1071"/>
      <c r="KP58" s="1072">
        <f>(JW59*JX59*JY59)+(JZ59*KA59*KB59)+(KC59*KD59*KE59)+(KF59*KG59*KH59)+(KI59*KJ59*KK59)+(KL59*KM59*KN59)</f>
        <v>0</v>
      </c>
      <c r="KQ58" s="1068"/>
      <c r="KR58" s="1070"/>
      <c r="KT58" s="1075"/>
      <c r="KU58" s="460" t="s">
        <v>59</v>
      </c>
      <c r="KV58" s="460" t="s">
        <v>73</v>
      </c>
      <c r="KW58" s="461" t="s">
        <v>4</v>
      </c>
      <c r="KX58" s="460" t="s">
        <v>59</v>
      </c>
      <c r="KY58" s="460" t="s">
        <v>73</v>
      </c>
      <c r="KZ58" s="461" t="s">
        <v>4</v>
      </c>
      <c r="LA58" s="460" t="s">
        <v>59</v>
      </c>
      <c r="LB58" s="460" t="s">
        <v>73</v>
      </c>
      <c r="LC58" s="461" t="s">
        <v>4</v>
      </c>
      <c r="LD58" s="460" t="s">
        <v>59</v>
      </c>
      <c r="LE58" s="460" t="s">
        <v>73</v>
      </c>
      <c r="LF58" s="461" t="s">
        <v>4</v>
      </c>
      <c r="LG58" s="460" t="s">
        <v>59</v>
      </c>
      <c r="LH58" s="460" t="s">
        <v>73</v>
      </c>
      <c r="LI58" s="461" t="s">
        <v>4</v>
      </c>
      <c r="LJ58" s="460" t="s">
        <v>59</v>
      </c>
      <c r="LK58" s="460" t="s">
        <v>73</v>
      </c>
      <c r="LL58" s="473" t="s">
        <v>4</v>
      </c>
      <c r="LM58" s="1004"/>
      <c r="LN58" s="1005">
        <f>(KU59*KV59*KW59)+(KX59*KY59*KZ59)+(LA59*LB59*LC59)+(LD59*LE59*LF59)+(LG59*LH59*LI59)+(LJ59*LK59*LL59)</f>
        <v>0</v>
      </c>
      <c r="LO58" s="940"/>
      <c r="LP58" s="1016"/>
    </row>
    <row r="59" spans="1:328" ht="15">
      <c r="A59"/>
      <c r="B59"/>
      <c r="C59"/>
      <c r="D59"/>
      <c r="E59"/>
      <c r="F59"/>
      <c r="G59"/>
      <c r="H59"/>
      <c r="I59"/>
      <c r="R59" s="872"/>
      <c r="S59" s="229">
        <v>4</v>
      </c>
      <c r="T59" s="229">
        <f>((10*1)+(6*3))/4</f>
        <v>7</v>
      </c>
      <c r="U59" s="229">
        <f>((36*1)+(68*3))/4</f>
        <v>60</v>
      </c>
      <c r="V59" s="229">
        <v>4</v>
      </c>
      <c r="W59" s="229">
        <v>12</v>
      </c>
      <c r="X59" s="229">
        <f>((15.9*1)+(31.8*3))/4</f>
        <v>27.825000000000003</v>
      </c>
      <c r="Y59" s="229">
        <v>4</v>
      </c>
      <c r="Z59" s="229">
        <f>((12*1)+(8*3))/4</f>
        <v>9</v>
      </c>
      <c r="AA59" s="229">
        <f>((11.3*1)+(24.9*3))/4</f>
        <v>21.499999999999996</v>
      </c>
      <c r="AB59" s="229">
        <v>4</v>
      </c>
      <c r="AC59" s="229">
        <f>((12*3)+(8*1))/4</f>
        <v>11</v>
      </c>
      <c r="AD59" s="229">
        <f>((2.5*1)+(5*2)+(7.5*1))/4</f>
        <v>5</v>
      </c>
      <c r="AE59" s="229">
        <v>4</v>
      </c>
      <c r="AF59" s="229">
        <f>((12*2)+(8*2))/4</f>
        <v>10</v>
      </c>
      <c r="AG59" s="229">
        <f>((9.1*1)+(20.4*1)+(22.7*2))/4</f>
        <v>18.725000000000001</v>
      </c>
      <c r="AH59" s="233"/>
      <c r="AI59" s="233"/>
      <c r="AJ59" s="472"/>
      <c r="AK59" s="1007"/>
      <c r="AL59" s="1002"/>
      <c r="AM59" s="941"/>
      <c r="AN59" s="855"/>
      <c r="AO59" s="118"/>
      <c r="AP59" s="875"/>
      <c r="AQ59" s="305">
        <v>4</v>
      </c>
      <c r="AR59" s="305">
        <f>((12*1)+(8*1)+(10*2))/4</f>
        <v>10</v>
      </c>
      <c r="AS59" s="305">
        <f>((27*1)+(59*3))/4</f>
        <v>51</v>
      </c>
      <c r="AT59" s="305">
        <v>4</v>
      </c>
      <c r="AU59" s="306">
        <f>((12*1)+(8*2)+(10*1))/4</f>
        <v>9.5</v>
      </c>
      <c r="AV59" s="305">
        <f>((11.3*1)+(20.1*3))/4</f>
        <v>17.900000000000002</v>
      </c>
      <c r="AW59" s="305">
        <v>4</v>
      </c>
      <c r="AX59" s="305">
        <f>((12*2)+(14*1)+(8*1))/4</f>
        <v>11.5</v>
      </c>
      <c r="AY59" s="305">
        <f>((15.9*1)+(27.2*1)+(29.5*1)+(31.8*1))/4</f>
        <v>26.099999999999998</v>
      </c>
      <c r="AZ59" s="305">
        <v>4</v>
      </c>
      <c r="BA59" s="305">
        <f>((12*1)+(16*3))/4</f>
        <v>15</v>
      </c>
      <c r="BB59" s="305">
        <f>((15.9*1)+(34*3))/4</f>
        <v>29.475000000000001</v>
      </c>
      <c r="BC59" s="305">
        <v>4</v>
      </c>
      <c r="BD59" s="305">
        <f>((12*1)+(8*3))/4</f>
        <v>9</v>
      </c>
      <c r="BE59" s="305">
        <f>((10*1)+(17.5*3))/4</f>
        <v>15.625</v>
      </c>
      <c r="BF59" s="233"/>
      <c r="BG59" s="233"/>
      <c r="BH59" s="472"/>
      <c r="BI59" s="1007"/>
      <c r="BJ59" s="1003"/>
      <c r="BK59" s="941"/>
      <c r="BL59" s="1016"/>
      <c r="BM59" s="118"/>
      <c r="BN59" s="875"/>
      <c r="BO59" s="233"/>
      <c r="BP59" s="233"/>
      <c r="BQ59" s="233"/>
      <c r="BR59" s="233"/>
      <c r="BS59" s="233"/>
      <c r="BT59" s="233"/>
      <c r="BU59" s="233"/>
      <c r="BV59" s="233"/>
      <c r="BW59" s="233"/>
      <c r="BX59" s="233"/>
      <c r="BY59" s="233"/>
      <c r="BZ59" s="233"/>
      <c r="CA59" s="233"/>
      <c r="CB59" s="233"/>
      <c r="CC59" s="233"/>
      <c r="CD59" s="233"/>
      <c r="CE59" s="233"/>
      <c r="CF59" s="477"/>
      <c r="CG59" s="1007"/>
      <c r="CH59" s="1006"/>
      <c r="CI59" s="941"/>
      <c r="CJ59" s="1016"/>
      <c r="CL59" s="1063"/>
      <c r="CM59" s="462"/>
      <c r="CN59" s="462"/>
      <c r="CO59" s="462"/>
      <c r="CP59" s="462"/>
      <c r="CQ59" s="462"/>
      <c r="CR59" s="462"/>
      <c r="CS59" s="462"/>
      <c r="CT59" s="462"/>
      <c r="CU59" s="462"/>
      <c r="CV59" s="462"/>
      <c r="CW59" s="462"/>
      <c r="CX59" s="462"/>
      <c r="CY59" s="462"/>
      <c r="CZ59" s="462"/>
      <c r="DA59" s="462"/>
      <c r="DB59" s="462"/>
      <c r="DC59" s="462"/>
      <c r="DD59" s="474"/>
      <c r="DE59" s="1007"/>
      <c r="DF59" s="1006"/>
      <c r="DG59" s="941"/>
      <c r="DH59" s="1016"/>
      <c r="DJ59" s="1076"/>
      <c r="DK59" s="462"/>
      <c r="DL59" s="462"/>
      <c r="DM59" s="462"/>
      <c r="DN59" s="462"/>
      <c r="DO59" s="462"/>
      <c r="DP59" s="462"/>
      <c r="DQ59" s="462"/>
      <c r="DR59" s="462"/>
      <c r="DS59" s="462"/>
      <c r="DT59" s="462"/>
      <c r="DU59" s="462"/>
      <c r="DV59" s="462"/>
      <c r="DW59" s="462"/>
      <c r="DX59" s="462"/>
      <c r="DY59" s="462"/>
      <c r="DZ59" s="462"/>
      <c r="EA59" s="462"/>
      <c r="EB59" s="474"/>
      <c r="EC59" s="1007"/>
      <c r="ED59" s="1006"/>
      <c r="EE59" s="941"/>
      <c r="EF59" s="1016"/>
      <c r="EH59" s="1050"/>
      <c r="EI59" s="462"/>
      <c r="EJ59" s="462"/>
      <c r="EK59" s="462"/>
      <c r="EL59" s="462"/>
      <c r="EM59" s="462"/>
      <c r="EN59" s="462"/>
      <c r="EO59" s="462"/>
      <c r="EP59" s="462"/>
      <c r="EQ59" s="462"/>
      <c r="ER59" s="462"/>
      <c r="ES59" s="462"/>
      <c r="ET59" s="462"/>
      <c r="EU59" s="462"/>
      <c r="EV59" s="462"/>
      <c r="EW59" s="462"/>
      <c r="EX59" s="462"/>
      <c r="EY59" s="462"/>
      <c r="EZ59" s="474"/>
      <c r="FA59" s="1007"/>
      <c r="FB59" s="1006"/>
      <c r="FC59" s="941"/>
      <c r="FD59" s="1016"/>
      <c r="FF59" s="1063"/>
      <c r="FG59" s="462"/>
      <c r="FH59" s="462"/>
      <c r="FI59" s="462"/>
      <c r="FJ59" s="462"/>
      <c r="FK59" s="462"/>
      <c r="FL59" s="462"/>
      <c r="FM59" s="462"/>
      <c r="FN59" s="462"/>
      <c r="FO59" s="462"/>
      <c r="FP59" s="462"/>
      <c r="FQ59" s="462"/>
      <c r="FR59" s="462"/>
      <c r="FS59" s="462"/>
      <c r="FT59" s="462"/>
      <c r="FU59" s="462"/>
      <c r="FV59" s="462"/>
      <c r="FW59" s="462"/>
      <c r="FX59" s="474"/>
      <c r="FY59" s="1007"/>
      <c r="FZ59" s="1006"/>
      <c r="GA59" s="941"/>
      <c r="GB59" s="1016"/>
      <c r="GD59" s="1040"/>
      <c r="GE59" s="462"/>
      <c r="GF59" s="462"/>
      <c r="GG59" s="462"/>
      <c r="GH59" s="462"/>
      <c r="GI59" s="462"/>
      <c r="GJ59" s="462"/>
      <c r="GK59" s="462"/>
      <c r="GL59" s="462"/>
      <c r="GM59" s="462"/>
      <c r="GN59" s="462"/>
      <c r="GO59" s="462"/>
      <c r="GP59" s="462"/>
      <c r="GQ59" s="462"/>
      <c r="GR59" s="462"/>
      <c r="GS59" s="462"/>
      <c r="GT59" s="462"/>
      <c r="GU59" s="462"/>
      <c r="GV59" s="474"/>
      <c r="GW59" s="1007"/>
      <c r="GX59" s="1006"/>
      <c r="GY59" s="941"/>
      <c r="GZ59" s="1016"/>
      <c r="HB59" s="1053"/>
      <c r="HC59" s="494"/>
      <c r="HD59" s="494"/>
      <c r="HE59" s="494"/>
      <c r="HF59" s="494"/>
      <c r="HG59" s="494"/>
      <c r="HH59" s="494"/>
      <c r="HI59" s="494"/>
      <c r="HJ59" s="494"/>
      <c r="HK59" s="494"/>
      <c r="HL59" s="494"/>
      <c r="HM59" s="494"/>
      <c r="HN59" s="494"/>
      <c r="HO59" s="494"/>
      <c r="HP59" s="494"/>
      <c r="HQ59" s="494"/>
      <c r="HR59" s="494"/>
      <c r="HS59" s="494"/>
      <c r="HT59" s="495"/>
      <c r="HU59" s="1081"/>
      <c r="HV59" s="1073"/>
      <c r="HW59" s="1069"/>
      <c r="HX59" s="1070"/>
      <c r="HZ59" s="1066"/>
      <c r="IA59" s="462"/>
      <c r="IB59" s="462"/>
      <c r="IC59" s="462"/>
      <c r="ID59" s="462"/>
      <c r="IE59" s="462"/>
      <c r="IF59" s="462"/>
      <c r="IG59" s="462"/>
      <c r="IH59" s="462"/>
      <c r="II59" s="462"/>
      <c r="IJ59" s="462"/>
      <c r="IK59" s="462"/>
      <c r="IL59" s="462"/>
      <c r="IM59" s="462"/>
      <c r="IN59" s="462"/>
      <c r="IO59" s="462"/>
      <c r="IP59" s="462"/>
      <c r="IQ59" s="462"/>
      <c r="IR59" s="474"/>
      <c r="IS59" s="1007"/>
      <c r="IT59" s="1006"/>
      <c r="IU59" s="941"/>
      <c r="IV59" s="1016"/>
      <c r="IX59" s="1043"/>
      <c r="IY59" s="462"/>
      <c r="IZ59" s="462"/>
      <c r="JA59" s="462"/>
      <c r="JB59" s="462"/>
      <c r="JC59" s="462"/>
      <c r="JD59" s="462"/>
      <c r="JE59" s="462"/>
      <c r="JF59" s="462"/>
      <c r="JG59" s="462"/>
      <c r="JH59" s="462"/>
      <c r="JI59" s="462"/>
      <c r="JJ59" s="462"/>
      <c r="JK59" s="462"/>
      <c r="JL59" s="462"/>
      <c r="JM59" s="462"/>
      <c r="JN59" s="462"/>
      <c r="JO59" s="462"/>
      <c r="JP59" s="474"/>
      <c r="JQ59" s="1007"/>
      <c r="JR59" s="1006"/>
      <c r="JS59" s="941"/>
      <c r="JT59" s="1016"/>
      <c r="JV59" s="1053"/>
      <c r="JW59" s="494"/>
      <c r="JX59" s="494"/>
      <c r="JY59" s="494"/>
      <c r="JZ59" s="494"/>
      <c r="KA59" s="494"/>
      <c r="KB59" s="494"/>
      <c r="KC59" s="494"/>
      <c r="KD59" s="494"/>
      <c r="KE59" s="494"/>
      <c r="KF59" s="494"/>
      <c r="KG59" s="494"/>
      <c r="KH59" s="494"/>
      <c r="KI59" s="494"/>
      <c r="KJ59" s="494"/>
      <c r="KK59" s="494"/>
      <c r="KL59" s="494"/>
      <c r="KM59" s="494"/>
      <c r="KN59" s="495"/>
      <c r="KO59" s="1081"/>
      <c r="KP59" s="1073"/>
      <c r="KQ59" s="1069"/>
      <c r="KR59" s="1070"/>
      <c r="KT59" s="1076"/>
      <c r="KU59" s="462"/>
      <c r="KV59" s="462"/>
      <c r="KW59" s="462"/>
      <c r="KX59" s="462"/>
      <c r="KY59" s="462"/>
      <c r="KZ59" s="462"/>
      <c r="LA59" s="462"/>
      <c r="LB59" s="462"/>
      <c r="LC59" s="462"/>
      <c r="LD59" s="462"/>
      <c r="LE59" s="462"/>
      <c r="LF59" s="462"/>
      <c r="LG59" s="462"/>
      <c r="LH59" s="462"/>
      <c r="LI59" s="462"/>
      <c r="LJ59" s="462"/>
      <c r="LK59" s="462"/>
      <c r="LL59" s="474"/>
      <c r="LM59" s="1007"/>
      <c r="LN59" s="1006"/>
      <c r="LO59" s="941"/>
      <c r="LP59" s="1016"/>
    </row>
    <row r="60" spans="1:328" ht="15">
      <c r="A60"/>
      <c r="B60"/>
      <c r="C60"/>
      <c r="D60"/>
      <c r="E60"/>
      <c r="F60"/>
      <c r="G60"/>
      <c r="H60"/>
      <c r="I60"/>
      <c r="R60" s="856">
        <v>46042</v>
      </c>
      <c r="S60" s="848" t="s">
        <v>70</v>
      </c>
      <c r="T60" s="848"/>
      <c r="U60" s="848"/>
      <c r="V60" s="859"/>
      <c r="W60" s="859"/>
      <c r="X60" s="859"/>
      <c r="Y60" s="834"/>
      <c r="Z60" s="835"/>
      <c r="AA60" s="836"/>
      <c r="AB60" s="867"/>
      <c r="AC60" s="868"/>
      <c r="AD60" s="869"/>
      <c r="AE60" s="834"/>
      <c r="AF60" s="835"/>
      <c r="AG60" s="836"/>
      <c r="AH60" s="834"/>
      <c r="AI60" s="835"/>
      <c r="AJ60" s="835"/>
      <c r="AK60" s="459" t="s">
        <v>425</v>
      </c>
      <c r="AL60" s="1">
        <f t="shared" ref="AL60" si="88">COUNTA(S60:AJ60)</f>
        <v>1</v>
      </c>
      <c r="AM60" s="939"/>
      <c r="AN60" s="855">
        <v>77.3</v>
      </c>
      <c r="AO60" s="118"/>
      <c r="AP60" s="876">
        <v>46073</v>
      </c>
      <c r="AQ60" s="849" t="s">
        <v>434</v>
      </c>
      <c r="AR60" s="849"/>
      <c r="AS60" s="849"/>
      <c r="AT60" s="848" t="s">
        <v>68</v>
      </c>
      <c r="AU60" s="848"/>
      <c r="AV60" s="848"/>
      <c r="AW60" s="848" t="s">
        <v>380</v>
      </c>
      <c r="AX60" s="848"/>
      <c r="AY60" s="848"/>
      <c r="AZ60" s="848" t="s">
        <v>391</v>
      </c>
      <c r="BA60" s="848"/>
      <c r="BB60" s="848"/>
      <c r="BC60" s="984" t="s">
        <v>617</v>
      </c>
      <c r="BD60" s="985"/>
      <c r="BE60" s="986"/>
      <c r="BF60" s="834"/>
      <c r="BG60" s="835"/>
      <c r="BH60" s="835"/>
      <c r="BI60" s="459" t="s">
        <v>425</v>
      </c>
      <c r="BJ60" s="482">
        <f t="shared" si="65"/>
        <v>5</v>
      </c>
      <c r="BK60" s="939"/>
      <c r="BL60" s="1016">
        <v>78.400000000000006</v>
      </c>
      <c r="BM60" s="118"/>
      <c r="BN60" s="876">
        <v>46101</v>
      </c>
      <c r="BO60" s="973" t="s">
        <v>72</v>
      </c>
      <c r="BP60" s="973"/>
      <c r="BQ60" s="973"/>
      <c r="BR60" s="977" t="s">
        <v>102</v>
      </c>
      <c r="BS60" s="977"/>
      <c r="BT60" s="977"/>
      <c r="BU60" s="977" t="s">
        <v>502</v>
      </c>
      <c r="BV60" s="977"/>
      <c r="BW60" s="977"/>
      <c r="BX60" s="848" t="s">
        <v>380</v>
      </c>
      <c r="BY60" s="848"/>
      <c r="BZ60" s="848"/>
      <c r="CA60" s="978" t="s">
        <v>78</v>
      </c>
      <c r="CB60" s="979"/>
      <c r="CC60" s="980"/>
      <c r="CD60" s="834"/>
      <c r="CE60" s="835"/>
      <c r="CF60" s="835"/>
      <c r="CG60" s="459" t="s">
        <v>425</v>
      </c>
      <c r="CH60" s="482">
        <f t="shared" ref="CH60" si="89">COUNTA(BO60:CF60)</f>
        <v>5</v>
      </c>
      <c r="CI60" s="939">
        <v>5</v>
      </c>
      <c r="CJ60" s="1016">
        <v>77.8</v>
      </c>
      <c r="CL60" s="1064">
        <v>46132</v>
      </c>
      <c r="CM60" s="960"/>
      <c r="CN60" s="960"/>
      <c r="CO60" s="960"/>
      <c r="CP60" s="960"/>
      <c r="CQ60" s="960"/>
      <c r="CR60" s="960"/>
      <c r="CS60" s="960"/>
      <c r="CT60" s="960"/>
      <c r="CU60" s="960"/>
      <c r="CV60" s="960"/>
      <c r="CW60" s="960"/>
      <c r="CX60" s="960"/>
      <c r="CY60" s="961"/>
      <c r="CZ60" s="962"/>
      <c r="DA60" s="963"/>
      <c r="DB60" s="961"/>
      <c r="DC60" s="962"/>
      <c r="DD60" s="962"/>
      <c r="DE60" s="459" t="s">
        <v>425</v>
      </c>
      <c r="DF60" s="482">
        <f>COUNTA(CM60:DD60)</f>
        <v>0</v>
      </c>
      <c r="DG60" s="939"/>
      <c r="DH60" s="1016"/>
      <c r="DJ60" s="1038">
        <v>46162</v>
      </c>
      <c r="DK60" s="960"/>
      <c r="DL60" s="960"/>
      <c r="DM60" s="960"/>
      <c r="DN60" s="960"/>
      <c r="DO60" s="960"/>
      <c r="DP60" s="960"/>
      <c r="DQ60" s="960"/>
      <c r="DR60" s="960"/>
      <c r="DS60" s="960"/>
      <c r="DT60" s="960"/>
      <c r="DU60" s="960"/>
      <c r="DV60" s="960"/>
      <c r="DW60" s="961"/>
      <c r="DX60" s="962"/>
      <c r="DY60" s="963"/>
      <c r="DZ60" s="961"/>
      <c r="EA60" s="962"/>
      <c r="EB60" s="962"/>
      <c r="EC60" s="459" t="s">
        <v>425</v>
      </c>
      <c r="ED60" s="482">
        <f>COUNTA(DK60:EB60)</f>
        <v>0</v>
      </c>
      <c r="EE60" s="939"/>
      <c r="EF60" s="1016"/>
      <c r="EH60" s="1051">
        <v>46193</v>
      </c>
      <c r="EI60" s="1023"/>
      <c r="EJ60" s="1023"/>
      <c r="EK60" s="1023"/>
      <c r="EL60" s="1023"/>
      <c r="EM60" s="1023"/>
      <c r="EN60" s="1023"/>
      <c r="EO60" s="1023"/>
      <c r="EP60" s="1023"/>
      <c r="EQ60" s="1023"/>
      <c r="ER60" s="1023"/>
      <c r="ES60" s="1023"/>
      <c r="ET60" s="1023"/>
      <c r="EU60" s="1021"/>
      <c r="EV60" s="1022"/>
      <c r="EW60" s="1024"/>
      <c r="EX60" s="1021"/>
      <c r="EY60" s="1022"/>
      <c r="EZ60" s="1022"/>
      <c r="FA60" s="489" t="s">
        <v>425</v>
      </c>
      <c r="FB60" s="496">
        <f>COUNTA(EI60:EZ60)</f>
        <v>0</v>
      </c>
      <c r="FC60" s="1067"/>
      <c r="FD60" s="1070"/>
      <c r="FF60" s="1064">
        <v>46223</v>
      </c>
      <c r="FG60" s="960"/>
      <c r="FH60" s="960"/>
      <c r="FI60" s="960"/>
      <c r="FJ60" s="960"/>
      <c r="FK60" s="960"/>
      <c r="FL60" s="960"/>
      <c r="FM60" s="960"/>
      <c r="FN60" s="960"/>
      <c r="FO60" s="960"/>
      <c r="FP60" s="960"/>
      <c r="FQ60" s="960"/>
      <c r="FR60" s="960"/>
      <c r="FS60" s="961"/>
      <c r="FT60" s="962"/>
      <c r="FU60" s="963"/>
      <c r="FV60" s="961"/>
      <c r="FW60" s="962"/>
      <c r="FX60" s="962"/>
      <c r="FY60" s="459" t="s">
        <v>425</v>
      </c>
      <c r="FZ60" s="482">
        <f>COUNTA(FG60:FX60)</f>
        <v>0</v>
      </c>
      <c r="GA60" s="939"/>
      <c r="GB60" s="1016"/>
      <c r="GD60" s="1041">
        <v>46254</v>
      </c>
      <c r="GE60" s="960"/>
      <c r="GF60" s="960"/>
      <c r="GG60" s="960"/>
      <c r="GH60" s="960"/>
      <c r="GI60" s="960"/>
      <c r="GJ60" s="960"/>
      <c r="GK60" s="960"/>
      <c r="GL60" s="960"/>
      <c r="GM60" s="960"/>
      <c r="GN60" s="960"/>
      <c r="GO60" s="960"/>
      <c r="GP60" s="960"/>
      <c r="GQ60" s="961"/>
      <c r="GR60" s="962"/>
      <c r="GS60" s="963"/>
      <c r="GT60" s="961"/>
      <c r="GU60" s="962"/>
      <c r="GV60" s="962"/>
      <c r="GW60" s="459" t="s">
        <v>425</v>
      </c>
      <c r="GX60" s="482">
        <f>COUNTA(GE60:GV60)</f>
        <v>0</v>
      </c>
      <c r="GY60" s="939"/>
      <c r="GZ60" s="1016"/>
      <c r="HB60" s="1061">
        <v>46285</v>
      </c>
      <c r="HC60" s="960"/>
      <c r="HD60" s="960"/>
      <c r="HE60" s="960"/>
      <c r="HF60" s="960"/>
      <c r="HG60" s="960"/>
      <c r="HH60" s="960"/>
      <c r="HI60" s="960"/>
      <c r="HJ60" s="960"/>
      <c r="HK60" s="960"/>
      <c r="HL60" s="960"/>
      <c r="HM60" s="960"/>
      <c r="HN60" s="960"/>
      <c r="HO60" s="961"/>
      <c r="HP60" s="962"/>
      <c r="HQ60" s="963"/>
      <c r="HR60" s="961"/>
      <c r="HS60" s="962"/>
      <c r="HT60" s="962"/>
      <c r="HU60" s="459" t="s">
        <v>425</v>
      </c>
      <c r="HV60" s="482">
        <f>COUNTA(HC60:HT60)</f>
        <v>0</v>
      </c>
      <c r="HW60" s="939"/>
      <c r="HX60" s="1016"/>
      <c r="HZ60" s="1074">
        <v>46315</v>
      </c>
      <c r="IA60" s="960"/>
      <c r="IB60" s="960"/>
      <c r="IC60" s="960"/>
      <c r="ID60" s="960"/>
      <c r="IE60" s="960"/>
      <c r="IF60" s="960"/>
      <c r="IG60" s="960"/>
      <c r="IH60" s="960"/>
      <c r="II60" s="960"/>
      <c r="IJ60" s="960"/>
      <c r="IK60" s="960"/>
      <c r="IL60" s="960"/>
      <c r="IM60" s="961"/>
      <c r="IN60" s="962"/>
      <c r="IO60" s="963"/>
      <c r="IP60" s="961"/>
      <c r="IQ60" s="962"/>
      <c r="IR60" s="962"/>
      <c r="IS60" s="459" t="s">
        <v>425</v>
      </c>
      <c r="IT60" s="482">
        <f>COUNTA(IA60:IR60)</f>
        <v>0</v>
      </c>
      <c r="IU60" s="939"/>
      <c r="IV60" s="1016"/>
      <c r="IX60" s="1048">
        <v>46346</v>
      </c>
      <c r="IY60" s="960"/>
      <c r="IZ60" s="960"/>
      <c r="JA60" s="960"/>
      <c r="JB60" s="960"/>
      <c r="JC60" s="960"/>
      <c r="JD60" s="960"/>
      <c r="JE60" s="960"/>
      <c r="JF60" s="960"/>
      <c r="JG60" s="960"/>
      <c r="JH60" s="960"/>
      <c r="JI60" s="960"/>
      <c r="JJ60" s="960"/>
      <c r="JK60" s="961"/>
      <c r="JL60" s="962"/>
      <c r="JM60" s="963"/>
      <c r="JN60" s="961"/>
      <c r="JO60" s="962"/>
      <c r="JP60" s="962"/>
      <c r="JQ60" s="459" t="s">
        <v>425</v>
      </c>
      <c r="JR60" s="482">
        <f>COUNTA(IY60:JP60)</f>
        <v>0</v>
      </c>
      <c r="JS60" s="939"/>
      <c r="JT60" s="1016"/>
      <c r="JV60" s="1061">
        <v>46376</v>
      </c>
      <c r="JW60" s="960"/>
      <c r="JX60" s="960"/>
      <c r="JY60" s="960"/>
      <c r="JZ60" s="960"/>
      <c r="KA60" s="960"/>
      <c r="KB60" s="960"/>
      <c r="KC60" s="960"/>
      <c r="KD60" s="960"/>
      <c r="KE60" s="960"/>
      <c r="KF60" s="960"/>
      <c r="KG60" s="960"/>
      <c r="KH60" s="960"/>
      <c r="KI60" s="961"/>
      <c r="KJ60" s="962"/>
      <c r="KK60" s="963"/>
      <c r="KL60" s="961"/>
      <c r="KM60" s="962"/>
      <c r="KN60" s="962"/>
      <c r="KO60" s="459" t="s">
        <v>425</v>
      </c>
      <c r="KP60" s="482">
        <f>COUNTA(JW60:KN60)</f>
        <v>0</v>
      </c>
      <c r="KQ60" s="939"/>
      <c r="KR60" s="1016"/>
      <c r="KT60" s="1038">
        <v>46407</v>
      </c>
      <c r="KU60" s="960"/>
      <c r="KV60" s="960"/>
      <c r="KW60" s="960"/>
      <c r="KX60" s="960"/>
      <c r="KY60" s="960"/>
      <c r="KZ60" s="960"/>
      <c r="LA60" s="960"/>
      <c r="LB60" s="960"/>
      <c r="LC60" s="960"/>
      <c r="LD60" s="960"/>
      <c r="LE60" s="960"/>
      <c r="LF60" s="960"/>
      <c r="LG60" s="961"/>
      <c r="LH60" s="962"/>
      <c r="LI60" s="963"/>
      <c r="LJ60" s="961"/>
      <c r="LK60" s="962"/>
      <c r="LL60" s="962"/>
      <c r="LM60" s="459" t="s">
        <v>425</v>
      </c>
      <c r="LN60" s="482">
        <f>COUNTA(KU60:LL60)</f>
        <v>0</v>
      </c>
      <c r="LO60" s="939"/>
      <c r="LP60" s="1016"/>
    </row>
    <row r="61" spans="1:328" ht="15">
      <c r="A61" s="970" t="s">
        <v>606</v>
      </c>
      <c r="B61" s="729"/>
      <c r="C61" s="729"/>
      <c r="D61" s="729"/>
      <c r="E61" s="729"/>
      <c r="F61"/>
      <c r="G61"/>
      <c r="H61"/>
      <c r="I61"/>
      <c r="R61" s="857"/>
      <c r="S61" s="231" t="s">
        <v>59</v>
      </c>
      <c r="T61" s="231" t="s">
        <v>73</v>
      </c>
      <c r="U61" s="102" t="s">
        <v>4</v>
      </c>
      <c r="V61" s="107" t="s">
        <v>59</v>
      </c>
      <c r="W61" s="107" t="s">
        <v>73</v>
      </c>
      <c r="X61" s="108" t="s">
        <v>4</v>
      </c>
      <c r="Y61" s="107" t="s">
        <v>59</v>
      </c>
      <c r="Z61" s="107" t="s">
        <v>73</v>
      </c>
      <c r="AA61" s="108" t="s">
        <v>4</v>
      </c>
      <c r="AB61" s="107" t="s">
        <v>59</v>
      </c>
      <c r="AC61" s="107" t="s">
        <v>73</v>
      </c>
      <c r="AD61" s="108" t="s">
        <v>4</v>
      </c>
      <c r="AE61" s="107" t="s">
        <v>59</v>
      </c>
      <c r="AF61" s="107" t="s">
        <v>73</v>
      </c>
      <c r="AG61" s="108" t="s">
        <v>4</v>
      </c>
      <c r="AH61" s="107" t="s">
        <v>59</v>
      </c>
      <c r="AI61" s="107" t="s">
        <v>73</v>
      </c>
      <c r="AJ61" s="471" t="s">
        <v>4</v>
      </c>
      <c r="AK61" s="1004">
        <v>53</v>
      </c>
      <c r="AL61" s="1002">
        <f t="shared" ref="AL61" si="90">(S62*T62*U62)+(V62*W62*X62)+(Y62*Z62*AA62)+(AB62*AC62*AD62)+(AE62*AF62*AG62)+(AH62*AI62*AJ62)</f>
        <v>3478.5</v>
      </c>
      <c r="AM61" s="940"/>
      <c r="AN61" s="855"/>
      <c r="AO61" s="118"/>
      <c r="AP61" s="877"/>
      <c r="AQ61" s="231" t="s">
        <v>59</v>
      </c>
      <c r="AR61" s="231" t="s">
        <v>73</v>
      </c>
      <c r="AS61" s="102" t="s">
        <v>4</v>
      </c>
      <c r="AT61" s="231" t="s">
        <v>59</v>
      </c>
      <c r="AU61" s="231" t="s">
        <v>73</v>
      </c>
      <c r="AV61" s="102" t="s">
        <v>4</v>
      </c>
      <c r="AW61" s="231" t="s">
        <v>59</v>
      </c>
      <c r="AX61" s="231" t="s">
        <v>73</v>
      </c>
      <c r="AY61" s="102" t="s">
        <v>4</v>
      </c>
      <c r="AZ61" s="231" t="s">
        <v>59</v>
      </c>
      <c r="BA61" s="231" t="s">
        <v>73</v>
      </c>
      <c r="BB61" s="102" t="s">
        <v>4</v>
      </c>
      <c r="BC61" s="231" t="s">
        <v>59</v>
      </c>
      <c r="BD61" s="231" t="s">
        <v>73</v>
      </c>
      <c r="BE61" s="102" t="s">
        <v>4</v>
      </c>
      <c r="BF61" s="107" t="s">
        <v>59</v>
      </c>
      <c r="BG61" s="107" t="s">
        <v>73</v>
      </c>
      <c r="BH61" s="471" t="s">
        <v>4</v>
      </c>
      <c r="BI61" s="1004">
        <v>57</v>
      </c>
      <c r="BJ61" s="1003">
        <f t="shared" si="69"/>
        <v>6169.9222222222224</v>
      </c>
      <c r="BK61" s="940"/>
      <c r="BL61" s="1016"/>
      <c r="BM61" s="118"/>
      <c r="BN61" s="877"/>
      <c r="BO61" s="303" t="s">
        <v>59</v>
      </c>
      <c r="BP61" s="303" t="s">
        <v>73</v>
      </c>
      <c r="BQ61" s="304" t="s">
        <v>4</v>
      </c>
      <c r="BR61" s="303" t="s">
        <v>59</v>
      </c>
      <c r="BS61" s="303" t="s">
        <v>73</v>
      </c>
      <c r="BT61" s="304" t="s">
        <v>4</v>
      </c>
      <c r="BU61" s="303" t="s">
        <v>59</v>
      </c>
      <c r="BV61" s="303" t="s">
        <v>73</v>
      </c>
      <c r="BW61" s="304" t="s">
        <v>4</v>
      </c>
      <c r="BX61" s="231" t="s">
        <v>59</v>
      </c>
      <c r="BY61" s="231" t="s">
        <v>73</v>
      </c>
      <c r="BZ61" s="102" t="s">
        <v>4</v>
      </c>
      <c r="CA61" s="303" t="s">
        <v>59</v>
      </c>
      <c r="CB61" s="303" t="s">
        <v>73</v>
      </c>
      <c r="CC61" s="304" t="s">
        <v>4</v>
      </c>
      <c r="CD61" s="107" t="s">
        <v>59</v>
      </c>
      <c r="CE61" s="107" t="s">
        <v>73</v>
      </c>
      <c r="CF61" s="471" t="s">
        <v>4</v>
      </c>
      <c r="CG61" s="1004">
        <v>53</v>
      </c>
      <c r="CH61" s="1005">
        <f t="shared" ref="CH61" si="91">(BO62*BP62*BQ62)+(BR62*BS62*BT62)+(BU62*BV62*BW62)+(BX62*BY62*BZ62)+(CA62*CB62*CC62)+(CD62*CE62*CF62)</f>
        <v>5790</v>
      </c>
      <c r="CI61" s="940"/>
      <c r="CJ61" s="1016"/>
      <c r="CL61" s="1065"/>
      <c r="CM61" s="460" t="s">
        <v>59</v>
      </c>
      <c r="CN61" s="460" t="s">
        <v>73</v>
      </c>
      <c r="CO61" s="461" t="s">
        <v>4</v>
      </c>
      <c r="CP61" s="460" t="s">
        <v>59</v>
      </c>
      <c r="CQ61" s="460" t="s">
        <v>73</v>
      </c>
      <c r="CR61" s="461" t="s">
        <v>4</v>
      </c>
      <c r="CS61" s="460" t="s">
        <v>59</v>
      </c>
      <c r="CT61" s="460" t="s">
        <v>73</v>
      </c>
      <c r="CU61" s="461" t="s">
        <v>4</v>
      </c>
      <c r="CV61" s="460" t="s">
        <v>59</v>
      </c>
      <c r="CW61" s="460" t="s">
        <v>73</v>
      </c>
      <c r="CX61" s="461" t="s">
        <v>4</v>
      </c>
      <c r="CY61" s="460" t="s">
        <v>59</v>
      </c>
      <c r="CZ61" s="460" t="s">
        <v>73</v>
      </c>
      <c r="DA61" s="461" t="s">
        <v>4</v>
      </c>
      <c r="DB61" s="460" t="s">
        <v>59</v>
      </c>
      <c r="DC61" s="460" t="s">
        <v>73</v>
      </c>
      <c r="DD61" s="473" t="s">
        <v>4</v>
      </c>
      <c r="DE61" s="1004"/>
      <c r="DF61" s="1005">
        <f>(CM62*CN62*CO62)+(CP62*CQ62*CR62)+(CS62*CT62*CU62)+(CV62*CW62*CX62)+(CY62*CZ62*DA62)+(DB62*DC62*DD62)</f>
        <v>0</v>
      </c>
      <c r="DG61" s="940"/>
      <c r="DH61" s="1016"/>
      <c r="DJ61" s="1039"/>
      <c r="DK61" s="460" t="s">
        <v>59</v>
      </c>
      <c r="DL61" s="460" t="s">
        <v>73</v>
      </c>
      <c r="DM61" s="461" t="s">
        <v>4</v>
      </c>
      <c r="DN61" s="460" t="s">
        <v>59</v>
      </c>
      <c r="DO61" s="460" t="s">
        <v>73</v>
      </c>
      <c r="DP61" s="461" t="s">
        <v>4</v>
      </c>
      <c r="DQ61" s="460" t="s">
        <v>59</v>
      </c>
      <c r="DR61" s="460" t="s">
        <v>73</v>
      </c>
      <c r="DS61" s="461" t="s">
        <v>4</v>
      </c>
      <c r="DT61" s="460" t="s">
        <v>59</v>
      </c>
      <c r="DU61" s="460" t="s">
        <v>73</v>
      </c>
      <c r="DV61" s="461" t="s">
        <v>4</v>
      </c>
      <c r="DW61" s="460" t="s">
        <v>59</v>
      </c>
      <c r="DX61" s="460" t="s">
        <v>73</v>
      </c>
      <c r="DY61" s="461" t="s">
        <v>4</v>
      </c>
      <c r="DZ61" s="460" t="s">
        <v>59</v>
      </c>
      <c r="EA61" s="460" t="s">
        <v>73</v>
      </c>
      <c r="EB61" s="473" t="s">
        <v>4</v>
      </c>
      <c r="EC61" s="1004"/>
      <c r="ED61" s="1005">
        <f>(DK62*DL62*DM62)+(DN62*DO62*DP62)+(DQ62*DR62*DS62)+(DT62*DU62*DV62)+(DW62*DX62*DY62)+(DZ62*EA62*EB62)</f>
        <v>0</v>
      </c>
      <c r="EE61" s="940"/>
      <c r="EF61" s="1016"/>
      <c r="EH61" s="1052"/>
      <c r="EI61" s="491" t="s">
        <v>59</v>
      </c>
      <c r="EJ61" s="491" t="s">
        <v>73</v>
      </c>
      <c r="EK61" s="492" t="s">
        <v>4</v>
      </c>
      <c r="EL61" s="491" t="s">
        <v>59</v>
      </c>
      <c r="EM61" s="491" t="s">
        <v>73</v>
      </c>
      <c r="EN61" s="492" t="s">
        <v>4</v>
      </c>
      <c r="EO61" s="491" t="s">
        <v>59</v>
      </c>
      <c r="EP61" s="491" t="s">
        <v>73</v>
      </c>
      <c r="EQ61" s="492" t="s">
        <v>4</v>
      </c>
      <c r="ER61" s="491" t="s">
        <v>59</v>
      </c>
      <c r="ES61" s="491" t="s">
        <v>73</v>
      </c>
      <c r="ET61" s="492" t="s">
        <v>4</v>
      </c>
      <c r="EU61" s="491" t="s">
        <v>59</v>
      </c>
      <c r="EV61" s="491" t="s">
        <v>73</v>
      </c>
      <c r="EW61" s="492" t="s">
        <v>4</v>
      </c>
      <c r="EX61" s="491" t="s">
        <v>59</v>
      </c>
      <c r="EY61" s="491" t="s">
        <v>73</v>
      </c>
      <c r="EZ61" s="493" t="s">
        <v>4</v>
      </c>
      <c r="FA61" s="1071"/>
      <c r="FB61" s="1072">
        <f>(EI62*EJ62*EK62)+(EL62*EM62*EN62)+(EO62*EP62*EQ62)+(ER62*ES62*ET62)+(EU62*EV62*EW62)+(EX62*EY62*EZ62)</f>
        <v>0</v>
      </c>
      <c r="FC61" s="1068"/>
      <c r="FD61" s="1070"/>
      <c r="FF61" s="1065"/>
      <c r="FG61" s="460" t="s">
        <v>59</v>
      </c>
      <c r="FH61" s="460" t="s">
        <v>73</v>
      </c>
      <c r="FI61" s="461" t="s">
        <v>4</v>
      </c>
      <c r="FJ61" s="460" t="s">
        <v>59</v>
      </c>
      <c r="FK61" s="460" t="s">
        <v>73</v>
      </c>
      <c r="FL61" s="461" t="s">
        <v>4</v>
      </c>
      <c r="FM61" s="460" t="s">
        <v>59</v>
      </c>
      <c r="FN61" s="460" t="s">
        <v>73</v>
      </c>
      <c r="FO61" s="461" t="s">
        <v>4</v>
      </c>
      <c r="FP61" s="460" t="s">
        <v>59</v>
      </c>
      <c r="FQ61" s="460" t="s">
        <v>73</v>
      </c>
      <c r="FR61" s="461" t="s">
        <v>4</v>
      </c>
      <c r="FS61" s="460" t="s">
        <v>59</v>
      </c>
      <c r="FT61" s="460" t="s">
        <v>73</v>
      </c>
      <c r="FU61" s="461" t="s">
        <v>4</v>
      </c>
      <c r="FV61" s="460" t="s">
        <v>59</v>
      </c>
      <c r="FW61" s="460" t="s">
        <v>73</v>
      </c>
      <c r="FX61" s="473" t="s">
        <v>4</v>
      </c>
      <c r="FY61" s="1004"/>
      <c r="FZ61" s="1005">
        <f>(FG62*FH62*FI62)+(FJ62*FK62*FL62)+(FM62*FN62*FO62)+(FP62*FQ62*FR62)+(FS62*FT62*FU62)+(FV62*FW62*FX62)</f>
        <v>0</v>
      </c>
      <c r="GA61" s="940"/>
      <c r="GB61" s="1016"/>
      <c r="GD61" s="1042"/>
      <c r="GE61" s="460" t="s">
        <v>59</v>
      </c>
      <c r="GF61" s="460" t="s">
        <v>73</v>
      </c>
      <c r="GG61" s="461" t="s">
        <v>4</v>
      </c>
      <c r="GH61" s="460" t="s">
        <v>59</v>
      </c>
      <c r="GI61" s="460" t="s">
        <v>73</v>
      </c>
      <c r="GJ61" s="461" t="s">
        <v>4</v>
      </c>
      <c r="GK61" s="460" t="s">
        <v>59</v>
      </c>
      <c r="GL61" s="460" t="s">
        <v>73</v>
      </c>
      <c r="GM61" s="461" t="s">
        <v>4</v>
      </c>
      <c r="GN61" s="460" t="s">
        <v>59</v>
      </c>
      <c r="GO61" s="460" t="s">
        <v>73</v>
      </c>
      <c r="GP61" s="461" t="s">
        <v>4</v>
      </c>
      <c r="GQ61" s="460" t="s">
        <v>59</v>
      </c>
      <c r="GR61" s="460" t="s">
        <v>73</v>
      </c>
      <c r="GS61" s="461" t="s">
        <v>4</v>
      </c>
      <c r="GT61" s="460" t="s">
        <v>59</v>
      </c>
      <c r="GU61" s="460" t="s">
        <v>73</v>
      </c>
      <c r="GV61" s="473" t="s">
        <v>4</v>
      </c>
      <c r="GW61" s="1004"/>
      <c r="GX61" s="1005">
        <f>(GE62*GF62*GG62)+(GH62*GI62*GJ62)+(GK62*GL62*GM62)+(GN62*GO62*GP62)+(GQ62*GR62*GS62)+(GT62*GU62*GV62)</f>
        <v>0</v>
      </c>
      <c r="GY61" s="940"/>
      <c r="GZ61" s="1016"/>
      <c r="HB61" s="1062"/>
      <c r="HC61" s="460" t="s">
        <v>59</v>
      </c>
      <c r="HD61" s="460" t="s">
        <v>73</v>
      </c>
      <c r="HE61" s="461" t="s">
        <v>4</v>
      </c>
      <c r="HF61" s="460" t="s">
        <v>59</v>
      </c>
      <c r="HG61" s="460" t="s">
        <v>73</v>
      </c>
      <c r="HH61" s="461" t="s">
        <v>4</v>
      </c>
      <c r="HI61" s="460" t="s">
        <v>59</v>
      </c>
      <c r="HJ61" s="460" t="s">
        <v>73</v>
      </c>
      <c r="HK61" s="461" t="s">
        <v>4</v>
      </c>
      <c r="HL61" s="460" t="s">
        <v>59</v>
      </c>
      <c r="HM61" s="460" t="s">
        <v>73</v>
      </c>
      <c r="HN61" s="461" t="s">
        <v>4</v>
      </c>
      <c r="HO61" s="460" t="s">
        <v>59</v>
      </c>
      <c r="HP61" s="460" t="s">
        <v>73</v>
      </c>
      <c r="HQ61" s="461" t="s">
        <v>4</v>
      </c>
      <c r="HR61" s="460" t="s">
        <v>59</v>
      </c>
      <c r="HS61" s="460" t="s">
        <v>73</v>
      </c>
      <c r="HT61" s="473" t="s">
        <v>4</v>
      </c>
      <c r="HU61" s="1004"/>
      <c r="HV61" s="1005">
        <f>(HC62*HD62*HE62)+(HF62*HG62*HH62)+(HI62*HJ62*HK62)+(HL62*HM62*HN62)+(HO62*HP62*HQ62)+(HR62*HS62*HT62)</f>
        <v>0</v>
      </c>
      <c r="HW61" s="940"/>
      <c r="HX61" s="1016"/>
      <c r="HZ61" s="1075"/>
      <c r="IA61" s="460" t="s">
        <v>59</v>
      </c>
      <c r="IB61" s="460" t="s">
        <v>73</v>
      </c>
      <c r="IC61" s="461" t="s">
        <v>4</v>
      </c>
      <c r="ID61" s="460" t="s">
        <v>59</v>
      </c>
      <c r="IE61" s="460" t="s">
        <v>73</v>
      </c>
      <c r="IF61" s="461" t="s">
        <v>4</v>
      </c>
      <c r="IG61" s="460" t="s">
        <v>59</v>
      </c>
      <c r="IH61" s="460" t="s">
        <v>73</v>
      </c>
      <c r="II61" s="461" t="s">
        <v>4</v>
      </c>
      <c r="IJ61" s="460" t="s">
        <v>59</v>
      </c>
      <c r="IK61" s="460" t="s">
        <v>73</v>
      </c>
      <c r="IL61" s="461" t="s">
        <v>4</v>
      </c>
      <c r="IM61" s="460" t="s">
        <v>59</v>
      </c>
      <c r="IN61" s="460" t="s">
        <v>73</v>
      </c>
      <c r="IO61" s="461" t="s">
        <v>4</v>
      </c>
      <c r="IP61" s="460" t="s">
        <v>59</v>
      </c>
      <c r="IQ61" s="460" t="s">
        <v>73</v>
      </c>
      <c r="IR61" s="473" t="s">
        <v>4</v>
      </c>
      <c r="IS61" s="1004"/>
      <c r="IT61" s="1005">
        <f>(IA62*IB62*IC62)+(ID62*IE62*IF62)+(IG62*IH62*II62)+(IJ62*IK62*IL62)+(IM62*IN62*IO62)+(IP62*IQ62*IR62)</f>
        <v>0</v>
      </c>
      <c r="IU61" s="940"/>
      <c r="IV61" s="1016"/>
      <c r="IX61" s="1049"/>
      <c r="IY61" s="460" t="s">
        <v>59</v>
      </c>
      <c r="IZ61" s="460" t="s">
        <v>73</v>
      </c>
      <c r="JA61" s="461" t="s">
        <v>4</v>
      </c>
      <c r="JB61" s="460" t="s">
        <v>59</v>
      </c>
      <c r="JC61" s="460" t="s">
        <v>73</v>
      </c>
      <c r="JD61" s="461" t="s">
        <v>4</v>
      </c>
      <c r="JE61" s="460" t="s">
        <v>59</v>
      </c>
      <c r="JF61" s="460" t="s">
        <v>73</v>
      </c>
      <c r="JG61" s="461" t="s">
        <v>4</v>
      </c>
      <c r="JH61" s="460" t="s">
        <v>59</v>
      </c>
      <c r="JI61" s="460" t="s">
        <v>73</v>
      </c>
      <c r="JJ61" s="461" t="s">
        <v>4</v>
      </c>
      <c r="JK61" s="460" t="s">
        <v>59</v>
      </c>
      <c r="JL61" s="460" t="s">
        <v>73</v>
      </c>
      <c r="JM61" s="461" t="s">
        <v>4</v>
      </c>
      <c r="JN61" s="460" t="s">
        <v>59</v>
      </c>
      <c r="JO61" s="460" t="s">
        <v>73</v>
      </c>
      <c r="JP61" s="473" t="s">
        <v>4</v>
      </c>
      <c r="JQ61" s="1004"/>
      <c r="JR61" s="1005">
        <f>(IY62*IZ62*JA62)+(JB62*JC62*JD62)+(JE62*JF62*JG62)+(JH62*JI62*JJ62)+(JK62*JL62*JM62)+(JN62*JO62*JP62)</f>
        <v>0</v>
      </c>
      <c r="JS61" s="940"/>
      <c r="JT61" s="1016"/>
      <c r="JV61" s="1062"/>
      <c r="JW61" s="460" t="s">
        <v>59</v>
      </c>
      <c r="JX61" s="460" t="s">
        <v>73</v>
      </c>
      <c r="JY61" s="461" t="s">
        <v>4</v>
      </c>
      <c r="JZ61" s="460" t="s">
        <v>59</v>
      </c>
      <c r="KA61" s="460" t="s">
        <v>73</v>
      </c>
      <c r="KB61" s="461" t="s">
        <v>4</v>
      </c>
      <c r="KC61" s="460" t="s">
        <v>59</v>
      </c>
      <c r="KD61" s="460" t="s">
        <v>73</v>
      </c>
      <c r="KE61" s="461" t="s">
        <v>4</v>
      </c>
      <c r="KF61" s="460" t="s">
        <v>59</v>
      </c>
      <c r="KG61" s="460" t="s">
        <v>73</v>
      </c>
      <c r="KH61" s="461" t="s">
        <v>4</v>
      </c>
      <c r="KI61" s="460" t="s">
        <v>59</v>
      </c>
      <c r="KJ61" s="460" t="s">
        <v>73</v>
      </c>
      <c r="KK61" s="461" t="s">
        <v>4</v>
      </c>
      <c r="KL61" s="460" t="s">
        <v>59</v>
      </c>
      <c r="KM61" s="460" t="s">
        <v>73</v>
      </c>
      <c r="KN61" s="473" t="s">
        <v>4</v>
      </c>
      <c r="KO61" s="1004"/>
      <c r="KP61" s="1005">
        <f>(JW62*JX62*JY62)+(JZ62*KA62*KB62)+(KC62*KD62*KE62)+(KF62*KG62*KH62)+(KI62*KJ62*KK62)+(KL62*KM62*KN62)</f>
        <v>0</v>
      </c>
      <c r="KQ61" s="940"/>
      <c r="KR61" s="1016"/>
      <c r="KT61" s="1039"/>
      <c r="KU61" s="460" t="s">
        <v>59</v>
      </c>
      <c r="KV61" s="460" t="s">
        <v>73</v>
      </c>
      <c r="KW61" s="461" t="s">
        <v>4</v>
      </c>
      <c r="KX61" s="460" t="s">
        <v>59</v>
      </c>
      <c r="KY61" s="460" t="s">
        <v>73</v>
      </c>
      <c r="KZ61" s="461" t="s">
        <v>4</v>
      </c>
      <c r="LA61" s="460" t="s">
        <v>59</v>
      </c>
      <c r="LB61" s="460" t="s">
        <v>73</v>
      </c>
      <c r="LC61" s="461" t="s">
        <v>4</v>
      </c>
      <c r="LD61" s="460" t="s">
        <v>59</v>
      </c>
      <c r="LE61" s="460" t="s">
        <v>73</v>
      </c>
      <c r="LF61" s="461" t="s">
        <v>4</v>
      </c>
      <c r="LG61" s="460" t="s">
        <v>59</v>
      </c>
      <c r="LH61" s="460" t="s">
        <v>73</v>
      </c>
      <c r="LI61" s="461" t="s">
        <v>4</v>
      </c>
      <c r="LJ61" s="460" t="s">
        <v>59</v>
      </c>
      <c r="LK61" s="460" t="s">
        <v>73</v>
      </c>
      <c r="LL61" s="473" t="s">
        <v>4</v>
      </c>
      <c r="LM61" s="1004"/>
      <c r="LN61" s="1005">
        <f>(KU62*KV62*KW62)+(KX62*KY62*KZ62)+(LA62*LB62*LC62)+(LD62*LE62*LF62)+(LG62*LH62*LI62)+(LJ62*LK62*LL62)</f>
        <v>0</v>
      </c>
      <c r="LO61" s="940"/>
      <c r="LP61" s="1016"/>
    </row>
    <row r="62" spans="1:328" ht="15">
      <c r="A62" s="400" t="s">
        <v>607</v>
      </c>
      <c r="B62" s="971" t="s">
        <v>608</v>
      </c>
      <c r="C62" s="729"/>
      <c r="D62" s="729"/>
      <c r="E62" s="729"/>
      <c r="F62"/>
      <c r="G62"/>
      <c r="H62"/>
      <c r="I62"/>
      <c r="R62" s="858"/>
      <c r="S62" s="229">
        <v>1</v>
      </c>
      <c r="T62" s="126">
        <v>45</v>
      </c>
      <c r="U62" s="229">
        <f>AN60</f>
        <v>77.3</v>
      </c>
      <c r="V62" s="233"/>
      <c r="W62" s="233"/>
      <c r="X62" s="233"/>
      <c r="Y62" s="233"/>
      <c r="Z62" s="233"/>
      <c r="AA62" s="233"/>
      <c r="AB62" s="233"/>
      <c r="AC62" s="233"/>
      <c r="AD62" s="233"/>
      <c r="AE62" s="233"/>
      <c r="AF62" s="233"/>
      <c r="AG62" s="233"/>
      <c r="AH62" s="233"/>
      <c r="AI62" s="233"/>
      <c r="AJ62" s="472"/>
      <c r="AK62" s="1007"/>
      <c r="AL62" s="1002"/>
      <c r="AM62" s="941"/>
      <c r="AN62" s="855"/>
      <c r="AO62" s="118"/>
      <c r="AP62" s="878"/>
      <c r="AQ62" s="229">
        <v>4</v>
      </c>
      <c r="AR62" s="229">
        <v>12</v>
      </c>
      <c r="AS62" s="229">
        <f>((12.5*1)+(25*3))/4</f>
        <v>21.875</v>
      </c>
      <c r="AT62" s="229">
        <v>4</v>
      </c>
      <c r="AU62" s="229">
        <v>12</v>
      </c>
      <c r="AV62" s="229">
        <f>((32*1)+(68*3))/4</f>
        <v>59</v>
      </c>
      <c r="AW62" s="229">
        <v>4</v>
      </c>
      <c r="AX62" s="229">
        <f>((12*1)+(16*3))/4</f>
        <v>15</v>
      </c>
      <c r="AY62" s="229">
        <f>((15.9*1)+(34*3))/4</f>
        <v>29.475000000000001</v>
      </c>
      <c r="AZ62" s="229">
        <v>4</v>
      </c>
      <c r="BA62" s="229">
        <f>((((0.38/0.3)*0.5)*1)+(((1.15/1)*1)*3))/4</f>
        <v>1.0208333333333333</v>
      </c>
      <c r="BB62" s="229">
        <f>BL60*(2/3)</f>
        <v>52.266666666666666</v>
      </c>
      <c r="BC62" s="229">
        <v>4</v>
      </c>
      <c r="BD62" s="229">
        <f>((8*1)+(12*1)+(10*1))/4</f>
        <v>7.5</v>
      </c>
      <c r="BE62" s="229">
        <f>((9.1*2)+(11.3*2))/4</f>
        <v>10.199999999999999</v>
      </c>
      <c r="BF62" s="233"/>
      <c r="BG62" s="233"/>
      <c r="BH62" s="472"/>
      <c r="BI62" s="1007"/>
      <c r="BJ62" s="1003"/>
      <c r="BK62" s="941"/>
      <c r="BL62" s="1016"/>
      <c r="BM62" s="118"/>
      <c r="BN62" s="878"/>
      <c r="BO62" s="305">
        <v>4</v>
      </c>
      <c r="BP62" s="305">
        <f>((12*1)+(6*3))/4</f>
        <v>7.5</v>
      </c>
      <c r="BQ62" s="305">
        <f>((32*1)+(63*3))/4</f>
        <v>55.25</v>
      </c>
      <c r="BR62" s="305">
        <v>4</v>
      </c>
      <c r="BS62" s="305">
        <f>((12*1)+(6*3))/4</f>
        <v>7.5</v>
      </c>
      <c r="BT62" s="305">
        <f>((11.3*1)+(22.7*3))/4</f>
        <v>19.849999999999998</v>
      </c>
      <c r="BU62" s="305">
        <v>4</v>
      </c>
      <c r="BV62" s="305">
        <f>((12*1)+(16*3))/4</f>
        <v>15</v>
      </c>
      <c r="BW62" s="305">
        <f>((15.9*1)+(34*3))/4</f>
        <v>29.475000000000001</v>
      </c>
      <c r="BX62" s="229">
        <v>4</v>
      </c>
      <c r="BY62" s="229">
        <f>((12*1)+(16*3))/4</f>
        <v>15</v>
      </c>
      <c r="BZ62" s="229">
        <f>((15.9*1)+(34*3))/4</f>
        <v>29.475000000000001</v>
      </c>
      <c r="CA62" s="305">
        <v>0</v>
      </c>
      <c r="CB62" s="305">
        <f>((12*4))/4</f>
        <v>12</v>
      </c>
      <c r="CC62" s="305">
        <f>((10*1)+(17.5*3))/4</f>
        <v>15.625</v>
      </c>
      <c r="CD62" s="233"/>
      <c r="CE62" s="233"/>
      <c r="CF62" s="472"/>
      <c r="CG62" s="1007"/>
      <c r="CH62" s="1006"/>
      <c r="CI62" s="941"/>
      <c r="CJ62" s="1016"/>
      <c r="CL62" s="1066"/>
      <c r="CM62" s="462"/>
      <c r="CN62" s="462"/>
      <c r="CO62" s="462"/>
      <c r="CP62" s="462"/>
      <c r="CQ62" s="462"/>
      <c r="CR62" s="462"/>
      <c r="CS62" s="462"/>
      <c r="CT62" s="462"/>
      <c r="CU62" s="462"/>
      <c r="CV62" s="462"/>
      <c r="CW62" s="462"/>
      <c r="CX62" s="462"/>
      <c r="CY62" s="462"/>
      <c r="CZ62" s="462"/>
      <c r="DA62" s="462"/>
      <c r="DB62" s="462"/>
      <c r="DC62" s="462"/>
      <c r="DD62" s="474"/>
      <c r="DE62" s="1007"/>
      <c r="DF62" s="1006"/>
      <c r="DG62" s="941"/>
      <c r="DH62" s="1016"/>
      <c r="DJ62" s="1040"/>
      <c r="DK62" s="462"/>
      <c r="DL62" s="462"/>
      <c r="DM62" s="462"/>
      <c r="DN62" s="462"/>
      <c r="DO62" s="462"/>
      <c r="DP62" s="462"/>
      <c r="DQ62" s="462"/>
      <c r="DR62" s="462"/>
      <c r="DS62" s="462"/>
      <c r="DT62" s="462"/>
      <c r="DU62" s="462"/>
      <c r="DV62" s="462"/>
      <c r="DW62" s="462"/>
      <c r="DX62" s="462"/>
      <c r="DY62" s="462"/>
      <c r="DZ62" s="462"/>
      <c r="EA62" s="462"/>
      <c r="EB62" s="474"/>
      <c r="EC62" s="1007"/>
      <c r="ED62" s="1006"/>
      <c r="EE62" s="941"/>
      <c r="EF62" s="1016"/>
      <c r="EH62" s="1053"/>
      <c r="EI62" s="494"/>
      <c r="EJ62" s="494"/>
      <c r="EK62" s="494"/>
      <c r="EL62" s="494"/>
      <c r="EM62" s="494"/>
      <c r="EN62" s="494"/>
      <c r="EO62" s="494"/>
      <c r="EP62" s="494"/>
      <c r="EQ62" s="494"/>
      <c r="ER62" s="494"/>
      <c r="ES62" s="494"/>
      <c r="ET62" s="494"/>
      <c r="EU62" s="494"/>
      <c r="EV62" s="494"/>
      <c r="EW62" s="494"/>
      <c r="EX62" s="494"/>
      <c r="EY62" s="494"/>
      <c r="EZ62" s="495"/>
      <c r="FA62" s="1081"/>
      <c r="FB62" s="1073"/>
      <c r="FC62" s="1069"/>
      <c r="FD62" s="1070"/>
      <c r="FF62" s="1066"/>
      <c r="FG62" s="462"/>
      <c r="FH62" s="462"/>
      <c r="FI62" s="462"/>
      <c r="FJ62" s="462"/>
      <c r="FK62" s="462"/>
      <c r="FL62" s="462"/>
      <c r="FM62" s="462"/>
      <c r="FN62" s="462"/>
      <c r="FO62" s="462"/>
      <c r="FP62" s="462"/>
      <c r="FQ62" s="462"/>
      <c r="FR62" s="462"/>
      <c r="FS62" s="462"/>
      <c r="FT62" s="462"/>
      <c r="FU62" s="462"/>
      <c r="FV62" s="462"/>
      <c r="FW62" s="462"/>
      <c r="FX62" s="474"/>
      <c r="FY62" s="1007"/>
      <c r="FZ62" s="1006"/>
      <c r="GA62" s="941"/>
      <c r="GB62" s="1016"/>
      <c r="GD62" s="1043"/>
      <c r="GE62" s="462"/>
      <c r="GF62" s="462"/>
      <c r="GG62" s="462"/>
      <c r="GH62" s="462"/>
      <c r="GI62" s="462"/>
      <c r="GJ62" s="462"/>
      <c r="GK62" s="462"/>
      <c r="GL62" s="462"/>
      <c r="GM62" s="462"/>
      <c r="GN62" s="462"/>
      <c r="GO62" s="462"/>
      <c r="GP62" s="462"/>
      <c r="GQ62" s="462"/>
      <c r="GR62" s="462"/>
      <c r="GS62" s="462"/>
      <c r="GT62" s="462"/>
      <c r="GU62" s="462"/>
      <c r="GV62" s="474"/>
      <c r="GW62" s="1007"/>
      <c r="GX62" s="1006"/>
      <c r="GY62" s="941"/>
      <c r="GZ62" s="1016"/>
      <c r="HB62" s="1063"/>
      <c r="HC62" s="462"/>
      <c r="HD62" s="462"/>
      <c r="HE62" s="462"/>
      <c r="HF62" s="462"/>
      <c r="HG62" s="462"/>
      <c r="HH62" s="462"/>
      <c r="HI62" s="462"/>
      <c r="HJ62" s="462"/>
      <c r="HK62" s="462"/>
      <c r="HL62" s="462"/>
      <c r="HM62" s="462"/>
      <c r="HN62" s="462"/>
      <c r="HO62" s="462"/>
      <c r="HP62" s="462"/>
      <c r="HQ62" s="462"/>
      <c r="HR62" s="462"/>
      <c r="HS62" s="462"/>
      <c r="HT62" s="474"/>
      <c r="HU62" s="1007"/>
      <c r="HV62" s="1006"/>
      <c r="HW62" s="941"/>
      <c r="HX62" s="1016"/>
      <c r="HZ62" s="1076"/>
      <c r="IA62" s="462"/>
      <c r="IB62" s="462"/>
      <c r="IC62" s="462"/>
      <c r="ID62" s="462"/>
      <c r="IE62" s="462"/>
      <c r="IF62" s="462"/>
      <c r="IG62" s="462"/>
      <c r="IH62" s="462"/>
      <c r="II62" s="462"/>
      <c r="IJ62" s="462"/>
      <c r="IK62" s="462"/>
      <c r="IL62" s="462"/>
      <c r="IM62" s="462"/>
      <c r="IN62" s="462"/>
      <c r="IO62" s="462"/>
      <c r="IP62" s="462"/>
      <c r="IQ62" s="462"/>
      <c r="IR62" s="474"/>
      <c r="IS62" s="1007"/>
      <c r="IT62" s="1006"/>
      <c r="IU62" s="941"/>
      <c r="IV62" s="1016"/>
      <c r="IX62" s="1050"/>
      <c r="IY62" s="462"/>
      <c r="IZ62" s="462"/>
      <c r="JA62" s="462"/>
      <c r="JB62" s="462"/>
      <c r="JC62" s="462"/>
      <c r="JD62" s="462"/>
      <c r="JE62" s="462"/>
      <c r="JF62" s="462"/>
      <c r="JG62" s="462"/>
      <c r="JH62" s="462"/>
      <c r="JI62" s="462"/>
      <c r="JJ62" s="462"/>
      <c r="JK62" s="462"/>
      <c r="JL62" s="462"/>
      <c r="JM62" s="462"/>
      <c r="JN62" s="462"/>
      <c r="JO62" s="462"/>
      <c r="JP62" s="474"/>
      <c r="JQ62" s="1007"/>
      <c r="JR62" s="1006"/>
      <c r="JS62" s="941"/>
      <c r="JT62" s="1016"/>
      <c r="JV62" s="1063"/>
      <c r="JW62" s="462"/>
      <c r="JX62" s="462"/>
      <c r="JY62" s="462"/>
      <c r="JZ62" s="462"/>
      <c r="KA62" s="462"/>
      <c r="KB62" s="462"/>
      <c r="KC62" s="462"/>
      <c r="KD62" s="462"/>
      <c r="KE62" s="462"/>
      <c r="KF62" s="462"/>
      <c r="KG62" s="462"/>
      <c r="KH62" s="462"/>
      <c r="KI62" s="462"/>
      <c r="KJ62" s="462"/>
      <c r="KK62" s="462"/>
      <c r="KL62" s="462"/>
      <c r="KM62" s="462"/>
      <c r="KN62" s="474"/>
      <c r="KO62" s="1007"/>
      <c r="KP62" s="1006"/>
      <c r="KQ62" s="941"/>
      <c r="KR62" s="1016"/>
      <c r="KT62" s="1040"/>
      <c r="KU62" s="462"/>
      <c r="KV62" s="462"/>
      <c r="KW62" s="462"/>
      <c r="KX62" s="462"/>
      <c r="KY62" s="462"/>
      <c r="KZ62" s="462"/>
      <c r="LA62" s="462"/>
      <c r="LB62" s="462"/>
      <c r="LC62" s="462"/>
      <c r="LD62" s="462"/>
      <c r="LE62" s="462"/>
      <c r="LF62" s="462"/>
      <c r="LG62" s="462"/>
      <c r="LH62" s="462"/>
      <c r="LI62" s="462"/>
      <c r="LJ62" s="462"/>
      <c r="LK62" s="462"/>
      <c r="LL62" s="474"/>
      <c r="LM62" s="1007"/>
      <c r="LN62" s="1006"/>
      <c r="LO62" s="941"/>
      <c r="LP62" s="1016"/>
    </row>
    <row r="63" spans="1:328" ht="15">
      <c r="A63"/>
      <c r="B63" s="729" t="s">
        <v>609</v>
      </c>
      <c r="C63" s="729"/>
      <c r="D63" s="729"/>
      <c r="E63" s="729"/>
      <c r="F63"/>
      <c r="G63"/>
      <c r="H63"/>
      <c r="I63"/>
      <c r="R63" s="845">
        <v>46043</v>
      </c>
      <c r="S63" s="849" t="s">
        <v>156</v>
      </c>
      <c r="T63" s="849"/>
      <c r="U63" s="849"/>
      <c r="V63" s="848" t="s">
        <v>103</v>
      </c>
      <c r="W63" s="848"/>
      <c r="X63" s="848"/>
      <c r="Y63" s="848" t="s">
        <v>68</v>
      </c>
      <c r="Z63" s="848"/>
      <c r="AA63" s="848"/>
      <c r="AB63" s="848" t="s">
        <v>417</v>
      </c>
      <c r="AC63" s="848"/>
      <c r="AD63" s="848"/>
      <c r="AE63" s="834"/>
      <c r="AF63" s="835"/>
      <c r="AG63" s="836"/>
      <c r="AH63" s="834"/>
      <c r="AI63" s="835"/>
      <c r="AJ63" s="835"/>
      <c r="AK63" s="459" t="s">
        <v>425</v>
      </c>
      <c r="AL63" s="1">
        <f t="shared" ref="AL63" si="92">COUNTA(S63:AJ63)</f>
        <v>4</v>
      </c>
      <c r="AM63" s="939"/>
      <c r="AN63" s="855">
        <v>77.2</v>
      </c>
      <c r="AO63" s="118"/>
      <c r="AP63" s="840">
        <v>46074</v>
      </c>
      <c r="AQ63" s="1023"/>
      <c r="AR63" s="1023"/>
      <c r="AS63" s="1023"/>
      <c r="AT63" s="1023"/>
      <c r="AU63" s="1023"/>
      <c r="AV63" s="1023"/>
      <c r="AW63" s="1023"/>
      <c r="AX63" s="1023"/>
      <c r="AY63" s="1023"/>
      <c r="AZ63" s="1023"/>
      <c r="BA63" s="1023"/>
      <c r="BB63" s="1023"/>
      <c r="BC63" s="1021"/>
      <c r="BD63" s="1022"/>
      <c r="BE63" s="1024"/>
      <c r="BF63" s="1021"/>
      <c r="BG63" s="1022"/>
      <c r="BH63" s="1022"/>
      <c r="BI63" s="459" t="s">
        <v>425</v>
      </c>
      <c r="BJ63" s="482">
        <f t="shared" si="65"/>
        <v>0</v>
      </c>
      <c r="BK63" s="939"/>
      <c r="BL63" s="1016">
        <f>BL60</f>
        <v>78.400000000000006</v>
      </c>
      <c r="BM63" s="118"/>
      <c r="BN63" s="840">
        <v>46102</v>
      </c>
      <c r="BO63" s="1029" t="s">
        <v>379</v>
      </c>
      <c r="BP63" s="1029"/>
      <c r="BQ63" s="1029"/>
      <c r="BR63" s="1023" t="s">
        <v>68</v>
      </c>
      <c r="BS63" s="1023"/>
      <c r="BT63" s="1023"/>
      <c r="BU63" s="1029" t="s">
        <v>789</v>
      </c>
      <c r="BV63" s="1029"/>
      <c r="BW63" s="1029"/>
      <c r="BX63" s="1021" t="s">
        <v>391</v>
      </c>
      <c r="BY63" s="1022"/>
      <c r="BZ63" s="1024"/>
      <c r="CA63" s="1026" t="s">
        <v>617</v>
      </c>
      <c r="CB63" s="1027"/>
      <c r="CC63" s="1028"/>
      <c r="CD63" s="1021"/>
      <c r="CE63" s="1022"/>
      <c r="CF63" s="1022"/>
      <c r="CG63" s="459" t="s">
        <v>425</v>
      </c>
      <c r="CH63" s="482">
        <f t="shared" ref="CH63" si="93">COUNTA(BO63:CF63)</f>
        <v>5</v>
      </c>
      <c r="CI63" s="939">
        <v>8</v>
      </c>
      <c r="CJ63" s="1016">
        <v>77.8</v>
      </c>
      <c r="CL63" s="1074">
        <v>46133</v>
      </c>
      <c r="CM63" s="960"/>
      <c r="CN63" s="960"/>
      <c r="CO63" s="960"/>
      <c r="CP63" s="960"/>
      <c r="CQ63" s="960"/>
      <c r="CR63" s="960"/>
      <c r="CS63" s="960"/>
      <c r="CT63" s="960"/>
      <c r="CU63" s="960"/>
      <c r="CV63" s="960"/>
      <c r="CW63" s="960"/>
      <c r="CX63" s="960"/>
      <c r="CY63" s="961"/>
      <c r="CZ63" s="962"/>
      <c r="DA63" s="963"/>
      <c r="DB63" s="961"/>
      <c r="DC63" s="962"/>
      <c r="DD63" s="962"/>
      <c r="DE63" s="459" t="s">
        <v>425</v>
      </c>
      <c r="DF63" s="482">
        <f>COUNTA(CM63:DD63)</f>
        <v>0</v>
      </c>
      <c r="DG63" s="939"/>
      <c r="DH63" s="1016"/>
      <c r="DJ63" s="1041">
        <v>46163</v>
      </c>
      <c r="DK63" s="960"/>
      <c r="DL63" s="960"/>
      <c r="DM63" s="960"/>
      <c r="DN63" s="960"/>
      <c r="DO63" s="960"/>
      <c r="DP63" s="960"/>
      <c r="DQ63" s="960"/>
      <c r="DR63" s="960"/>
      <c r="DS63" s="960"/>
      <c r="DT63" s="960"/>
      <c r="DU63" s="960"/>
      <c r="DV63" s="960"/>
      <c r="DW63" s="961"/>
      <c r="DX63" s="962"/>
      <c r="DY63" s="963"/>
      <c r="DZ63" s="961"/>
      <c r="EA63" s="962"/>
      <c r="EB63" s="962"/>
      <c r="EC63" s="459" t="s">
        <v>425</v>
      </c>
      <c r="ED63" s="482">
        <f>COUNTA(DK63:EB63)</f>
        <v>0</v>
      </c>
      <c r="EE63" s="939"/>
      <c r="EF63" s="1016"/>
      <c r="EH63" s="1061">
        <v>46194</v>
      </c>
      <c r="EI63" s="960"/>
      <c r="EJ63" s="960"/>
      <c r="EK63" s="960"/>
      <c r="EL63" s="960"/>
      <c r="EM63" s="960"/>
      <c r="EN63" s="960"/>
      <c r="EO63" s="960"/>
      <c r="EP63" s="960"/>
      <c r="EQ63" s="960"/>
      <c r="ER63" s="960"/>
      <c r="ES63" s="960"/>
      <c r="ET63" s="960"/>
      <c r="EU63" s="961"/>
      <c r="EV63" s="962"/>
      <c r="EW63" s="963"/>
      <c r="EX63" s="961"/>
      <c r="EY63" s="962"/>
      <c r="EZ63" s="962"/>
      <c r="FA63" s="459" t="s">
        <v>425</v>
      </c>
      <c r="FB63" s="482">
        <f>COUNTA(EI63:EZ63)</f>
        <v>0</v>
      </c>
      <c r="FC63" s="939"/>
      <c r="FD63" s="1016"/>
      <c r="FF63" s="1074">
        <v>46224</v>
      </c>
      <c r="FG63" s="960"/>
      <c r="FH63" s="960"/>
      <c r="FI63" s="960"/>
      <c r="FJ63" s="960"/>
      <c r="FK63" s="960"/>
      <c r="FL63" s="960"/>
      <c r="FM63" s="960"/>
      <c r="FN63" s="960"/>
      <c r="FO63" s="960"/>
      <c r="FP63" s="960"/>
      <c r="FQ63" s="960"/>
      <c r="FR63" s="960"/>
      <c r="FS63" s="961"/>
      <c r="FT63" s="962"/>
      <c r="FU63" s="963"/>
      <c r="FV63" s="961"/>
      <c r="FW63" s="962"/>
      <c r="FX63" s="962"/>
      <c r="FY63" s="459" t="s">
        <v>425</v>
      </c>
      <c r="FZ63" s="482">
        <f>COUNTA(FG63:FX63)</f>
        <v>0</v>
      </c>
      <c r="GA63" s="939"/>
      <c r="GB63" s="1016"/>
      <c r="GD63" s="1048">
        <v>46255</v>
      </c>
      <c r="GE63" s="960"/>
      <c r="GF63" s="960"/>
      <c r="GG63" s="960"/>
      <c r="GH63" s="960"/>
      <c r="GI63" s="960"/>
      <c r="GJ63" s="960"/>
      <c r="GK63" s="960"/>
      <c r="GL63" s="960"/>
      <c r="GM63" s="960"/>
      <c r="GN63" s="960"/>
      <c r="GO63" s="960"/>
      <c r="GP63" s="960"/>
      <c r="GQ63" s="961"/>
      <c r="GR63" s="962"/>
      <c r="GS63" s="963"/>
      <c r="GT63" s="961"/>
      <c r="GU63" s="962"/>
      <c r="GV63" s="962"/>
      <c r="GW63" s="459" t="s">
        <v>425</v>
      </c>
      <c r="GX63" s="482">
        <f>COUNTA(GE63:GV63)</f>
        <v>0</v>
      </c>
      <c r="GY63" s="939"/>
      <c r="GZ63" s="1016"/>
      <c r="HB63" s="1064">
        <v>46286</v>
      </c>
      <c r="HC63" s="960"/>
      <c r="HD63" s="960"/>
      <c r="HE63" s="960"/>
      <c r="HF63" s="960"/>
      <c r="HG63" s="960"/>
      <c r="HH63" s="960"/>
      <c r="HI63" s="960"/>
      <c r="HJ63" s="960"/>
      <c r="HK63" s="960"/>
      <c r="HL63" s="960"/>
      <c r="HM63" s="960"/>
      <c r="HN63" s="960"/>
      <c r="HO63" s="961"/>
      <c r="HP63" s="962"/>
      <c r="HQ63" s="963"/>
      <c r="HR63" s="961"/>
      <c r="HS63" s="962"/>
      <c r="HT63" s="962"/>
      <c r="HU63" s="459" t="s">
        <v>425</v>
      </c>
      <c r="HV63" s="482">
        <f>COUNTA(HC63:HT63)</f>
        <v>0</v>
      </c>
      <c r="HW63" s="939"/>
      <c r="HX63" s="1016"/>
      <c r="HZ63" s="1038">
        <v>46316</v>
      </c>
      <c r="IA63" s="960"/>
      <c r="IB63" s="960"/>
      <c r="IC63" s="960"/>
      <c r="ID63" s="960"/>
      <c r="IE63" s="960"/>
      <c r="IF63" s="960"/>
      <c r="IG63" s="960"/>
      <c r="IH63" s="960"/>
      <c r="II63" s="960"/>
      <c r="IJ63" s="960"/>
      <c r="IK63" s="960"/>
      <c r="IL63" s="960"/>
      <c r="IM63" s="961"/>
      <c r="IN63" s="962"/>
      <c r="IO63" s="963"/>
      <c r="IP63" s="961"/>
      <c r="IQ63" s="962"/>
      <c r="IR63" s="962"/>
      <c r="IS63" s="459" t="s">
        <v>425</v>
      </c>
      <c r="IT63" s="482">
        <f>COUNTA(IA63:IR63)</f>
        <v>0</v>
      </c>
      <c r="IU63" s="939"/>
      <c r="IV63" s="1016"/>
      <c r="IX63" s="1051">
        <v>46347</v>
      </c>
      <c r="IY63" s="1023"/>
      <c r="IZ63" s="1023"/>
      <c r="JA63" s="1023"/>
      <c r="JB63" s="1023"/>
      <c r="JC63" s="1023"/>
      <c r="JD63" s="1023"/>
      <c r="JE63" s="1023"/>
      <c r="JF63" s="1023"/>
      <c r="JG63" s="1023"/>
      <c r="JH63" s="1023"/>
      <c r="JI63" s="1023"/>
      <c r="JJ63" s="1023"/>
      <c r="JK63" s="1021"/>
      <c r="JL63" s="1022"/>
      <c r="JM63" s="1024"/>
      <c r="JN63" s="1021"/>
      <c r="JO63" s="1022"/>
      <c r="JP63" s="1022"/>
      <c r="JQ63" s="489" t="s">
        <v>425</v>
      </c>
      <c r="JR63" s="496">
        <f>COUNTA(IY63:JP63)</f>
        <v>0</v>
      </c>
      <c r="JS63" s="1067"/>
      <c r="JT63" s="1070"/>
      <c r="JV63" s="1064">
        <v>46377</v>
      </c>
      <c r="JW63" s="960"/>
      <c r="JX63" s="960"/>
      <c r="JY63" s="960"/>
      <c r="JZ63" s="960"/>
      <c r="KA63" s="960"/>
      <c r="KB63" s="960"/>
      <c r="KC63" s="960"/>
      <c r="KD63" s="960"/>
      <c r="KE63" s="960"/>
      <c r="KF63" s="960"/>
      <c r="KG63" s="960"/>
      <c r="KH63" s="960"/>
      <c r="KI63" s="961"/>
      <c r="KJ63" s="962"/>
      <c r="KK63" s="963"/>
      <c r="KL63" s="961"/>
      <c r="KM63" s="962"/>
      <c r="KN63" s="962"/>
      <c r="KO63" s="459" t="s">
        <v>425</v>
      </c>
      <c r="KP63" s="482">
        <f>COUNTA(JW63:KN63)</f>
        <v>0</v>
      </c>
      <c r="KQ63" s="939"/>
      <c r="KR63" s="1016"/>
      <c r="KT63" s="1041">
        <v>46408</v>
      </c>
      <c r="KU63" s="960"/>
      <c r="KV63" s="960"/>
      <c r="KW63" s="960"/>
      <c r="KX63" s="960"/>
      <c r="KY63" s="960"/>
      <c r="KZ63" s="960"/>
      <c r="LA63" s="960"/>
      <c r="LB63" s="960"/>
      <c r="LC63" s="960"/>
      <c r="LD63" s="960"/>
      <c r="LE63" s="960"/>
      <c r="LF63" s="960"/>
      <c r="LG63" s="961"/>
      <c r="LH63" s="962"/>
      <c r="LI63" s="963"/>
      <c r="LJ63" s="961"/>
      <c r="LK63" s="962"/>
      <c r="LL63" s="962"/>
      <c r="LM63" s="459" t="s">
        <v>425</v>
      </c>
      <c r="LN63" s="482">
        <f>COUNTA(KU63:LL63)</f>
        <v>0</v>
      </c>
      <c r="LO63" s="939"/>
      <c r="LP63" s="1016"/>
    </row>
    <row r="64" spans="1:328" ht="15">
      <c r="A64"/>
      <c r="B64" s="729" t="s">
        <v>610</v>
      </c>
      <c r="C64" s="729"/>
      <c r="D64" s="729"/>
      <c r="E64" s="729"/>
      <c r="F64"/>
      <c r="G64"/>
      <c r="H64"/>
      <c r="I64"/>
      <c r="R64" s="846"/>
      <c r="S64" s="231" t="s">
        <v>59</v>
      </c>
      <c r="T64" s="231" t="s">
        <v>73</v>
      </c>
      <c r="U64" s="102" t="s">
        <v>4</v>
      </c>
      <c r="V64" s="231" t="s">
        <v>59</v>
      </c>
      <c r="W64" s="231" t="s">
        <v>73</v>
      </c>
      <c r="X64" s="102" t="s">
        <v>4</v>
      </c>
      <c r="Y64" s="231" t="s">
        <v>59</v>
      </c>
      <c r="Z64" s="231" t="s">
        <v>73</v>
      </c>
      <c r="AA64" s="102" t="s">
        <v>4</v>
      </c>
      <c r="AB64" s="231" t="s">
        <v>59</v>
      </c>
      <c r="AC64" s="231" t="s">
        <v>73</v>
      </c>
      <c r="AD64" s="102" t="s">
        <v>4</v>
      </c>
      <c r="AE64" s="107" t="s">
        <v>59</v>
      </c>
      <c r="AF64" s="107" t="s">
        <v>73</v>
      </c>
      <c r="AG64" s="108" t="s">
        <v>4</v>
      </c>
      <c r="AH64" s="107" t="s">
        <v>59</v>
      </c>
      <c r="AI64" s="107" t="s">
        <v>73</v>
      </c>
      <c r="AJ64" s="471" t="s">
        <v>4</v>
      </c>
      <c r="AK64" s="1004">
        <v>59</v>
      </c>
      <c r="AL64" s="1002">
        <f t="shared" ref="AL64" si="94">(S65*T65*U65)+(V65*W65*X65)+(Y65*Z65*AA65)+(AB65*AC65*AD65)+(AE65*AF65*AG65)+(AH65*AI65*AJ65)</f>
        <v>5943.6583333333328</v>
      </c>
      <c r="AM64" s="940"/>
      <c r="AN64" s="855"/>
      <c r="AO64" s="118"/>
      <c r="AP64" s="841"/>
      <c r="AQ64" s="491" t="s">
        <v>59</v>
      </c>
      <c r="AR64" s="491" t="s">
        <v>73</v>
      </c>
      <c r="AS64" s="492" t="s">
        <v>4</v>
      </c>
      <c r="AT64" s="491" t="s">
        <v>59</v>
      </c>
      <c r="AU64" s="491" t="s">
        <v>73</v>
      </c>
      <c r="AV64" s="492" t="s">
        <v>4</v>
      </c>
      <c r="AW64" s="491" t="s">
        <v>59</v>
      </c>
      <c r="AX64" s="491" t="s">
        <v>73</v>
      </c>
      <c r="AY64" s="492" t="s">
        <v>4</v>
      </c>
      <c r="AZ64" s="491" t="s">
        <v>59</v>
      </c>
      <c r="BA64" s="491" t="s">
        <v>73</v>
      </c>
      <c r="BB64" s="492" t="s">
        <v>4</v>
      </c>
      <c r="BC64" s="491" t="s">
        <v>59</v>
      </c>
      <c r="BD64" s="491" t="s">
        <v>73</v>
      </c>
      <c r="BE64" s="492" t="s">
        <v>4</v>
      </c>
      <c r="BF64" s="491" t="s">
        <v>59</v>
      </c>
      <c r="BG64" s="491" t="s">
        <v>73</v>
      </c>
      <c r="BH64" s="493" t="s">
        <v>4</v>
      </c>
      <c r="BI64" s="1004">
        <v>59</v>
      </c>
      <c r="BJ64" s="1003">
        <f t="shared" si="69"/>
        <v>0</v>
      </c>
      <c r="BK64" s="940"/>
      <c r="BL64" s="1016"/>
      <c r="BM64" s="118"/>
      <c r="BN64" s="841"/>
      <c r="BO64" s="491" t="s">
        <v>59</v>
      </c>
      <c r="BP64" s="491" t="s">
        <v>73</v>
      </c>
      <c r="BQ64" s="492" t="s">
        <v>4</v>
      </c>
      <c r="BR64" s="491" t="s">
        <v>59</v>
      </c>
      <c r="BS64" s="491" t="s">
        <v>73</v>
      </c>
      <c r="BT64" s="492" t="s">
        <v>4</v>
      </c>
      <c r="BU64" s="491" t="s">
        <v>59</v>
      </c>
      <c r="BV64" s="491" t="s">
        <v>73</v>
      </c>
      <c r="BW64" s="492" t="s">
        <v>4</v>
      </c>
      <c r="BX64" s="491" t="s">
        <v>59</v>
      </c>
      <c r="BY64" s="491" t="s">
        <v>73</v>
      </c>
      <c r="BZ64" s="492" t="s">
        <v>4</v>
      </c>
      <c r="CA64" s="491" t="s">
        <v>59</v>
      </c>
      <c r="CB64" s="491" t="s">
        <v>73</v>
      </c>
      <c r="CC64" s="492" t="s">
        <v>4</v>
      </c>
      <c r="CD64" s="491" t="s">
        <v>59</v>
      </c>
      <c r="CE64" s="491" t="s">
        <v>73</v>
      </c>
      <c r="CF64" s="493" t="s">
        <v>4</v>
      </c>
      <c r="CG64" s="1004">
        <f>60+50</f>
        <v>110</v>
      </c>
      <c r="CH64" s="1005">
        <f t="shared" ref="CH64" si="95">(BO65*BP65*BQ65)+(BR65*BS65*BT65)+(BU65*BV65*BW65)+(BX65*BY65*BZ65)+(CA65*CB65*CC65)+(CD65*CE65*CF65)</f>
        <v>6046.4888888888891</v>
      </c>
      <c r="CI64" s="940"/>
      <c r="CJ64" s="1016"/>
      <c r="CL64" s="1075"/>
      <c r="CM64" s="460" t="s">
        <v>59</v>
      </c>
      <c r="CN64" s="460" t="s">
        <v>73</v>
      </c>
      <c r="CO64" s="461" t="s">
        <v>4</v>
      </c>
      <c r="CP64" s="460" t="s">
        <v>59</v>
      </c>
      <c r="CQ64" s="460" t="s">
        <v>73</v>
      </c>
      <c r="CR64" s="461" t="s">
        <v>4</v>
      </c>
      <c r="CS64" s="460" t="s">
        <v>59</v>
      </c>
      <c r="CT64" s="460" t="s">
        <v>73</v>
      </c>
      <c r="CU64" s="461" t="s">
        <v>4</v>
      </c>
      <c r="CV64" s="460" t="s">
        <v>59</v>
      </c>
      <c r="CW64" s="460" t="s">
        <v>73</v>
      </c>
      <c r="CX64" s="461" t="s">
        <v>4</v>
      </c>
      <c r="CY64" s="460" t="s">
        <v>59</v>
      </c>
      <c r="CZ64" s="460" t="s">
        <v>73</v>
      </c>
      <c r="DA64" s="461" t="s">
        <v>4</v>
      </c>
      <c r="DB64" s="460" t="s">
        <v>59</v>
      </c>
      <c r="DC64" s="460" t="s">
        <v>73</v>
      </c>
      <c r="DD64" s="473" t="s">
        <v>4</v>
      </c>
      <c r="DE64" s="1004"/>
      <c r="DF64" s="1005">
        <f>(CM65*CN65*CO65)+(CP65*CQ65*CR65)+(CS65*CT65*CU65)+(CV65*CW65*CX65)+(CY65*CZ65*DA65)+(DB65*DC65*DD65)</f>
        <v>0</v>
      </c>
      <c r="DG64" s="940"/>
      <c r="DH64" s="1016"/>
      <c r="DJ64" s="1042"/>
      <c r="DK64" s="460" t="s">
        <v>59</v>
      </c>
      <c r="DL64" s="460" t="s">
        <v>73</v>
      </c>
      <c r="DM64" s="461" t="s">
        <v>4</v>
      </c>
      <c r="DN64" s="460" t="s">
        <v>59</v>
      </c>
      <c r="DO64" s="460" t="s">
        <v>73</v>
      </c>
      <c r="DP64" s="461" t="s">
        <v>4</v>
      </c>
      <c r="DQ64" s="460" t="s">
        <v>59</v>
      </c>
      <c r="DR64" s="460" t="s">
        <v>73</v>
      </c>
      <c r="DS64" s="461" t="s">
        <v>4</v>
      </c>
      <c r="DT64" s="460" t="s">
        <v>59</v>
      </c>
      <c r="DU64" s="460" t="s">
        <v>73</v>
      </c>
      <c r="DV64" s="461" t="s">
        <v>4</v>
      </c>
      <c r="DW64" s="460" t="s">
        <v>59</v>
      </c>
      <c r="DX64" s="460" t="s">
        <v>73</v>
      </c>
      <c r="DY64" s="461" t="s">
        <v>4</v>
      </c>
      <c r="DZ64" s="460" t="s">
        <v>59</v>
      </c>
      <c r="EA64" s="460" t="s">
        <v>73</v>
      </c>
      <c r="EB64" s="473" t="s">
        <v>4</v>
      </c>
      <c r="EC64" s="1004"/>
      <c r="ED64" s="1005">
        <f>(DK65*DL65*DM65)+(DN65*DO65*DP65)+(DQ65*DR65*DS65)+(DT65*DU65*DV65)+(DW65*DX65*DY65)+(DZ65*EA65*EB65)</f>
        <v>0</v>
      </c>
      <c r="EE64" s="940"/>
      <c r="EF64" s="1016"/>
      <c r="EH64" s="1062"/>
      <c r="EI64" s="460" t="s">
        <v>59</v>
      </c>
      <c r="EJ64" s="460" t="s">
        <v>73</v>
      </c>
      <c r="EK64" s="461" t="s">
        <v>4</v>
      </c>
      <c r="EL64" s="460" t="s">
        <v>59</v>
      </c>
      <c r="EM64" s="460" t="s">
        <v>73</v>
      </c>
      <c r="EN64" s="461" t="s">
        <v>4</v>
      </c>
      <c r="EO64" s="460" t="s">
        <v>59</v>
      </c>
      <c r="EP64" s="460" t="s">
        <v>73</v>
      </c>
      <c r="EQ64" s="461" t="s">
        <v>4</v>
      </c>
      <c r="ER64" s="460" t="s">
        <v>59</v>
      </c>
      <c r="ES64" s="460" t="s">
        <v>73</v>
      </c>
      <c r="ET64" s="461" t="s">
        <v>4</v>
      </c>
      <c r="EU64" s="460" t="s">
        <v>59</v>
      </c>
      <c r="EV64" s="460" t="s">
        <v>73</v>
      </c>
      <c r="EW64" s="461" t="s">
        <v>4</v>
      </c>
      <c r="EX64" s="460" t="s">
        <v>59</v>
      </c>
      <c r="EY64" s="460" t="s">
        <v>73</v>
      </c>
      <c r="EZ64" s="473" t="s">
        <v>4</v>
      </c>
      <c r="FA64" s="1004"/>
      <c r="FB64" s="1005">
        <f>(EI65*EJ65*EK65)+(EL65*EM65*EN65)+(EO65*EP65*EQ65)+(ER65*ES65*ET65)+(EU65*EV65*EW65)+(EX65*EY65*EZ65)</f>
        <v>0</v>
      </c>
      <c r="FC64" s="940"/>
      <c r="FD64" s="1016"/>
      <c r="FF64" s="1075"/>
      <c r="FG64" s="460" t="s">
        <v>59</v>
      </c>
      <c r="FH64" s="460" t="s">
        <v>73</v>
      </c>
      <c r="FI64" s="461" t="s">
        <v>4</v>
      </c>
      <c r="FJ64" s="460" t="s">
        <v>59</v>
      </c>
      <c r="FK64" s="460" t="s">
        <v>73</v>
      </c>
      <c r="FL64" s="461" t="s">
        <v>4</v>
      </c>
      <c r="FM64" s="460" t="s">
        <v>59</v>
      </c>
      <c r="FN64" s="460" t="s">
        <v>73</v>
      </c>
      <c r="FO64" s="461" t="s">
        <v>4</v>
      </c>
      <c r="FP64" s="460" t="s">
        <v>59</v>
      </c>
      <c r="FQ64" s="460" t="s">
        <v>73</v>
      </c>
      <c r="FR64" s="461" t="s">
        <v>4</v>
      </c>
      <c r="FS64" s="460" t="s">
        <v>59</v>
      </c>
      <c r="FT64" s="460" t="s">
        <v>73</v>
      </c>
      <c r="FU64" s="461" t="s">
        <v>4</v>
      </c>
      <c r="FV64" s="460" t="s">
        <v>59</v>
      </c>
      <c r="FW64" s="460" t="s">
        <v>73</v>
      </c>
      <c r="FX64" s="473" t="s">
        <v>4</v>
      </c>
      <c r="FY64" s="1004"/>
      <c r="FZ64" s="1005">
        <f>(FG65*FH65*FI65)+(FJ65*FK65*FL65)+(FM65*FN65*FO65)+(FP65*FQ65*FR65)+(FS65*FT65*FU65)+(FV65*FW65*FX65)</f>
        <v>0</v>
      </c>
      <c r="GA64" s="940"/>
      <c r="GB64" s="1016"/>
      <c r="GD64" s="1049"/>
      <c r="GE64" s="460" t="s">
        <v>59</v>
      </c>
      <c r="GF64" s="460" t="s">
        <v>73</v>
      </c>
      <c r="GG64" s="461" t="s">
        <v>4</v>
      </c>
      <c r="GH64" s="460" t="s">
        <v>59</v>
      </c>
      <c r="GI64" s="460" t="s">
        <v>73</v>
      </c>
      <c r="GJ64" s="461" t="s">
        <v>4</v>
      </c>
      <c r="GK64" s="460" t="s">
        <v>59</v>
      </c>
      <c r="GL64" s="460" t="s">
        <v>73</v>
      </c>
      <c r="GM64" s="461" t="s">
        <v>4</v>
      </c>
      <c r="GN64" s="460" t="s">
        <v>59</v>
      </c>
      <c r="GO64" s="460" t="s">
        <v>73</v>
      </c>
      <c r="GP64" s="461" t="s">
        <v>4</v>
      </c>
      <c r="GQ64" s="460" t="s">
        <v>59</v>
      </c>
      <c r="GR64" s="460" t="s">
        <v>73</v>
      </c>
      <c r="GS64" s="461" t="s">
        <v>4</v>
      </c>
      <c r="GT64" s="460" t="s">
        <v>59</v>
      </c>
      <c r="GU64" s="460" t="s">
        <v>73</v>
      </c>
      <c r="GV64" s="473" t="s">
        <v>4</v>
      </c>
      <c r="GW64" s="1004"/>
      <c r="GX64" s="1005">
        <f>(GE65*GF65*GG65)+(GH65*GI65*GJ65)+(GK65*GL65*GM65)+(GN65*GO65*GP65)+(GQ65*GR65*GS65)+(GT65*GU65*GV65)</f>
        <v>0</v>
      </c>
      <c r="GY64" s="940"/>
      <c r="GZ64" s="1016"/>
      <c r="HB64" s="1065"/>
      <c r="HC64" s="460" t="s">
        <v>59</v>
      </c>
      <c r="HD64" s="460" t="s">
        <v>73</v>
      </c>
      <c r="HE64" s="461" t="s">
        <v>4</v>
      </c>
      <c r="HF64" s="460" t="s">
        <v>59</v>
      </c>
      <c r="HG64" s="460" t="s">
        <v>73</v>
      </c>
      <c r="HH64" s="461" t="s">
        <v>4</v>
      </c>
      <c r="HI64" s="460" t="s">
        <v>59</v>
      </c>
      <c r="HJ64" s="460" t="s">
        <v>73</v>
      </c>
      <c r="HK64" s="461" t="s">
        <v>4</v>
      </c>
      <c r="HL64" s="460" t="s">
        <v>59</v>
      </c>
      <c r="HM64" s="460" t="s">
        <v>73</v>
      </c>
      <c r="HN64" s="461" t="s">
        <v>4</v>
      </c>
      <c r="HO64" s="460" t="s">
        <v>59</v>
      </c>
      <c r="HP64" s="460" t="s">
        <v>73</v>
      </c>
      <c r="HQ64" s="461" t="s">
        <v>4</v>
      </c>
      <c r="HR64" s="460" t="s">
        <v>59</v>
      </c>
      <c r="HS64" s="460" t="s">
        <v>73</v>
      </c>
      <c r="HT64" s="473" t="s">
        <v>4</v>
      </c>
      <c r="HU64" s="1004"/>
      <c r="HV64" s="1005">
        <f>(HC65*HD65*HE65)+(HF65*HG65*HH65)+(HI65*HJ65*HK65)+(HL65*HM65*HN65)+(HO65*HP65*HQ65)+(HR65*HS65*HT65)</f>
        <v>0</v>
      </c>
      <c r="HW64" s="940"/>
      <c r="HX64" s="1016"/>
      <c r="HZ64" s="1039"/>
      <c r="IA64" s="460" t="s">
        <v>59</v>
      </c>
      <c r="IB64" s="460" t="s">
        <v>73</v>
      </c>
      <c r="IC64" s="461" t="s">
        <v>4</v>
      </c>
      <c r="ID64" s="460" t="s">
        <v>59</v>
      </c>
      <c r="IE64" s="460" t="s">
        <v>73</v>
      </c>
      <c r="IF64" s="461" t="s">
        <v>4</v>
      </c>
      <c r="IG64" s="460" t="s">
        <v>59</v>
      </c>
      <c r="IH64" s="460" t="s">
        <v>73</v>
      </c>
      <c r="II64" s="461" t="s">
        <v>4</v>
      </c>
      <c r="IJ64" s="460" t="s">
        <v>59</v>
      </c>
      <c r="IK64" s="460" t="s">
        <v>73</v>
      </c>
      <c r="IL64" s="461" t="s">
        <v>4</v>
      </c>
      <c r="IM64" s="460" t="s">
        <v>59</v>
      </c>
      <c r="IN64" s="460" t="s">
        <v>73</v>
      </c>
      <c r="IO64" s="461" t="s">
        <v>4</v>
      </c>
      <c r="IP64" s="460" t="s">
        <v>59</v>
      </c>
      <c r="IQ64" s="460" t="s">
        <v>73</v>
      </c>
      <c r="IR64" s="473" t="s">
        <v>4</v>
      </c>
      <c r="IS64" s="1004"/>
      <c r="IT64" s="1005">
        <f>(IA65*IB65*IC65)+(ID65*IE65*IF65)+(IG65*IH65*II65)+(IJ65*IK65*IL65)+(IM65*IN65*IO65)+(IP65*IQ65*IR65)</f>
        <v>0</v>
      </c>
      <c r="IU64" s="940"/>
      <c r="IV64" s="1016"/>
      <c r="IX64" s="1052"/>
      <c r="IY64" s="491" t="s">
        <v>59</v>
      </c>
      <c r="IZ64" s="491" t="s">
        <v>73</v>
      </c>
      <c r="JA64" s="492" t="s">
        <v>4</v>
      </c>
      <c r="JB64" s="491" t="s">
        <v>59</v>
      </c>
      <c r="JC64" s="491" t="s">
        <v>73</v>
      </c>
      <c r="JD64" s="492" t="s">
        <v>4</v>
      </c>
      <c r="JE64" s="491" t="s">
        <v>59</v>
      </c>
      <c r="JF64" s="491" t="s">
        <v>73</v>
      </c>
      <c r="JG64" s="492" t="s">
        <v>4</v>
      </c>
      <c r="JH64" s="491" t="s">
        <v>59</v>
      </c>
      <c r="JI64" s="491" t="s">
        <v>73</v>
      </c>
      <c r="JJ64" s="492" t="s">
        <v>4</v>
      </c>
      <c r="JK64" s="491" t="s">
        <v>59</v>
      </c>
      <c r="JL64" s="491" t="s">
        <v>73</v>
      </c>
      <c r="JM64" s="492" t="s">
        <v>4</v>
      </c>
      <c r="JN64" s="491" t="s">
        <v>59</v>
      </c>
      <c r="JO64" s="491" t="s">
        <v>73</v>
      </c>
      <c r="JP64" s="493" t="s">
        <v>4</v>
      </c>
      <c r="JQ64" s="1071"/>
      <c r="JR64" s="1072">
        <f>(IY65*IZ65*JA65)+(JB65*JC65*JD65)+(JE65*JF65*JG65)+(JH65*JI65*JJ65)+(JK65*JL65*JM65)+(JN65*JO65*JP65)</f>
        <v>0</v>
      </c>
      <c r="JS64" s="1068"/>
      <c r="JT64" s="1070"/>
      <c r="JV64" s="1065"/>
      <c r="JW64" s="460" t="s">
        <v>59</v>
      </c>
      <c r="JX64" s="460" t="s">
        <v>73</v>
      </c>
      <c r="JY64" s="461" t="s">
        <v>4</v>
      </c>
      <c r="JZ64" s="460" t="s">
        <v>59</v>
      </c>
      <c r="KA64" s="460" t="s">
        <v>73</v>
      </c>
      <c r="KB64" s="461" t="s">
        <v>4</v>
      </c>
      <c r="KC64" s="460" t="s">
        <v>59</v>
      </c>
      <c r="KD64" s="460" t="s">
        <v>73</v>
      </c>
      <c r="KE64" s="461" t="s">
        <v>4</v>
      </c>
      <c r="KF64" s="460" t="s">
        <v>59</v>
      </c>
      <c r="KG64" s="460" t="s">
        <v>73</v>
      </c>
      <c r="KH64" s="461" t="s">
        <v>4</v>
      </c>
      <c r="KI64" s="460" t="s">
        <v>59</v>
      </c>
      <c r="KJ64" s="460" t="s">
        <v>73</v>
      </c>
      <c r="KK64" s="461" t="s">
        <v>4</v>
      </c>
      <c r="KL64" s="460" t="s">
        <v>59</v>
      </c>
      <c r="KM64" s="460" t="s">
        <v>73</v>
      </c>
      <c r="KN64" s="473" t="s">
        <v>4</v>
      </c>
      <c r="KO64" s="1004"/>
      <c r="KP64" s="1005">
        <f>(JW65*JX65*JY65)+(JZ65*KA65*KB65)+(KC65*KD65*KE65)+(KF65*KG65*KH65)+(KI65*KJ65*KK65)+(KL65*KM65*KN65)</f>
        <v>0</v>
      </c>
      <c r="KQ64" s="940"/>
      <c r="KR64" s="1016"/>
      <c r="KT64" s="1042"/>
      <c r="KU64" s="460" t="s">
        <v>59</v>
      </c>
      <c r="KV64" s="460" t="s">
        <v>73</v>
      </c>
      <c r="KW64" s="461" t="s">
        <v>4</v>
      </c>
      <c r="KX64" s="460" t="s">
        <v>59</v>
      </c>
      <c r="KY64" s="460" t="s">
        <v>73</v>
      </c>
      <c r="KZ64" s="461" t="s">
        <v>4</v>
      </c>
      <c r="LA64" s="460" t="s">
        <v>59</v>
      </c>
      <c r="LB64" s="460" t="s">
        <v>73</v>
      </c>
      <c r="LC64" s="461" t="s">
        <v>4</v>
      </c>
      <c r="LD64" s="460" t="s">
        <v>59</v>
      </c>
      <c r="LE64" s="460" t="s">
        <v>73</v>
      </c>
      <c r="LF64" s="461" t="s">
        <v>4</v>
      </c>
      <c r="LG64" s="460" t="s">
        <v>59</v>
      </c>
      <c r="LH64" s="460" t="s">
        <v>73</v>
      </c>
      <c r="LI64" s="461" t="s">
        <v>4</v>
      </c>
      <c r="LJ64" s="460" t="s">
        <v>59</v>
      </c>
      <c r="LK64" s="460" t="s">
        <v>73</v>
      </c>
      <c r="LL64" s="473" t="s">
        <v>4</v>
      </c>
      <c r="LM64" s="1004"/>
      <c r="LN64" s="1005">
        <f>(KU65*KV65*KW65)+(KX65*KY65*KZ65)+(LA65*LB65*LC65)+(LD65*LE65*LF65)+(LG65*LH65*LI65)+(LJ65*LK65*LL65)</f>
        <v>0</v>
      </c>
      <c r="LO64" s="940"/>
      <c r="LP64" s="1016"/>
    </row>
    <row r="65" spans="1:328" ht="15">
      <c r="A65"/>
      <c r="B65"/>
      <c r="C65"/>
      <c r="D65"/>
      <c r="E65"/>
      <c r="F65"/>
      <c r="G65"/>
      <c r="H65"/>
      <c r="I65"/>
      <c r="R65" s="847"/>
      <c r="S65" s="229">
        <v>4</v>
      </c>
      <c r="T65" s="229">
        <f>((12*2)+(10*1)+(8*1))/4</f>
        <v>10.5</v>
      </c>
      <c r="U65" s="229">
        <f>((6*1)+(13.5*2)+(14.65*1))/4</f>
        <v>11.9125</v>
      </c>
      <c r="V65" s="229">
        <v>4</v>
      </c>
      <c r="W65" s="229">
        <f>((12*2)+(8*2))/4</f>
        <v>10</v>
      </c>
      <c r="X65" s="126">
        <f>((15*1)+(30*2)+(35*1))/4</f>
        <v>27.5</v>
      </c>
      <c r="Y65" s="229">
        <v>4</v>
      </c>
      <c r="Z65" s="229">
        <f>((12*2)+(8*2))/4</f>
        <v>10</v>
      </c>
      <c r="AA65" s="229">
        <f>((23*1)+(50*2)+(54*1))/4</f>
        <v>44.25</v>
      </c>
      <c r="AB65" s="229">
        <v>4</v>
      </c>
      <c r="AC65" s="229">
        <f>((20*3)+(40*1))/4</f>
        <v>25</v>
      </c>
      <c r="AD65" s="229">
        <f>(1/3)*AN63</f>
        <v>25.733333333333334</v>
      </c>
      <c r="AE65" s="233"/>
      <c r="AF65" s="233"/>
      <c r="AG65" s="233"/>
      <c r="AH65" s="233"/>
      <c r="AI65" s="233"/>
      <c r="AJ65" s="472"/>
      <c r="AK65" s="1007"/>
      <c r="AL65" s="1002"/>
      <c r="AM65" s="941"/>
      <c r="AN65" s="855"/>
      <c r="AO65" s="118"/>
      <c r="AP65" s="842"/>
      <c r="AQ65" s="494"/>
      <c r="AR65" s="494"/>
      <c r="AS65" s="494"/>
      <c r="AT65" s="494"/>
      <c r="AU65" s="494"/>
      <c r="AV65" s="494"/>
      <c r="AW65" s="494"/>
      <c r="AX65" s="494"/>
      <c r="AY65" s="494"/>
      <c r="AZ65" s="494"/>
      <c r="BA65" s="494"/>
      <c r="BB65" s="494"/>
      <c r="BC65" s="494"/>
      <c r="BD65" s="494"/>
      <c r="BE65" s="494"/>
      <c r="BF65" s="494"/>
      <c r="BG65" s="494"/>
      <c r="BH65" s="497"/>
      <c r="BI65" s="1007"/>
      <c r="BJ65" s="1003"/>
      <c r="BK65" s="941"/>
      <c r="BL65" s="1016"/>
      <c r="BM65" s="118"/>
      <c r="BN65" s="842"/>
      <c r="BO65" s="494">
        <v>4</v>
      </c>
      <c r="BP65" s="494">
        <f>((12*1)+(6*3))/4</f>
        <v>7.5</v>
      </c>
      <c r="BQ65" s="494">
        <f>((25*1)+(50*3))/4</f>
        <v>43.75</v>
      </c>
      <c r="BR65" s="494">
        <v>4</v>
      </c>
      <c r="BS65" s="494">
        <f>((12*4))/4</f>
        <v>12</v>
      </c>
      <c r="BT65" s="494">
        <f>((36*1)+(72*3))/4</f>
        <v>63</v>
      </c>
      <c r="BU65" s="494">
        <v>4</v>
      </c>
      <c r="BV65" s="494">
        <f>((12*2)+(10*2))/4</f>
        <v>11</v>
      </c>
      <c r="BW65" s="494">
        <f>((11.3*1)+(22.7*3))/4</f>
        <v>19.849999999999998</v>
      </c>
      <c r="BX65" s="494">
        <v>4</v>
      </c>
      <c r="BY65" s="494">
        <f>((((0.38/0.3)*0.5)*1)+(((1.15/1)*1)*3))/4</f>
        <v>1.0208333333333333</v>
      </c>
      <c r="BZ65" s="494">
        <f>CJ63*(2/3)</f>
        <v>51.86666666666666</v>
      </c>
      <c r="CA65" s="494">
        <v>4</v>
      </c>
      <c r="CB65" s="494">
        <f>((12*2)+(10*2))/4</f>
        <v>11</v>
      </c>
      <c r="CC65" s="494">
        <f>((9.1*1)+(15.9*3))/4</f>
        <v>14.200000000000001</v>
      </c>
      <c r="CD65" s="494"/>
      <c r="CE65" s="494"/>
      <c r="CF65" s="497"/>
      <c r="CG65" s="1007"/>
      <c r="CH65" s="1006"/>
      <c r="CI65" s="941"/>
      <c r="CJ65" s="1016"/>
      <c r="CL65" s="1076"/>
      <c r="CM65" s="462"/>
      <c r="CN65" s="462"/>
      <c r="CO65" s="462"/>
      <c r="CP65" s="462"/>
      <c r="CQ65" s="462"/>
      <c r="CR65" s="462"/>
      <c r="CS65" s="462"/>
      <c r="CT65" s="462"/>
      <c r="CU65" s="462"/>
      <c r="CV65" s="462"/>
      <c r="CW65" s="462"/>
      <c r="CX65" s="462"/>
      <c r="CY65" s="462"/>
      <c r="CZ65" s="462"/>
      <c r="DA65" s="462"/>
      <c r="DB65" s="462"/>
      <c r="DC65" s="462"/>
      <c r="DD65" s="475"/>
      <c r="DE65" s="1007"/>
      <c r="DF65" s="1006"/>
      <c r="DG65" s="941"/>
      <c r="DH65" s="1016"/>
      <c r="DJ65" s="1043"/>
      <c r="DK65" s="462"/>
      <c r="DL65" s="462"/>
      <c r="DM65" s="462"/>
      <c r="DN65" s="462"/>
      <c r="DO65" s="462"/>
      <c r="DP65" s="462"/>
      <c r="DQ65" s="462"/>
      <c r="DR65" s="462"/>
      <c r="DS65" s="462"/>
      <c r="DT65" s="462"/>
      <c r="DU65" s="462"/>
      <c r="DV65" s="462"/>
      <c r="DW65" s="462"/>
      <c r="DX65" s="462"/>
      <c r="DY65" s="462"/>
      <c r="DZ65" s="462"/>
      <c r="EA65" s="462"/>
      <c r="EB65" s="475"/>
      <c r="EC65" s="1007"/>
      <c r="ED65" s="1006"/>
      <c r="EE65" s="941"/>
      <c r="EF65" s="1016"/>
      <c r="EH65" s="1063"/>
      <c r="EI65" s="462"/>
      <c r="EJ65" s="462"/>
      <c r="EK65" s="462"/>
      <c r="EL65" s="462"/>
      <c r="EM65" s="462"/>
      <c r="EN65" s="462"/>
      <c r="EO65" s="462"/>
      <c r="EP65" s="462"/>
      <c r="EQ65" s="462"/>
      <c r="ER65" s="462"/>
      <c r="ES65" s="462"/>
      <c r="ET65" s="462"/>
      <c r="EU65" s="462"/>
      <c r="EV65" s="462"/>
      <c r="EW65" s="462"/>
      <c r="EX65" s="462"/>
      <c r="EY65" s="462"/>
      <c r="EZ65" s="475"/>
      <c r="FA65" s="1007"/>
      <c r="FB65" s="1006"/>
      <c r="FC65" s="941"/>
      <c r="FD65" s="1016"/>
      <c r="FF65" s="1076"/>
      <c r="FG65" s="462"/>
      <c r="FH65" s="462"/>
      <c r="FI65" s="462"/>
      <c r="FJ65" s="462"/>
      <c r="FK65" s="462"/>
      <c r="FL65" s="462"/>
      <c r="FM65" s="462"/>
      <c r="FN65" s="462"/>
      <c r="FO65" s="462"/>
      <c r="FP65" s="462"/>
      <c r="FQ65" s="462"/>
      <c r="FR65" s="462"/>
      <c r="FS65" s="462"/>
      <c r="FT65" s="462"/>
      <c r="FU65" s="462"/>
      <c r="FV65" s="462"/>
      <c r="FW65" s="462"/>
      <c r="FX65" s="475"/>
      <c r="FY65" s="1007"/>
      <c r="FZ65" s="1006"/>
      <c r="GA65" s="941"/>
      <c r="GB65" s="1016"/>
      <c r="GD65" s="1050"/>
      <c r="GE65" s="462"/>
      <c r="GF65" s="462"/>
      <c r="GG65" s="462"/>
      <c r="GH65" s="462"/>
      <c r="GI65" s="462"/>
      <c r="GJ65" s="462"/>
      <c r="GK65" s="462"/>
      <c r="GL65" s="462"/>
      <c r="GM65" s="462"/>
      <c r="GN65" s="462"/>
      <c r="GO65" s="462"/>
      <c r="GP65" s="462"/>
      <c r="GQ65" s="462"/>
      <c r="GR65" s="462"/>
      <c r="GS65" s="462"/>
      <c r="GT65" s="462"/>
      <c r="GU65" s="462"/>
      <c r="GV65" s="475"/>
      <c r="GW65" s="1007"/>
      <c r="GX65" s="1006"/>
      <c r="GY65" s="941"/>
      <c r="GZ65" s="1016"/>
      <c r="HB65" s="1066"/>
      <c r="HC65" s="462"/>
      <c r="HD65" s="462"/>
      <c r="HE65" s="462"/>
      <c r="HF65" s="462"/>
      <c r="HG65" s="462"/>
      <c r="HH65" s="462"/>
      <c r="HI65" s="462"/>
      <c r="HJ65" s="462"/>
      <c r="HK65" s="462"/>
      <c r="HL65" s="462"/>
      <c r="HM65" s="462"/>
      <c r="HN65" s="462"/>
      <c r="HO65" s="462"/>
      <c r="HP65" s="462"/>
      <c r="HQ65" s="462"/>
      <c r="HR65" s="462"/>
      <c r="HS65" s="462"/>
      <c r="HT65" s="475"/>
      <c r="HU65" s="1007"/>
      <c r="HV65" s="1006"/>
      <c r="HW65" s="941"/>
      <c r="HX65" s="1016"/>
      <c r="HZ65" s="1040"/>
      <c r="IA65" s="462"/>
      <c r="IB65" s="462"/>
      <c r="IC65" s="462"/>
      <c r="ID65" s="462"/>
      <c r="IE65" s="462"/>
      <c r="IF65" s="462"/>
      <c r="IG65" s="462"/>
      <c r="IH65" s="462"/>
      <c r="II65" s="462"/>
      <c r="IJ65" s="462"/>
      <c r="IK65" s="462"/>
      <c r="IL65" s="462"/>
      <c r="IM65" s="462"/>
      <c r="IN65" s="462"/>
      <c r="IO65" s="462"/>
      <c r="IP65" s="462"/>
      <c r="IQ65" s="462"/>
      <c r="IR65" s="475"/>
      <c r="IS65" s="1007"/>
      <c r="IT65" s="1006"/>
      <c r="IU65" s="941"/>
      <c r="IV65" s="1016"/>
      <c r="IX65" s="1053"/>
      <c r="IY65" s="494"/>
      <c r="IZ65" s="494"/>
      <c r="JA65" s="494"/>
      <c r="JB65" s="494"/>
      <c r="JC65" s="494"/>
      <c r="JD65" s="494"/>
      <c r="JE65" s="494"/>
      <c r="JF65" s="494"/>
      <c r="JG65" s="494"/>
      <c r="JH65" s="494"/>
      <c r="JI65" s="494"/>
      <c r="JJ65" s="494"/>
      <c r="JK65" s="494"/>
      <c r="JL65" s="494"/>
      <c r="JM65" s="494"/>
      <c r="JN65" s="494"/>
      <c r="JO65" s="494"/>
      <c r="JP65" s="497"/>
      <c r="JQ65" s="1081"/>
      <c r="JR65" s="1073"/>
      <c r="JS65" s="1069"/>
      <c r="JT65" s="1070"/>
      <c r="JV65" s="1066"/>
      <c r="JW65" s="462"/>
      <c r="JX65" s="462"/>
      <c r="JY65" s="462"/>
      <c r="JZ65" s="462"/>
      <c r="KA65" s="462"/>
      <c r="KB65" s="462"/>
      <c r="KC65" s="462"/>
      <c r="KD65" s="462"/>
      <c r="KE65" s="462"/>
      <c r="KF65" s="462"/>
      <c r="KG65" s="462"/>
      <c r="KH65" s="462"/>
      <c r="KI65" s="462"/>
      <c r="KJ65" s="462"/>
      <c r="KK65" s="462"/>
      <c r="KL65" s="462"/>
      <c r="KM65" s="462"/>
      <c r="KN65" s="475"/>
      <c r="KO65" s="1007"/>
      <c r="KP65" s="1006"/>
      <c r="KQ65" s="941"/>
      <c r="KR65" s="1016"/>
      <c r="KT65" s="1043"/>
      <c r="KU65" s="462"/>
      <c r="KV65" s="462"/>
      <c r="KW65" s="462"/>
      <c r="KX65" s="462"/>
      <c r="KY65" s="462"/>
      <c r="KZ65" s="462"/>
      <c r="LA65" s="462"/>
      <c r="LB65" s="462"/>
      <c r="LC65" s="462"/>
      <c r="LD65" s="462"/>
      <c r="LE65" s="462"/>
      <c r="LF65" s="462"/>
      <c r="LG65" s="462"/>
      <c r="LH65" s="462"/>
      <c r="LI65" s="462"/>
      <c r="LJ65" s="462"/>
      <c r="LK65" s="462"/>
      <c r="LL65" s="475"/>
      <c r="LM65" s="1007"/>
      <c r="LN65" s="1006"/>
      <c r="LO65" s="941"/>
      <c r="LP65" s="1016"/>
    </row>
    <row r="66" spans="1:328" ht="15">
      <c r="A66" s="400" t="s">
        <v>611</v>
      </c>
      <c r="B66" s="971" t="s">
        <v>612</v>
      </c>
      <c r="C66" s="729"/>
      <c r="D66" s="729"/>
      <c r="E66" s="729"/>
      <c r="F66"/>
      <c r="G66"/>
      <c r="H66"/>
      <c r="I66"/>
      <c r="R66" s="873">
        <v>46044</v>
      </c>
      <c r="S66" s="973" t="s">
        <v>72</v>
      </c>
      <c r="T66" s="973"/>
      <c r="U66" s="973"/>
      <c r="V66" s="977" t="s">
        <v>102</v>
      </c>
      <c r="W66" s="977"/>
      <c r="X66" s="977"/>
      <c r="Y66" s="977" t="s">
        <v>424</v>
      </c>
      <c r="Z66" s="977"/>
      <c r="AA66" s="977"/>
      <c r="AB66" s="977" t="s">
        <v>380</v>
      </c>
      <c r="AC66" s="977"/>
      <c r="AD66" s="977"/>
      <c r="AE66" s="978" t="s">
        <v>78</v>
      </c>
      <c r="AF66" s="979"/>
      <c r="AG66" s="980"/>
      <c r="AH66" s="834"/>
      <c r="AI66" s="835"/>
      <c r="AJ66" s="835"/>
      <c r="AK66" s="459" t="s">
        <v>425</v>
      </c>
      <c r="AL66" s="1">
        <f t="shared" ref="AL66" si="96">COUNTA(S66:AJ66)</f>
        <v>5</v>
      </c>
      <c r="AM66" s="939"/>
      <c r="AN66" s="855">
        <v>77.599999999999994</v>
      </c>
      <c r="AO66" s="118"/>
      <c r="AP66" s="864">
        <v>46075</v>
      </c>
      <c r="AQ66" s="849" t="s">
        <v>434</v>
      </c>
      <c r="AR66" s="849"/>
      <c r="AS66" s="849"/>
      <c r="AT66" s="849" t="s">
        <v>72</v>
      </c>
      <c r="AU66" s="849"/>
      <c r="AV66" s="849"/>
      <c r="AW66" s="890" t="s">
        <v>435</v>
      </c>
      <c r="AX66" s="890"/>
      <c r="AY66" s="890"/>
      <c r="AZ66" s="848" t="s">
        <v>68</v>
      </c>
      <c r="BA66" s="848"/>
      <c r="BB66" s="848"/>
      <c r="BC66" s="972" t="s">
        <v>756</v>
      </c>
      <c r="BD66" s="972"/>
      <c r="BE66" s="972"/>
      <c r="BF66" s="834"/>
      <c r="BG66" s="835"/>
      <c r="BH66" s="835"/>
      <c r="BI66" s="459" t="s">
        <v>425</v>
      </c>
      <c r="BJ66" s="482">
        <f t="shared" ref="BJ66:BJ93" si="97">COUNTA(AQ66:BH66)</f>
        <v>5</v>
      </c>
      <c r="BK66" s="939"/>
      <c r="BL66" s="1016">
        <v>77.75</v>
      </c>
      <c r="BM66" s="118"/>
      <c r="BN66" s="864">
        <v>46103</v>
      </c>
      <c r="BO66" s="890" t="s">
        <v>131</v>
      </c>
      <c r="BP66" s="890"/>
      <c r="BQ66" s="890"/>
      <c r="BR66" s="849" t="s">
        <v>72</v>
      </c>
      <c r="BS66" s="849"/>
      <c r="BT66" s="849"/>
      <c r="BU66" s="890" t="s">
        <v>779</v>
      </c>
      <c r="BV66" s="890"/>
      <c r="BW66" s="890"/>
      <c r="BX66" s="848" t="s">
        <v>68</v>
      </c>
      <c r="BY66" s="848"/>
      <c r="BZ66" s="848"/>
      <c r="CA66" s="977" t="s">
        <v>756</v>
      </c>
      <c r="CB66" s="977"/>
      <c r="CC66" s="977"/>
      <c r="CD66" s="834"/>
      <c r="CE66" s="835"/>
      <c r="CF66" s="835"/>
      <c r="CG66" s="459" t="s">
        <v>425</v>
      </c>
      <c r="CH66" s="482">
        <f t="shared" ref="CH66" si="98">COUNTA(BO66:CF66)</f>
        <v>5</v>
      </c>
      <c r="CI66" s="939">
        <v>9</v>
      </c>
      <c r="CJ66" s="1016">
        <v>76.3</v>
      </c>
      <c r="CL66" s="1038">
        <v>46134</v>
      </c>
      <c r="CM66" s="960"/>
      <c r="CN66" s="960"/>
      <c r="CO66" s="960"/>
      <c r="CP66" s="960"/>
      <c r="CQ66" s="960"/>
      <c r="CR66" s="960"/>
      <c r="CS66" s="960"/>
      <c r="CT66" s="960"/>
      <c r="CU66" s="960"/>
      <c r="CV66" s="960"/>
      <c r="CW66" s="960"/>
      <c r="CX66" s="960"/>
      <c r="CY66" s="961"/>
      <c r="CZ66" s="962"/>
      <c r="DA66" s="963"/>
      <c r="DB66" s="961"/>
      <c r="DC66" s="962"/>
      <c r="DD66" s="962"/>
      <c r="DE66" s="459" t="s">
        <v>425</v>
      </c>
      <c r="DF66" s="482">
        <f>COUNTA(CM66:DD66)</f>
        <v>0</v>
      </c>
      <c r="DG66" s="939"/>
      <c r="DH66" s="1016"/>
      <c r="DJ66" s="1048">
        <v>46164</v>
      </c>
      <c r="DK66" s="960"/>
      <c r="DL66" s="960"/>
      <c r="DM66" s="960"/>
      <c r="DN66" s="960"/>
      <c r="DO66" s="960"/>
      <c r="DP66" s="960"/>
      <c r="DQ66" s="960"/>
      <c r="DR66" s="960"/>
      <c r="DS66" s="960"/>
      <c r="DT66" s="960"/>
      <c r="DU66" s="960"/>
      <c r="DV66" s="960"/>
      <c r="DW66" s="961"/>
      <c r="DX66" s="962"/>
      <c r="DY66" s="963"/>
      <c r="DZ66" s="961"/>
      <c r="EA66" s="962"/>
      <c r="EB66" s="962"/>
      <c r="EC66" s="459" t="s">
        <v>425</v>
      </c>
      <c r="ED66" s="482">
        <f>COUNTA(DK66:EB66)</f>
        <v>0</v>
      </c>
      <c r="EE66" s="939"/>
      <c r="EF66" s="1016"/>
      <c r="EH66" s="1064">
        <v>46195</v>
      </c>
      <c r="EI66" s="960"/>
      <c r="EJ66" s="960"/>
      <c r="EK66" s="960"/>
      <c r="EL66" s="960"/>
      <c r="EM66" s="960"/>
      <c r="EN66" s="960"/>
      <c r="EO66" s="960"/>
      <c r="EP66" s="960"/>
      <c r="EQ66" s="960"/>
      <c r="ER66" s="960"/>
      <c r="ES66" s="960"/>
      <c r="ET66" s="960"/>
      <c r="EU66" s="961"/>
      <c r="EV66" s="962"/>
      <c r="EW66" s="963"/>
      <c r="EX66" s="961"/>
      <c r="EY66" s="962"/>
      <c r="EZ66" s="962"/>
      <c r="FA66" s="459" t="s">
        <v>425</v>
      </c>
      <c r="FB66" s="482">
        <f>COUNTA(EI66:EZ66)</f>
        <v>0</v>
      </c>
      <c r="FC66" s="939"/>
      <c r="FD66" s="1016"/>
      <c r="FF66" s="1038">
        <v>46225</v>
      </c>
      <c r="FG66" s="960"/>
      <c r="FH66" s="960"/>
      <c r="FI66" s="960"/>
      <c r="FJ66" s="960"/>
      <c r="FK66" s="960"/>
      <c r="FL66" s="960"/>
      <c r="FM66" s="960"/>
      <c r="FN66" s="960"/>
      <c r="FO66" s="960"/>
      <c r="FP66" s="960"/>
      <c r="FQ66" s="960"/>
      <c r="FR66" s="960"/>
      <c r="FS66" s="961"/>
      <c r="FT66" s="962"/>
      <c r="FU66" s="963"/>
      <c r="FV66" s="961"/>
      <c r="FW66" s="962"/>
      <c r="FX66" s="962"/>
      <c r="FY66" s="459" t="s">
        <v>425</v>
      </c>
      <c r="FZ66" s="482">
        <f>COUNTA(FG66:FX66)</f>
        <v>0</v>
      </c>
      <c r="GA66" s="939"/>
      <c r="GB66" s="1016"/>
      <c r="GD66" s="1051">
        <v>46256</v>
      </c>
      <c r="GE66" s="1023"/>
      <c r="GF66" s="1023"/>
      <c r="GG66" s="1023"/>
      <c r="GH66" s="1023"/>
      <c r="GI66" s="1023"/>
      <c r="GJ66" s="1023"/>
      <c r="GK66" s="1023"/>
      <c r="GL66" s="1023"/>
      <c r="GM66" s="1023"/>
      <c r="GN66" s="1023"/>
      <c r="GO66" s="1023"/>
      <c r="GP66" s="1023"/>
      <c r="GQ66" s="1021"/>
      <c r="GR66" s="1022"/>
      <c r="GS66" s="1024"/>
      <c r="GT66" s="1021"/>
      <c r="GU66" s="1022"/>
      <c r="GV66" s="1022"/>
      <c r="GW66" s="489" t="s">
        <v>425</v>
      </c>
      <c r="GX66" s="496">
        <f>COUNTA(GE66:GV66)</f>
        <v>0</v>
      </c>
      <c r="GY66" s="1067"/>
      <c r="GZ66" s="1070"/>
      <c r="HB66" s="1074">
        <v>46287</v>
      </c>
      <c r="HC66" s="960"/>
      <c r="HD66" s="960"/>
      <c r="HE66" s="960"/>
      <c r="HF66" s="960"/>
      <c r="HG66" s="960"/>
      <c r="HH66" s="960"/>
      <c r="HI66" s="960"/>
      <c r="HJ66" s="960"/>
      <c r="HK66" s="960"/>
      <c r="HL66" s="960"/>
      <c r="HM66" s="960"/>
      <c r="HN66" s="960"/>
      <c r="HO66" s="961"/>
      <c r="HP66" s="962"/>
      <c r="HQ66" s="963"/>
      <c r="HR66" s="961"/>
      <c r="HS66" s="962"/>
      <c r="HT66" s="962"/>
      <c r="HU66" s="459" t="s">
        <v>425</v>
      </c>
      <c r="HV66" s="482">
        <f>COUNTA(HC66:HT66)</f>
        <v>0</v>
      </c>
      <c r="HW66" s="939"/>
      <c r="HX66" s="1016"/>
      <c r="HZ66" s="1041">
        <v>46317</v>
      </c>
      <c r="IA66" s="960"/>
      <c r="IB66" s="960"/>
      <c r="IC66" s="960"/>
      <c r="ID66" s="960"/>
      <c r="IE66" s="960"/>
      <c r="IF66" s="960"/>
      <c r="IG66" s="960"/>
      <c r="IH66" s="960"/>
      <c r="II66" s="960"/>
      <c r="IJ66" s="960"/>
      <c r="IK66" s="960"/>
      <c r="IL66" s="960"/>
      <c r="IM66" s="961"/>
      <c r="IN66" s="962"/>
      <c r="IO66" s="963"/>
      <c r="IP66" s="961"/>
      <c r="IQ66" s="962"/>
      <c r="IR66" s="962"/>
      <c r="IS66" s="459" t="s">
        <v>425</v>
      </c>
      <c r="IT66" s="482">
        <f>COUNTA(IA66:IR66)</f>
        <v>0</v>
      </c>
      <c r="IU66" s="939"/>
      <c r="IV66" s="1016"/>
      <c r="IX66" s="1061">
        <v>46348</v>
      </c>
      <c r="IY66" s="960"/>
      <c r="IZ66" s="960"/>
      <c r="JA66" s="960"/>
      <c r="JB66" s="960"/>
      <c r="JC66" s="960"/>
      <c r="JD66" s="960"/>
      <c r="JE66" s="960"/>
      <c r="JF66" s="960"/>
      <c r="JG66" s="960"/>
      <c r="JH66" s="960"/>
      <c r="JI66" s="960"/>
      <c r="JJ66" s="960"/>
      <c r="JK66" s="961"/>
      <c r="JL66" s="962"/>
      <c r="JM66" s="963"/>
      <c r="JN66" s="961"/>
      <c r="JO66" s="962"/>
      <c r="JP66" s="962"/>
      <c r="JQ66" s="459" t="s">
        <v>425</v>
      </c>
      <c r="JR66" s="482">
        <f>COUNTA(IY66:JP66)</f>
        <v>0</v>
      </c>
      <c r="JS66" s="939"/>
      <c r="JT66" s="1016"/>
      <c r="JV66" s="1074">
        <v>46378</v>
      </c>
      <c r="JW66" s="960"/>
      <c r="JX66" s="960"/>
      <c r="JY66" s="960"/>
      <c r="JZ66" s="960"/>
      <c r="KA66" s="960"/>
      <c r="KB66" s="960"/>
      <c r="KC66" s="960"/>
      <c r="KD66" s="960"/>
      <c r="KE66" s="960"/>
      <c r="KF66" s="960"/>
      <c r="KG66" s="960"/>
      <c r="KH66" s="960"/>
      <c r="KI66" s="961"/>
      <c r="KJ66" s="962"/>
      <c r="KK66" s="963"/>
      <c r="KL66" s="961"/>
      <c r="KM66" s="962"/>
      <c r="KN66" s="962"/>
      <c r="KO66" s="459" t="s">
        <v>425</v>
      </c>
      <c r="KP66" s="482">
        <f>COUNTA(JW66:KN66)</f>
        <v>0</v>
      </c>
      <c r="KQ66" s="939"/>
      <c r="KR66" s="1016"/>
      <c r="KT66" s="1048">
        <v>46409</v>
      </c>
      <c r="KU66" s="960"/>
      <c r="KV66" s="960"/>
      <c r="KW66" s="960"/>
      <c r="KX66" s="960"/>
      <c r="KY66" s="960"/>
      <c r="KZ66" s="960"/>
      <c r="LA66" s="960"/>
      <c r="LB66" s="960"/>
      <c r="LC66" s="960"/>
      <c r="LD66" s="960"/>
      <c r="LE66" s="960"/>
      <c r="LF66" s="960"/>
      <c r="LG66" s="961"/>
      <c r="LH66" s="962"/>
      <c r="LI66" s="963"/>
      <c r="LJ66" s="961"/>
      <c r="LK66" s="962"/>
      <c r="LL66" s="962"/>
      <c r="LM66" s="459" t="s">
        <v>425</v>
      </c>
      <c r="LN66" s="482">
        <f>COUNTA(KU66:LL66)</f>
        <v>0</v>
      </c>
      <c r="LO66" s="939"/>
      <c r="LP66" s="1016"/>
    </row>
    <row r="67" spans="1:328" ht="15">
      <c r="A67"/>
      <c r="B67" s="729" t="s">
        <v>613</v>
      </c>
      <c r="C67" s="729"/>
      <c r="D67" s="729"/>
      <c r="E67" s="729"/>
      <c r="F67"/>
      <c r="G67"/>
      <c r="H67"/>
      <c r="I67"/>
      <c r="R67" s="874"/>
      <c r="S67" s="303" t="s">
        <v>59</v>
      </c>
      <c r="T67" s="303" t="s">
        <v>73</v>
      </c>
      <c r="U67" s="304" t="s">
        <v>4</v>
      </c>
      <c r="V67" s="303" t="s">
        <v>59</v>
      </c>
      <c r="W67" s="303" t="s">
        <v>73</v>
      </c>
      <c r="X67" s="304" t="s">
        <v>4</v>
      </c>
      <c r="Y67" s="303" t="s">
        <v>59</v>
      </c>
      <c r="Z67" s="303" t="s">
        <v>73</v>
      </c>
      <c r="AA67" s="304" t="s">
        <v>4</v>
      </c>
      <c r="AB67" s="303" t="s">
        <v>59</v>
      </c>
      <c r="AC67" s="303" t="s">
        <v>73</v>
      </c>
      <c r="AD67" s="304" t="s">
        <v>4</v>
      </c>
      <c r="AE67" s="303" t="s">
        <v>59</v>
      </c>
      <c r="AF67" s="303" t="s">
        <v>73</v>
      </c>
      <c r="AG67" s="304" t="s">
        <v>4</v>
      </c>
      <c r="AH67" s="107" t="s">
        <v>59</v>
      </c>
      <c r="AI67" s="107" t="s">
        <v>73</v>
      </c>
      <c r="AJ67" s="471" t="s">
        <v>4</v>
      </c>
      <c r="AK67" s="1004">
        <v>62</v>
      </c>
      <c r="AL67" s="1002">
        <f t="shared" ref="AL67" si="99">(S68*T68*U68)+(V68*W68*X68)+(Y68*Z68*AA68)+(AB68*AC68*AD68)+(AE68*AF68*AG68)+(AH68*AI68*AJ68)</f>
        <v>5055</v>
      </c>
      <c r="AM67" s="940"/>
      <c r="AN67" s="855"/>
      <c r="AO67" s="118"/>
      <c r="AP67" s="865"/>
      <c r="AQ67" s="231" t="s">
        <v>59</v>
      </c>
      <c r="AR67" s="231" t="s">
        <v>73</v>
      </c>
      <c r="AS67" s="102" t="s">
        <v>4</v>
      </c>
      <c r="AT67" s="231" t="s">
        <v>59</v>
      </c>
      <c r="AU67" s="231" t="s">
        <v>73</v>
      </c>
      <c r="AV67" s="102" t="s">
        <v>4</v>
      </c>
      <c r="AW67" s="231" t="s">
        <v>59</v>
      </c>
      <c r="AX67" s="231" t="s">
        <v>73</v>
      </c>
      <c r="AY67" s="102" t="s">
        <v>4</v>
      </c>
      <c r="AZ67" s="231" t="s">
        <v>59</v>
      </c>
      <c r="BA67" s="231" t="s">
        <v>73</v>
      </c>
      <c r="BB67" s="102" t="s">
        <v>4</v>
      </c>
      <c r="BC67" s="231" t="s">
        <v>59</v>
      </c>
      <c r="BD67" s="231" t="s">
        <v>73</v>
      </c>
      <c r="BE67" s="102" t="s">
        <v>4</v>
      </c>
      <c r="BF67" s="107" t="s">
        <v>59</v>
      </c>
      <c r="BG67" s="107" t="s">
        <v>73</v>
      </c>
      <c r="BH67" s="471" t="s">
        <v>4</v>
      </c>
      <c r="BI67" s="1004">
        <v>111</v>
      </c>
      <c r="BJ67" s="1003">
        <f t="shared" ref="BJ67:BJ94" si="100">(AQ68*AR68*AS68)+(AT68*AU68*AV68)+(AW68*AX68*AY68)+(AZ68*BA68*BB68)+(BC68*BD68*BE68)+(BF68*BG68*BH68)</f>
        <v>7134</v>
      </c>
      <c r="BK67" s="940"/>
      <c r="BL67" s="1016"/>
      <c r="BM67" s="118"/>
      <c r="BN67" s="865"/>
      <c r="BO67" s="231" t="s">
        <v>59</v>
      </c>
      <c r="BP67" s="231" t="s">
        <v>73</v>
      </c>
      <c r="BQ67" s="102" t="s">
        <v>4</v>
      </c>
      <c r="BR67" s="231" t="s">
        <v>59</v>
      </c>
      <c r="BS67" s="231" t="s">
        <v>73</v>
      </c>
      <c r="BT67" s="102" t="s">
        <v>4</v>
      </c>
      <c r="BU67" s="231" t="s">
        <v>59</v>
      </c>
      <c r="BV67" s="231" t="s">
        <v>73</v>
      </c>
      <c r="BW67" s="102" t="s">
        <v>4</v>
      </c>
      <c r="BX67" s="231" t="s">
        <v>59</v>
      </c>
      <c r="BY67" s="231" t="s">
        <v>73</v>
      </c>
      <c r="BZ67" s="102" t="s">
        <v>4</v>
      </c>
      <c r="CA67" s="231" t="s">
        <v>59</v>
      </c>
      <c r="CB67" s="231" t="s">
        <v>73</v>
      </c>
      <c r="CC67" s="102" t="s">
        <v>4</v>
      </c>
      <c r="CD67" s="107" t="s">
        <v>59</v>
      </c>
      <c r="CE67" s="107" t="s">
        <v>73</v>
      </c>
      <c r="CF67" s="471" t="s">
        <v>4</v>
      </c>
      <c r="CG67" s="1004">
        <f>(60*2)+17</f>
        <v>137</v>
      </c>
      <c r="CH67" s="1005">
        <f t="shared" ref="CH67" si="101">(BO68*BP68*BQ68)+(BR68*BS68*BT68)+(BU68*BV68*BW68)+(BX68*BY68*BZ68)+(CA68*CB68*CC68)+(CD68*CE68*CF68)</f>
        <v>6586.5</v>
      </c>
      <c r="CI67" s="940"/>
      <c r="CJ67" s="1016"/>
      <c r="CL67" s="1039"/>
      <c r="CM67" s="460" t="s">
        <v>59</v>
      </c>
      <c r="CN67" s="460" t="s">
        <v>73</v>
      </c>
      <c r="CO67" s="461" t="s">
        <v>4</v>
      </c>
      <c r="CP67" s="460" t="s">
        <v>59</v>
      </c>
      <c r="CQ67" s="460" t="s">
        <v>73</v>
      </c>
      <c r="CR67" s="461" t="s">
        <v>4</v>
      </c>
      <c r="CS67" s="460" t="s">
        <v>59</v>
      </c>
      <c r="CT67" s="460" t="s">
        <v>73</v>
      </c>
      <c r="CU67" s="461" t="s">
        <v>4</v>
      </c>
      <c r="CV67" s="460" t="s">
        <v>59</v>
      </c>
      <c r="CW67" s="460" t="s">
        <v>73</v>
      </c>
      <c r="CX67" s="461" t="s">
        <v>4</v>
      </c>
      <c r="CY67" s="460" t="s">
        <v>59</v>
      </c>
      <c r="CZ67" s="460" t="s">
        <v>73</v>
      </c>
      <c r="DA67" s="461" t="s">
        <v>4</v>
      </c>
      <c r="DB67" s="460" t="s">
        <v>59</v>
      </c>
      <c r="DC67" s="460" t="s">
        <v>73</v>
      </c>
      <c r="DD67" s="473" t="s">
        <v>4</v>
      </c>
      <c r="DE67" s="1004"/>
      <c r="DF67" s="1005">
        <f>(CM68*CN68*CO68)+(CP68*CQ68*CR68)+(CS68*CT68*CU68)+(CV68*CW68*CX68)+(CY68*CZ68*DA68)+(DB68*DC68*DD68)</f>
        <v>0</v>
      </c>
      <c r="DG67" s="940"/>
      <c r="DH67" s="1016"/>
      <c r="DJ67" s="1049"/>
      <c r="DK67" s="460" t="s">
        <v>59</v>
      </c>
      <c r="DL67" s="460" t="s">
        <v>73</v>
      </c>
      <c r="DM67" s="461" t="s">
        <v>4</v>
      </c>
      <c r="DN67" s="460" t="s">
        <v>59</v>
      </c>
      <c r="DO67" s="460" t="s">
        <v>73</v>
      </c>
      <c r="DP67" s="461" t="s">
        <v>4</v>
      </c>
      <c r="DQ67" s="460" t="s">
        <v>59</v>
      </c>
      <c r="DR67" s="460" t="s">
        <v>73</v>
      </c>
      <c r="DS67" s="461" t="s">
        <v>4</v>
      </c>
      <c r="DT67" s="460" t="s">
        <v>59</v>
      </c>
      <c r="DU67" s="460" t="s">
        <v>73</v>
      </c>
      <c r="DV67" s="461" t="s">
        <v>4</v>
      </c>
      <c r="DW67" s="460" t="s">
        <v>59</v>
      </c>
      <c r="DX67" s="460" t="s">
        <v>73</v>
      </c>
      <c r="DY67" s="461" t="s">
        <v>4</v>
      </c>
      <c r="DZ67" s="460" t="s">
        <v>59</v>
      </c>
      <c r="EA67" s="460" t="s">
        <v>73</v>
      </c>
      <c r="EB67" s="473" t="s">
        <v>4</v>
      </c>
      <c r="EC67" s="1004"/>
      <c r="ED67" s="1005">
        <f>(DK68*DL68*DM68)+(DN68*DO68*DP68)+(DQ68*DR68*DS68)+(DT68*DU68*DV68)+(DW68*DX68*DY68)+(DZ68*EA68*EB68)</f>
        <v>0</v>
      </c>
      <c r="EE67" s="940"/>
      <c r="EF67" s="1016"/>
      <c r="EH67" s="1065"/>
      <c r="EI67" s="460" t="s">
        <v>59</v>
      </c>
      <c r="EJ67" s="460" t="s">
        <v>73</v>
      </c>
      <c r="EK67" s="461" t="s">
        <v>4</v>
      </c>
      <c r="EL67" s="460" t="s">
        <v>59</v>
      </c>
      <c r="EM67" s="460" t="s">
        <v>73</v>
      </c>
      <c r="EN67" s="461" t="s">
        <v>4</v>
      </c>
      <c r="EO67" s="460" t="s">
        <v>59</v>
      </c>
      <c r="EP67" s="460" t="s">
        <v>73</v>
      </c>
      <c r="EQ67" s="461" t="s">
        <v>4</v>
      </c>
      <c r="ER67" s="460" t="s">
        <v>59</v>
      </c>
      <c r="ES67" s="460" t="s">
        <v>73</v>
      </c>
      <c r="ET67" s="461" t="s">
        <v>4</v>
      </c>
      <c r="EU67" s="460" t="s">
        <v>59</v>
      </c>
      <c r="EV67" s="460" t="s">
        <v>73</v>
      </c>
      <c r="EW67" s="461" t="s">
        <v>4</v>
      </c>
      <c r="EX67" s="460" t="s">
        <v>59</v>
      </c>
      <c r="EY67" s="460" t="s">
        <v>73</v>
      </c>
      <c r="EZ67" s="473" t="s">
        <v>4</v>
      </c>
      <c r="FA67" s="1004"/>
      <c r="FB67" s="1005">
        <f>(EI68*EJ68*EK68)+(EL68*EM68*EN68)+(EO68*EP68*EQ68)+(ER68*ES68*ET68)+(EU68*EV68*EW68)+(EX68*EY68*EZ68)</f>
        <v>0</v>
      </c>
      <c r="FC67" s="940"/>
      <c r="FD67" s="1016"/>
      <c r="FF67" s="1039"/>
      <c r="FG67" s="460" t="s">
        <v>59</v>
      </c>
      <c r="FH67" s="460" t="s">
        <v>73</v>
      </c>
      <c r="FI67" s="461" t="s">
        <v>4</v>
      </c>
      <c r="FJ67" s="460" t="s">
        <v>59</v>
      </c>
      <c r="FK67" s="460" t="s">
        <v>73</v>
      </c>
      <c r="FL67" s="461" t="s">
        <v>4</v>
      </c>
      <c r="FM67" s="460" t="s">
        <v>59</v>
      </c>
      <c r="FN67" s="460" t="s">
        <v>73</v>
      </c>
      <c r="FO67" s="461" t="s">
        <v>4</v>
      </c>
      <c r="FP67" s="460" t="s">
        <v>59</v>
      </c>
      <c r="FQ67" s="460" t="s">
        <v>73</v>
      </c>
      <c r="FR67" s="461" t="s">
        <v>4</v>
      </c>
      <c r="FS67" s="460" t="s">
        <v>59</v>
      </c>
      <c r="FT67" s="460" t="s">
        <v>73</v>
      </c>
      <c r="FU67" s="461" t="s">
        <v>4</v>
      </c>
      <c r="FV67" s="460" t="s">
        <v>59</v>
      </c>
      <c r="FW67" s="460" t="s">
        <v>73</v>
      </c>
      <c r="FX67" s="473" t="s">
        <v>4</v>
      </c>
      <c r="FY67" s="1004"/>
      <c r="FZ67" s="1005">
        <f>(FG68*FH68*FI68)+(FJ68*FK68*FL68)+(FM68*FN68*FO68)+(FP68*FQ68*FR68)+(FS68*FT68*FU68)+(FV68*FW68*FX68)</f>
        <v>0</v>
      </c>
      <c r="GA67" s="940"/>
      <c r="GB67" s="1016"/>
      <c r="GD67" s="1052"/>
      <c r="GE67" s="491" t="s">
        <v>59</v>
      </c>
      <c r="GF67" s="491" t="s">
        <v>73</v>
      </c>
      <c r="GG67" s="492" t="s">
        <v>4</v>
      </c>
      <c r="GH67" s="491" t="s">
        <v>59</v>
      </c>
      <c r="GI67" s="491" t="s">
        <v>73</v>
      </c>
      <c r="GJ67" s="492" t="s">
        <v>4</v>
      </c>
      <c r="GK67" s="491" t="s">
        <v>59</v>
      </c>
      <c r="GL67" s="491" t="s">
        <v>73</v>
      </c>
      <c r="GM67" s="492" t="s">
        <v>4</v>
      </c>
      <c r="GN67" s="491" t="s">
        <v>59</v>
      </c>
      <c r="GO67" s="491" t="s">
        <v>73</v>
      </c>
      <c r="GP67" s="492" t="s">
        <v>4</v>
      </c>
      <c r="GQ67" s="491" t="s">
        <v>59</v>
      </c>
      <c r="GR67" s="491" t="s">
        <v>73</v>
      </c>
      <c r="GS67" s="492" t="s">
        <v>4</v>
      </c>
      <c r="GT67" s="491" t="s">
        <v>59</v>
      </c>
      <c r="GU67" s="491" t="s">
        <v>73</v>
      </c>
      <c r="GV67" s="493" t="s">
        <v>4</v>
      </c>
      <c r="GW67" s="1071"/>
      <c r="GX67" s="1072">
        <f>(GE68*GF68*GG68)+(GH68*GI68*GJ68)+(GK68*GL68*GM68)+(GN68*GO68*GP68)+(GQ68*GR68*GS68)+(GT68*GU68*GV68)</f>
        <v>0</v>
      </c>
      <c r="GY67" s="1068"/>
      <c r="GZ67" s="1070"/>
      <c r="HB67" s="1075"/>
      <c r="HC67" s="460" t="s">
        <v>59</v>
      </c>
      <c r="HD67" s="460" t="s">
        <v>73</v>
      </c>
      <c r="HE67" s="461" t="s">
        <v>4</v>
      </c>
      <c r="HF67" s="460" t="s">
        <v>59</v>
      </c>
      <c r="HG67" s="460" t="s">
        <v>73</v>
      </c>
      <c r="HH67" s="461" t="s">
        <v>4</v>
      </c>
      <c r="HI67" s="460" t="s">
        <v>59</v>
      </c>
      <c r="HJ67" s="460" t="s">
        <v>73</v>
      </c>
      <c r="HK67" s="461" t="s">
        <v>4</v>
      </c>
      <c r="HL67" s="460" t="s">
        <v>59</v>
      </c>
      <c r="HM67" s="460" t="s">
        <v>73</v>
      </c>
      <c r="HN67" s="461" t="s">
        <v>4</v>
      </c>
      <c r="HO67" s="460" t="s">
        <v>59</v>
      </c>
      <c r="HP67" s="460" t="s">
        <v>73</v>
      </c>
      <c r="HQ67" s="461" t="s">
        <v>4</v>
      </c>
      <c r="HR67" s="460" t="s">
        <v>59</v>
      </c>
      <c r="HS67" s="460" t="s">
        <v>73</v>
      </c>
      <c r="HT67" s="473" t="s">
        <v>4</v>
      </c>
      <c r="HU67" s="1004"/>
      <c r="HV67" s="1005">
        <f>(HC68*HD68*HE68)+(HF68*HG68*HH68)+(HI68*HJ68*HK68)+(HL68*HM68*HN68)+(HO68*HP68*HQ68)+(HR68*HS68*HT68)</f>
        <v>0</v>
      </c>
      <c r="HW67" s="940"/>
      <c r="HX67" s="1016"/>
      <c r="HZ67" s="1042"/>
      <c r="IA67" s="460" t="s">
        <v>59</v>
      </c>
      <c r="IB67" s="460" t="s">
        <v>73</v>
      </c>
      <c r="IC67" s="461" t="s">
        <v>4</v>
      </c>
      <c r="ID67" s="460" t="s">
        <v>59</v>
      </c>
      <c r="IE67" s="460" t="s">
        <v>73</v>
      </c>
      <c r="IF67" s="461" t="s">
        <v>4</v>
      </c>
      <c r="IG67" s="460" t="s">
        <v>59</v>
      </c>
      <c r="IH67" s="460" t="s">
        <v>73</v>
      </c>
      <c r="II67" s="461" t="s">
        <v>4</v>
      </c>
      <c r="IJ67" s="460" t="s">
        <v>59</v>
      </c>
      <c r="IK67" s="460" t="s">
        <v>73</v>
      </c>
      <c r="IL67" s="461" t="s">
        <v>4</v>
      </c>
      <c r="IM67" s="460" t="s">
        <v>59</v>
      </c>
      <c r="IN67" s="460" t="s">
        <v>73</v>
      </c>
      <c r="IO67" s="461" t="s">
        <v>4</v>
      </c>
      <c r="IP67" s="460" t="s">
        <v>59</v>
      </c>
      <c r="IQ67" s="460" t="s">
        <v>73</v>
      </c>
      <c r="IR67" s="473" t="s">
        <v>4</v>
      </c>
      <c r="IS67" s="1004"/>
      <c r="IT67" s="1005">
        <f>(IA68*IB68*IC68)+(ID68*IE68*IF68)+(IG68*IH68*II68)+(IJ68*IK68*IL68)+(IM68*IN68*IO68)+(IP68*IQ68*IR68)</f>
        <v>0</v>
      </c>
      <c r="IU67" s="940"/>
      <c r="IV67" s="1016"/>
      <c r="IX67" s="1062"/>
      <c r="IY67" s="460" t="s">
        <v>59</v>
      </c>
      <c r="IZ67" s="460" t="s">
        <v>73</v>
      </c>
      <c r="JA67" s="461" t="s">
        <v>4</v>
      </c>
      <c r="JB67" s="460" t="s">
        <v>59</v>
      </c>
      <c r="JC67" s="460" t="s">
        <v>73</v>
      </c>
      <c r="JD67" s="461" t="s">
        <v>4</v>
      </c>
      <c r="JE67" s="460" t="s">
        <v>59</v>
      </c>
      <c r="JF67" s="460" t="s">
        <v>73</v>
      </c>
      <c r="JG67" s="461" t="s">
        <v>4</v>
      </c>
      <c r="JH67" s="460" t="s">
        <v>59</v>
      </c>
      <c r="JI67" s="460" t="s">
        <v>73</v>
      </c>
      <c r="JJ67" s="461" t="s">
        <v>4</v>
      </c>
      <c r="JK67" s="460" t="s">
        <v>59</v>
      </c>
      <c r="JL67" s="460" t="s">
        <v>73</v>
      </c>
      <c r="JM67" s="461" t="s">
        <v>4</v>
      </c>
      <c r="JN67" s="460" t="s">
        <v>59</v>
      </c>
      <c r="JO67" s="460" t="s">
        <v>73</v>
      </c>
      <c r="JP67" s="473" t="s">
        <v>4</v>
      </c>
      <c r="JQ67" s="1004"/>
      <c r="JR67" s="1005">
        <f>(IY68*IZ68*JA68)+(JB68*JC68*JD68)+(JE68*JF68*JG68)+(JH68*JI68*JJ68)+(JK68*JL68*JM68)+(JN68*JO68*JP68)</f>
        <v>0</v>
      </c>
      <c r="JS67" s="940"/>
      <c r="JT67" s="1016"/>
      <c r="JV67" s="1075"/>
      <c r="JW67" s="460" t="s">
        <v>59</v>
      </c>
      <c r="JX67" s="460" t="s">
        <v>73</v>
      </c>
      <c r="JY67" s="461" t="s">
        <v>4</v>
      </c>
      <c r="JZ67" s="460" t="s">
        <v>59</v>
      </c>
      <c r="KA67" s="460" t="s">
        <v>73</v>
      </c>
      <c r="KB67" s="461" t="s">
        <v>4</v>
      </c>
      <c r="KC67" s="460" t="s">
        <v>59</v>
      </c>
      <c r="KD67" s="460" t="s">
        <v>73</v>
      </c>
      <c r="KE67" s="461" t="s">
        <v>4</v>
      </c>
      <c r="KF67" s="460" t="s">
        <v>59</v>
      </c>
      <c r="KG67" s="460" t="s">
        <v>73</v>
      </c>
      <c r="KH67" s="461" t="s">
        <v>4</v>
      </c>
      <c r="KI67" s="460" t="s">
        <v>59</v>
      </c>
      <c r="KJ67" s="460" t="s">
        <v>73</v>
      </c>
      <c r="KK67" s="461" t="s">
        <v>4</v>
      </c>
      <c r="KL67" s="460" t="s">
        <v>59</v>
      </c>
      <c r="KM67" s="460" t="s">
        <v>73</v>
      </c>
      <c r="KN67" s="473" t="s">
        <v>4</v>
      </c>
      <c r="KO67" s="1004"/>
      <c r="KP67" s="1005">
        <f>(JW68*JX68*JY68)+(JZ68*KA68*KB68)+(KC68*KD68*KE68)+(KF68*KG68*KH68)+(KI68*KJ68*KK68)+(KL68*KM68*KN68)</f>
        <v>0</v>
      </c>
      <c r="KQ67" s="940"/>
      <c r="KR67" s="1016"/>
      <c r="KT67" s="1049"/>
      <c r="KU67" s="460" t="s">
        <v>59</v>
      </c>
      <c r="KV67" s="460" t="s">
        <v>73</v>
      </c>
      <c r="KW67" s="461" t="s">
        <v>4</v>
      </c>
      <c r="KX67" s="460" t="s">
        <v>59</v>
      </c>
      <c r="KY67" s="460" t="s">
        <v>73</v>
      </c>
      <c r="KZ67" s="461" t="s">
        <v>4</v>
      </c>
      <c r="LA67" s="460" t="s">
        <v>59</v>
      </c>
      <c r="LB67" s="460" t="s">
        <v>73</v>
      </c>
      <c r="LC67" s="461" t="s">
        <v>4</v>
      </c>
      <c r="LD67" s="460" t="s">
        <v>59</v>
      </c>
      <c r="LE67" s="460" t="s">
        <v>73</v>
      </c>
      <c r="LF67" s="461" t="s">
        <v>4</v>
      </c>
      <c r="LG67" s="460" t="s">
        <v>59</v>
      </c>
      <c r="LH67" s="460" t="s">
        <v>73</v>
      </c>
      <c r="LI67" s="461" t="s">
        <v>4</v>
      </c>
      <c r="LJ67" s="460" t="s">
        <v>59</v>
      </c>
      <c r="LK67" s="460" t="s">
        <v>73</v>
      </c>
      <c r="LL67" s="473" t="s">
        <v>4</v>
      </c>
      <c r="LM67" s="1004"/>
      <c r="LN67" s="1005">
        <f>(KU68*KV68*KW68)+(KX68*KY68*KZ68)+(LA68*LB68*LC68)+(LD68*LE68*LF68)+(LG68*LH68*LI68)+(LJ68*LK68*LL68)</f>
        <v>0</v>
      </c>
      <c r="LO67" s="940"/>
      <c r="LP67" s="1016"/>
    </row>
    <row r="68" spans="1:328" ht="15">
      <c r="A68"/>
      <c r="B68"/>
      <c r="C68"/>
      <c r="D68"/>
      <c r="E68"/>
      <c r="F68"/>
      <c r="G68"/>
      <c r="H68"/>
      <c r="I68"/>
      <c r="R68" s="875"/>
      <c r="S68" s="305">
        <v>4</v>
      </c>
      <c r="T68" s="305">
        <f>((12*2)+(8*1)+(10*1))/4</f>
        <v>10.5</v>
      </c>
      <c r="U68" s="305">
        <f>((23*1)+(50*3))/4</f>
        <v>43.25</v>
      </c>
      <c r="V68" s="305">
        <v>4</v>
      </c>
      <c r="W68" s="306">
        <f>((12*1)+(8*2)+(10*1))/4</f>
        <v>9.5</v>
      </c>
      <c r="X68" s="306">
        <f>((9.1*1)+(18.1*3))/4</f>
        <v>15.850000000000001</v>
      </c>
      <c r="Y68" s="305">
        <v>4</v>
      </c>
      <c r="Z68" s="306">
        <f>((12*3)+(10*1))/4</f>
        <v>11.5</v>
      </c>
      <c r="AA68" s="306">
        <f>((12.5*1)+(22.5*1)+(25*2))/4</f>
        <v>21.25</v>
      </c>
      <c r="AB68" s="305">
        <v>4</v>
      </c>
      <c r="AC68" s="305">
        <f>((12*2)+(8*1)+(10*1))/4</f>
        <v>10.5</v>
      </c>
      <c r="AD68" s="305">
        <f>((15.9*1)+(29.5*3))/4</f>
        <v>26.1</v>
      </c>
      <c r="AE68" s="305">
        <v>4</v>
      </c>
      <c r="AF68" s="305">
        <f>((12*1)+(8*3))/4</f>
        <v>9</v>
      </c>
      <c r="AG68" s="305">
        <f>((10*1)+(17.5*3))/4</f>
        <v>15.625</v>
      </c>
      <c r="AH68" s="233"/>
      <c r="AI68" s="233"/>
      <c r="AJ68" s="472"/>
      <c r="AK68" s="1007"/>
      <c r="AL68" s="1002"/>
      <c r="AM68" s="941"/>
      <c r="AN68" s="855"/>
      <c r="AO68" s="118"/>
      <c r="AP68" s="866"/>
      <c r="AQ68" s="229">
        <v>4</v>
      </c>
      <c r="AR68" s="229">
        <f>((12*3)+(14*1))/4</f>
        <v>12.5</v>
      </c>
      <c r="AS68" s="229">
        <f>((12.5*1)+(25*3))/4</f>
        <v>21.875</v>
      </c>
      <c r="AT68" s="229">
        <v>4</v>
      </c>
      <c r="AU68" s="229">
        <f>((12*1)+(10*3))/4</f>
        <v>10.5</v>
      </c>
      <c r="AV68" s="229">
        <f>((27*1)+(59*3))/4</f>
        <v>51</v>
      </c>
      <c r="AW68" s="229">
        <v>4</v>
      </c>
      <c r="AX68" s="229">
        <f>((12*1)+(8*2)+(9*1))/4</f>
        <v>9.25</v>
      </c>
      <c r="AY68" s="229">
        <f>((12.5*1)+(22.5*3))/4</f>
        <v>20</v>
      </c>
      <c r="AZ68" s="229">
        <v>4</v>
      </c>
      <c r="BA68" s="229">
        <f>((12*1)+(8*3))/4</f>
        <v>9</v>
      </c>
      <c r="BB68" s="126">
        <f>((32*1)+(72*3))/4</f>
        <v>62</v>
      </c>
      <c r="BC68" s="229">
        <v>4</v>
      </c>
      <c r="BD68" s="229">
        <f>((8*2)+(10*1)+(12*1))/4</f>
        <v>9.5</v>
      </c>
      <c r="BE68" s="229">
        <f>((22.5*1)+(25*3))/4</f>
        <v>24.375</v>
      </c>
      <c r="BF68" s="233"/>
      <c r="BG68" s="233"/>
      <c r="BH68" s="472"/>
      <c r="BI68" s="1007"/>
      <c r="BJ68" s="1003"/>
      <c r="BK68" s="941"/>
      <c r="BL68" s="1016"/>
      <c r="BM68" s="118"/>
      <c r="BN68" s="866"/>
      <c r="BO68" s="229">
        <v>4</v>
      </c>
      <c r="BP68" s="229">
        <f>((12*1)+(8*3))/4</f>
        <v>9</v>
      </c>
      <c r="BQ68" s="126">
        <f>((20*1)+(45*3))/4</f>
        <v>38.75</v>
      </c>
      <c r="BR68" s="229">
        <v>4</v>
      </c>
      <c r="BS68" s="126">
        <f>((12*1)+(6*2)+(8*1))/4</f>
        <v>8</v>
      </c>
      <c r="BT68" s="229">
        <f>((27*1)+(63*3))/4</f>
        <v>54</v>
      </c>
      <c r="BU68" s="229">
        <v>4</v>
      </c>
      <c r="BV68" s="229">
        <f>((12*1)+(10*3))/4</f>
        <v>10.5</v>
      </c>
      <c r="BW68" s="229">
        <f>((20*1)+(35*3))/4</f>
        <v>31.25</v>
      </c>
      <c r="BX68" s="229">
        <v>4</v>
      </c>
      <c r="BY68" s="229">
        <f>((12*4))/4</f>
        <v>12</v>
      </c>
      <c r="BZ68" s="229">
        <f>((36*1)+(72*1))/4</f>
        <v>27</v>
      </c>
      <c r="CA68" s="229">
        <v>4</v>
      </c>
      <c r="CB68" s="229">
        <f>((12*1)+(8*3))/4</f>
        <v>9</v>
      </c>
      <c r="CC68" s="126">
        <f>((12.5*1)+(27.5*3))/4</f>
        <v>23.75</v>
      </c>
      <c r="CD68" s="233"/>
      <c r="CE68" s="233"/>
      <c r="CF68" s="472"/>
      <c r="CG68" s="1007"/>
      <c r="CH68" s="1006"/>
      <c r="CI68" s="941"/>
      <c r="CJ68" s="1016"/>
      <c r="CL68" s="1040"/>
      <c r="CM68" s="462"/>
      <c r="CN68" s="462"/>
      <c r="CO68" s="462"/>
      <c r="CP68" s="462"/>
      <c r="CQ68" s="462"/>
      <c r="CR68" s="462"/>
      <c r="CS68" s="462"/>
      <c r="CT68" s="462"/>
      <c r="CU68" s="462"/>
      <c r="CV68" s="462"/>
      <c r="CW68" s="462"/>
      <c r="CX68" s="462"/>
      <c r="CY68" s="462"/>
      <c r="CZ68" s="462"/>
      <c r="DA68" s="462"/>
      <c r="DB68" s="462"/>
      <c r="DC68" s="462"/>
      <c r="DD68" s="474"/>
      <c r="DE68" s="1007"/>
      <c r="DF68" s="1006"/>
      <c r="DG68" s="941"/>
      <c r="DH68" s="1016"/>
      <c r="DJ68" s="1050"/>
      <c r="DK68" s="462"/>
      <c r="DL68" s="462"/>
      <c r="DM68" s="462"/>
      <c r="DN68" s="462"/>
      <c r="DO68" s="462"/>
      <c r="DP68" s="462"/>
      <c r="DQ68" s="462"/>
      <c r="DR68" s="462"/>
      <c r="DS68" s="462"/>
      <c r="DT68" s="462"/>
      <c r="DU68" s="462"/>
      <c r="DV68" s="462"/>
      <c r="DW68" s="462"/>
      <c r="DX68" s="462"/>
      <c r="DY68" s="462"/>
      <c r="DZ68" s="462"/>
      <c r="EA68" s="462"/>
      <c r="EB68" s="474"/>
      <c r="EC68" s="1007"/>
      <c r="ED68" s="1006"/>
      <c r="EE68" s="941"/>
      <c r="EF68" s="1016"/>
      <c r="EH68" s="1066"/>
      <c r="EI68" s="462"/>
      <c r="EJ68" s="462"/>
      <c r="EK68" s="462"/>
      <c r="EL68" s="462"/>
      <c r="EM68" s="462"/>
      <c r="EN68" s="462"/>
      <c r="EO68" s="462"/>
      <c r="EP68" s="462"/>
      <c r="EQ68" s="462"/>
      <c r="ER68" s="462"/>
      <c r="ES68" s="462"/>
      <c r="ET68" s="462"/>
      <c r="EU68" s="462"/>
      <c r="EV68" s="462"/>
      <c r="EW68" s="462"/>
      <c r="EX68" s="462"/>
      <c r="EY68" s="462"/>
      <c r="EZ68" s="474"/>
      <c r="FA68" s="1007"/>
      <c r="FB68" s="1006"/>
      <c r="FC68" s="941"/>
      <c r="FD68" s="1016"/>
      <c r="FF68" s="1040"/>
      <c r="FG68" s="462"/>
      <c r="FH68" s="462"/>
      <c r="FI68" s="462"/>
      <c r="FJ68" s="462"/>
      <c r="FK68" s="462"/>
      <c r="FL68" s="462"/>
      <c r="FM68" s="462"/>
      <c r="FN68" s="462"/>
      <c r="FO68" s="462"/>
      <c r="FP68" s="462"/>
      <c r="FQ68" s="462"/>
      <c r="FR68" s="462"/>
      <c r="FS68" s="462"/>
      <c r="FT68" s="462"/>
      <c r="FU68" s="462"/>
      <c r="FV68" s="462"/>
      <c r="FW68" s="462"/>
      <c r="FX68" s="474"/>
      <c r="FY68" s="1007"/>
      <c r="FZ68" s="1006"/>
      <c r="GA68" s="941"/>
      <c r="GB68" s="1016"/>
      <c r="GD68" s="1053"/>
      <c r="GE68" s="494"/>
      <c r="GF68" s="494"/>
      <c r="GG68" s="494"/>
      <c r="GH68" s="494"/>
      <c r="GI68" s="494"/>
      <c r="GJ68" s="494"/>
      <c r="GK68" s="494"/>
      <c r="GL68" s="494"/>
      <c r="GM68" s="494"/>
      <c r="GN68" s="494"/>
      <c r="GO68" s="494"/>
      <c r="GP68" s="494"/>
      <c r="GQ68" s="494"/>
      <c r="GR68" s="494"/>
      <c r="GS68" s="494"/>
      <c r="GT68" s="494"/>
      <c r="GU68" s="494"/>
      <c r="GV68" s="495"/>
      <c r="GW68" s="1081"/>
      <c r="GX68" s="1073"/>
      <c r="GY68" s="1069"/>
      <c r="GZ68" s="1070"/>
      <c r="HB68" s="1076"/>
      <c r="HC68" s="462"/>
      <c r="HD68" s="462"/>
      <c r="HE68" s="462"/>
      <c r="HF68" s="462"/>
      <c r="HG68" s="462"/>
      <c r="HH68" s="462"/>
      <c r="HI68" s="462"/>
      <c r="HJ68" s="462"/>
      <c r="HK68" s="462"/>
      <c r="HL68" s="462"/>
      <c r="HM68" s="462"/>
      <c r="HN68" s="462"/>
      <c r="HO68" s="462"/>
      <c r="HP68" s="462"/>
      <c r="HQ68" s="462"/>
      <c r="HR68" s="462"/>
      <c r="HS68" s="462"/>
      <c r="HT68" s="474"/>
      <c r="HU68" s="1007"/>
      <c r="HV68" s="1006"/>
      <c r="HW68" s="941"/>
      <c r="HX68" s="1016"/>
      <c r="HZ68" s="1043"/>
      <c r="IA68" s="462"/>
      <c r="IB68" s="462"/>
      <c r="IC68" s="462"/>
      <c r="ID68" s="462"/>
      <c r="IE68" s="462"/>
      <c r="IF68" s="462"/>
      <c r="IG68" s="462"/>
      <c r="IH68" s="462"/>
      <c r="II68" s="462"/>
      <c r="IJ68" s="462"/>
      <c r="IK68" s="462"/>
      <c r="IL68" s="462"/>
      <c r="IM68" s="462"/>
      <c r="IN68" s="462"/>
      <c r="IO68" s="462"/>
      <c r="IP68" s="462"/>
      <c r="IQ68" s="462"/>
      <c r="IR68" s="474"/>
      <c r="IS68" s="1007"/>
      <c r="IT68" s="1006"/>
      <c r="IU68" s="941"/>
      <c r="IV68" s="1016"/>
      <c r="IX68" s="1063"/>
      <c r="IY68" s="462"/>
      <c r="IZ68" s="462"/>
      <c r="JA68" s="462"/>
      <c r="JB68" s="462"/>
      <c r="JC68" s="462"/>
      <c r="JD68" s="462"/>
      <c r="JE68" s="462"/>
      <c r="JF68" s="462"/>
      <c r="JG68" s="462"/>
      <c r="JH68" s="462"/>
      <c r="JI68" s="462"/>
      <c r="JJ68" s="462"/>
      <c r="JK68" s="462"/>
      <c r="JL68" s="462"/>
      <c r="JM68" s="462"/>
      <c r="JN68" s="462"/>
      <c r="JO68" s="462"/>
      <c r="JP68" s="474"/>
      <c r="JQ68" s="1007"/>
      <c r="JR68" s="1006"/>
      <c r="JS68" s="941"/>
      <c r="JT68" s="1016"/>
      <c r="JV68" s="1076"/>
      <c r="JW68" s="462"/>
      <c r="JX68" s="462"/>
      <c r="JY68" s="462"/>
      <c r="JZ68" s="462"/>
      <c r="KA68" s="462"/>
      <c r="KB68" s="462"/>
      <c r="KC68" s="462"/>
      <c r="KD68" s="462"/>
      <c r="KE68" s="462"/>
      <c r="KF68" s="462"/>
      <c r="KG68" s="462"/>
      <c r="KH68" s="462"/>
      <c r="KI68" s="462"/>
      <c r="KJ68" s="462"/>
      <c r="KK68" s="462"/>
      <c r="KL68" s="462"/>
      <c r="KM68" s="462"/>
      <c r="KN68" s="474"/>
      <c r="KO68" s="1007"/>
      <c r="KP68" s="1006"/>
      <c r="KQ68" s="941"/>
      <c r="KR68" s="1016"/>
      <c r="KT68" s="1050"/>
      <c r="KU68" s="462"/>
      <c r="KV68" s="462"/>
      <c r="KW68" s="462"/>
      <c r="KX68" s="462"/>
      <c r="KY68" s="462"/>
      <c r="KZ68" s="462"/>
      <c r="LA68" s="462"/>
      <c r="LB68" s="462"/>
      <c r="LC68" s="462"/>
      <c r="LD68" s="462"/>
      <c r="LE68" s="462"/>
      <c r="LF68" s="462"/>
      <c r="LG68" s="462"/>
      <c r="LH68" s="462"/>
      <c r="LI68" s="462"/>
      <c r="LJ68" s="462"/>
      <c r="LK68" s="462"/>
      <c r="LL68" s="474"/>
      <c r="LM68" s="1007"/>
      <c r="LN68" s="1006"/>
      <c r="LO68" s="941"/>
      <c r="LP68" s="1016"/>
    </row>
    <row r="69" spans="1:328" ht="15">
      <c r="A69" s="400" t="s">
        <v>614</v>
      </c>
      <c r="B69" s="966" t="s">
        <v>615</v>
      </c>
      <c r="C69" s="729"/>
      <c r="D69" s="729"/>
      <c r="E69" s="729"/>
      <c r="F69"/>
      <c r="G69"/>
      <c r="H69"/>
      <c r="I69"/>
      <c r="R69" s="876">
        <v>46045</v>
      </c>
      <c r="S69" s="849" t="s">
        <v>434</v>
      </c>
      <c r="T69" s="849"/>
      <c r="U69" s="849"/>
      <c r="V69" s="848" t="s">
        <v>68</v>
      </c>
      <c r="W69" s="848"/>
      <c r="X69" s="848"/>
      <c r="Y69" s="848" t="s">
        <v>380</v>
      </c>
      <c r="Z69" s="848"/>
      <c r="AA69" s="848"/>
      <c r="AB69" s="848" t="s">
        <v>391</v>
      </c>
      <c r="AC69" s="848"/>
      <c r="AD69" s="848"/>
      <c r="AE69" s="834"/>
      <c r="AF69" s="835"/>
      <c r="AG69" s="836"/>
      <c r="AH69" s="834"/>
      <c r="AI69" s="835"/>
      <c r="AJ69" s="835"/>
      <c r="AK69" s="459" t="s">
        <v>425</v>
      </c>
      <c r="AL69" s="1">
        <f t="shared" ref="AL69" si="102">COUNTA(S69:AJ69)</f>
        <v>4</v>
      </c>
      <c r="AM69" s="939"/>
      <c r="AN69" s="855">
        <v>78.099999999999994</v>
      </c>
      <c r="AO69" s="118"/>
      <c r="AP69" s="870">
        <v>46076</v>
      </c>
      <c r="AQ69" s="848" t="s">
        <v>89</v>
      </c>
      <c r="AR69" s="848"/>
      <c r="AS69" s="848"/>
      <c r="AT69" s="848" t="s">
        <v>380</v>
      </c>
      <c r="AU69" s="848"/>
      <c r="AV69" s="848"/>
      <c r="AW69" s="848" t="s">
        <v>115</v>
      </c>
      <c r="AX69" s="848"/>
      <c r="AY69" s="848"/>
      <c r="AZ69" s="849" t="s">
        <v>114</v>
      </c>
      <c r="BA69" s="849"/>
      <c r="BB69" s="849"/>
      <c r="BC69" s="848" t="s">
        <v>129</v>
      </c>
      <c r="BD69" s="848"/>
      <c r="BE69" s="848"/>
      <c r="BF69" s="834"/>
      <c r="BG69" s="835"/>
      <c r="BH69" s="835"/>
      <c r="BI69" s="459" t="s">
        <v>425</v>
      </c>
      <c r="BJ69" s="482">
        <f t="shared" si="97"/>
        <v>5</v>
      </c>
      <c r="BK69" s="939"/>
      <c r="BL69" s="1016">
        <v>77.8</v>
      </c>
      <c r="BM69" s="118"/>
      <c r="BN69" s="870">
        <v>46104</v>
      </c>
      <c r="BO69" s="848" t="s">
        <v>70</v>
      </c>
      <c r="BP69" s="848"/>
      <c r="BQ69" s="848"/>
      <c r="BR69" s="859"/>
      <c r="BS69" s="859"/>
      <c r="BT69" s="859"/>
      <c r="BU69" s="834"/>
      <c r="BV69" s="835"/>
      <c r="BW69" s="836"/>
      <c r="BX69" s="867"/>
      <c r="BY69" s="868"/>
      <c r="BZ69" s="869"/>
      <c r="CA69" s="834"/>
      <c r="CB69" s="835"/>
      <c r="CC69" s="836"/>
      <c r="CD69" s="834"/>
      <c r="CE69" s="835"/>
      <c r="CF69" s="835"/>
      <c r="CG69" s="459" t="s">
        <v>425</v>
      </c>
      <c r="CH69" s="482">
        <f t="shared" ref="CH69" si="103">COUNTA(BO69:CF69)</f>
        <v>1</v>
      </c>
      <c r="CI69" s="939">
        <v>3</v>
      </c>
      <c r="CJ69" s="1016">
        <v>77.25</v>
      </c>
      <c r="CL69" s="1041">
        <v>46135</v>
      </c>
      <c r="CM69" s="960"/>
      <c r="CN69" s="960"/>
      <c r="CO69" s="960"/>
      <c r="CP69" s="960"/>
      <c r="CQ69" s="960"/>
      <c r="CR69" s="960"/>
      <c r="CS69" s="960"/>
      <c r="CT69" s="960"/>
      <c r="CU69" s="960"/>
      <c r="CV69" s="960"/>
      <c r="CW69" s="960"/>
      <c r="CX69" s="960"/>
      <c r="CY69" s="961"/>
      <c r="CZ69" s="962"/>
      <c r="DA69" s="963"/>
      <c r="DB69" s="961"/>
      <c r="DC69" s="962"/>
      <c r="DD69" s="962"/>
      <c r="DE69" s="459" t="s">
        <v>425</v>
      </c>
      <c r="DF69" s="482">
        <f>COUNTA(CM69:DD69)</f>
        <v>0</v>
      </c>
      <c r="DG69" s="939"/>
      <c r="DH69" s="1016"/>
      <c r="DJ69" s="1051">
        <v>46165</v>
      </c>
      <c r="DK69" s="1023"/>
      <c r="DL69" s="1023"/>
      <c r="DM69" s="1023"/>
      <c r="DN69" s="1023"/>
      <c r="DO69" s="1023"/>
      <c r="DP69" s="1023"/>
      <c r="DQ69" s="1023"/>
      <c r="DR69" s="1023"/>
      <c r="DS69" s="1023"/>
      <c r="DT69" s="1023"/>
      <c r="DU69" s="1023"/>
      <c r="DV69" s="1023"/>
      <c r="DW69" s="1021"/>
      <c r="DX69" s="1022"/>
      <c r="DY69" s="1024"/>
      <c r="DZ69" s="1021"/>
      <c r="EA69" s="1022"/>
      <c r="EB69" s="1022"/>
      <c r="EC69" s="489" t="s">
        <v>425</v>
      </c>
      <c r="ED69" s="496">
        <f>COUNTA(DK69:EB69)</f>
        <v>0</v>
      </c>
      <c r="EE69" s="1067"/>
      <c r="EF69" s="1070"/>
      <c r="EH69" s="1074">
        <v>46196</v>
      </c>
      <c r="EI69" s="960"/>
      <c r="EJ69" s="960"/>
      <c r="EK69" s="960"/>
      <c r="EL69" s="960"/>
      <c r="EM69" s="960"/>
      <c r="EN69" s="960"/>
      <c r="EO69" s="960"/>
      <c r="EP69" s="960"/>
      <c r="EQ69" s="960"/>
      <c r="ER69" s="960"/>
      <c r="ES69" s="960"/>
      <c r="ET69" s="960"/>
      <c r="EU69" s="961"/>
      <c r="EV69" s="962"/>
      <c r="EW69" s="963"/>
      <c r="EX69" s="961"/>
      <c r="EY69" s="962"/>
      <c r="EZ69" s="962"/>
      <c r="FA69" s="459" t="s">
        <v>425</v>
      </c>
      <c r="FB69" s="482">
        <f>COUNTA(EI69:EZ69)</f>
        <v>0</v>
      </c>
      <c r="FC69" s="939"/>
      <c r="FD69" s="1016"/>
      <c r="FF69" s="1041">
        <v>46226</v>
      </c>
      <c r="FG69" s="960"/>
      <c r="FH69" s="960"/>
      <c r="FI69" s="960"/>
      <c r="FJ69" s="960"/>
      <c r="FK69" s="960"/>
      <c r="FL69" s="960"/>
      <c r="FM69" s="960"/>
      <c r="FN69" s="960"/>
      <c r="FO69" s="960"/>
      <c r="FP69" s="960"/>
      <c r="FQ69" s="960"/>
      <c r="FR69" s="960"/>
      <c r="FS69" s="961"/>
      <c r="FT69" s="962"/>
      <c r="FU69" s="963"/>
      <c r="FV69" s="961"/>
      <c r="FW69" s="962"/>
      <c r="FX69" s="962"/>
      <c r="FY69" s="459" t="s">
        <v>425</v>
      </c>
      <c r="FZ69" s="482">
        <f>COUNTA(FG69:FX69)</f>
        <v>0</v>
      </c>
      <c r="GA69" s="939"/>
      <c r="GB69" s="1016"/>
      <c r="GD69" s="1061">
        <v>46257</v>
      </c>
      <c r="GE69" s="960"/>
      <c r="GF69" s="960"/>
      <c r="GG69" s="960"/>
      <c r="GH69" s="960"/>
      <c r="GI69" s="960"/>
      <c r="GJ69" s="960"/>
      <c r="GK69" s="960"/>
      <c r="GL69" s="960"/>
      <c r="GM69" s="960"/>
      <c r="GN69" s="960"/>
      <c r="GO69" s="960"/>
      <c r="GP69" s="960"/>
      <c r="GQ69" s="961"/>
      <c r="GR69" s="962"/>
      <c r="GS69" s="963"/>
      <c r="GT69" s="961"/>
      <c r="GU69" s="962"/>
      <c r="GV69" s="962"/>
      <c r="GW69" s="459" t="s">
        <v>425</v>
      </c>
      <c r="GX69" s="482">
        <f>COUNTA(GE69:GV69)</f>
        <v>0</v>
      </c>
      <c r="GY69" s="939"/>
      <c r="GZ69" s="1016"/>
      <c r="HB69" s="1038">
        <v>46288</v>
      </c>
      <c r="HC69" s="960"/>
      <c r="HD69" s="960"/>
      <c r="HE69" s="960"/>
      <c r="HF69" s="960"/>
      <c r="HG69" s="960"/>
      <c r="HH69" s="960"/>
      <c r="HI69" s="960"/>
      <c r="HJ69" s="960"/>
      <c r="HK69" s="960"/>
      <c r="HL69" s="960"/>
      <c r="HM69" s="960"/>
      <c r="HN69" s="960"/>
      <c r="HO69" s="961"/>
      <c r="HP69" s="962"/>
      <c r="HQ69" s="963"/>
      <c r="HR69" s="961"/>
      <c r="HS69" s="962"/>
      <c r="HT69" s="962"/>
      <c r="HU69" s="459" t="s">
        <v>425</v>
      </c>
      <c r="HV69" s="482">
        <f>COUNTA(HC69:HT69)</f>
        <v>0</v>
      </c>
      <c r="HW69" s="939"/>
      <c r="HX69" s="1016"/>
      <c r="HZ69" s="1048">
        <v>46318</v>
      </c>
      <c r="IA69" s="960"/>
      <c r="IB69" s="960"/>
      <c r="IC69" s="960"/>
      <c r="ID69" s="960"/>
      <c r="IE69" s="960"/>
      <c r="IF69" s="960"/>
      <c r="IG69" s="960"/>
      <c r="IH69" s="960"/>
      <c r="II69" s="960"/>
      <c r="IJ69" s="960"/>
      <c r="IK69" s="960"/>
      <c r="IL69" s="960"/>
      <c r="IM69" s="961"/>
      <c r="IN69" s="962"/>
      <c r="IO69" s="963"/>
      <c r="IP69" s="961"/>
      <c r="IQ69" s="962"/>
      <c r="IR69" s="962"/>
      <c r="IS69" s="459" t="s">
        <v>425</v>
      </c>
      <c r="IT69" s="482">
        <f>COUNTA(IA69:IR69)</f>
        <v>0</v>
      </c>
      <c r="IU69" s="939"/>
      <c r="IV69" s="1016"/>
      <c r="IX69" s="1064">
        <v>46349</v>
      </c>
      <c r="IY69" s="960"/>
      <c r="IZ69" s="960"/>
      <c r="JA69" s="960"/>
      <c r="JB69" s="960"/>
      <c r="JC69" s="960"/>
      <c r="JD69" s="960"/>
      <c r="JE69" s="960"/>
      <c r="JF69" s="960"/>
      <c r="JG69" s="960"/>
      <c r="JH69" s="960"/>
      <c r="JI69" s="960"/>
      <c r="JJ69" s="960"/>
      <c r="JK69" s="961"/>
      <c r="JL69" s="962"/>
      <c r="JM69" s="963"/>
      <c r="JN69" s="961"/>
      <c r="JO69" s="962"/>
      <c r="JP69" s="962"/>
      <c r="JQ69" s="459" t="s">
        <v>425</v>
      </c>
      <c r="JR69" s="482">
        <f>COUNTA(IY69:JP69)</f>
        <v>0</v>
      </c>
      <c r="JS69" s="939"/>
      <c r="JT69" s="1016"/>
      <c r="JV69" s="1038">
        <v>46379</v>
      </c>
      <c r="JW69" s="960"/>
      <c r="JX69" s="960"/>
      <c r="JY69" s="960"/>
      <c r="JZ69" s="960"/>
      <c r="KA69" s="960"/>
      <c r="KB69" s="960"/>
      <c r="KC69" s="960"/>
      <c r="KD69" s="960"/>
      <c r="KE69" s="960"/>
      <c r="KF69" s="960"/>
      <c r="KG69" s="960"/>
      <c r="KH69" s="960"/>
      <c r="KI69" s="961"/>
      <c r="KJ69" s="962"/>
      <c r="KK69" s="963"/>
      <c r="KL69" s="961"/>
      <c r="KM69" s="962"/>
      <c r="KN69" s="962"/>
      <c r="KO69" s="459" t="s">
        <v>425</v>
      </c>
      <c r="KP69" s="482">
        <f>COUNTA(JW69:KN69)</f>
        <v>0</v>
      </c>
      <c r="KQ69" s="939"/>
      <c r="KR69" s="1016"/>
      <c r="KT69" s="1051">
        <v>46410</v>
      </c>
      <c r="KU69" s="1023"/>
      <c r="KV69" s="1023"/>
      <c r="KW69" s="1023"/>
      <c r="KX69" s="1023"/>
      <c r="KY69" s="1023"/>
      <c r="KZ69" s="1023"/>
      <c r="LA69" s="1023"/>
      <c r="LB69" s="1023"/>
      <c r="LC69" s="1023"/>
      <c r="LD69" s="1023"/>
      <c r="LE69" s="1023"/>
      <c r="LF69" s="1023"/>
      <c r="LG69" s="1021"/>
      <c r="LH69" s="1022"/>
      <c r="LI69" s="1024"/>
      <c r="LJ69" s="1021"/>
      <c r="LK69" s="1022"/>
      <c r="LL69" s="1022"/>
      <c r="LM69" s="489" t="s">
        <v>425</v>
      </c>
      <c r="LN69" s="496">
        <f>COUNTA(KU69:LL69)</f>
        <v>0</v>
      </c>
      <c r="LO69" s="1067"/>
      <c r="LP69" s="1070"/>
    </row>
    <row r="70" spans="1:328" ht="15">
      <c r="R70" s="877"/>
      <c r="S70" s="231" t="s">
        <v>59</v>
      </c>
      <c r="T70" s="231" t="s">
        <v>73</v>
      </c>
      <c r="U70" s="102" t="s">
        <v>4</v>
      </c>
      <c r="V70" s="231" t="s">
        <v>59</v>
      </c>
      <c r="W70" s="231" t="s">
        <v>73</v>
      </c>
      <c r="X70" s="102" t="s">
        <v>4</v>
      </c>
      <c r="Y70" s="231" t="s">
        <v>59</v>
      </c>
      <c r="Z70" s="231" t="s">
        <v>73</v>
      </c>
      <c r="AA70" s="102" t="s">
        <v>4</v>
      </c>
      <c r="AB70" s="231" t="s">
        <v>59</v>
      </c>
      <c r="AC70" s="231" t="s">
        <v>73</v>
      </c>
      <c r="AD70" s="102" t="s">
        <v>4</v>
      </c>
      <c r="AE70" s="107" t="s">
        <v>59</v>
      </c>
      <c r="AF70" s="107" t="s">
        <v>73</v>
      </c>
      <c r="AG70" s="108" t="s">
        <v>4</v>
      </c>
      <c r="AH70" s="107" t="s">
        <v>59</v>
      </c>
      <c r="AI70" s="107" t="s">
        <v>73</v>
      </c>
      <c r="AJ70" s="471" t="s">
        <v>4</v>
      </c>
      <c r="AK70" s="1004">
        <v>39</v>
      </c>
      <c r="AL70" s="1002">
        <f t="shared" ref="AL70" si="104">(S71*T71*U71)+(V71*W71*X71)+(Y71*Z71*AA71)+(AB71*AC71*AD71)+(AE71*AF71*AG71)+(AH71*AI71*AJ71)</f>
        <v>4450.7333333333336</v>
      </c>
      <c r="AM70" s="940"/>
      <c r="AN70" s="855"/>
      <c r="AO70" s="118"/>
      <c r="AP70" s="871"/>
      <c r="AQ70" s="231" t="s">
        <v>59</v>
      </c>
      <c r="AR70" s="231" t="s">
        <v>73</v>
      </c>
      <c r="AS70" s="102" t="s">
        <v>4</v>
      </c>
      <c r="AT70" s="231" t="s">
        <v>59</v>
      </c>
      <c r="AU70" s="231" t="s">
        <v>73</v>
      </c>
      <c r="AV70" s="102" t="s">
        <v>4</v>
      </c>
      <c r="AW70" s="231" t="s">
        <v>59</v>
      </c>
      <c r="AX70" s="231" t="s">
        <v>73</v>
      </c>
      <c r="AY70" s="102" t="s">
        <v>4</v>
      </c>
      <c r="AZ70" s="231" t="s">
        <v>59</v>
      </c>
      <c r="BA70" s="231" t="s">
        <v>73</v>
      </c>
      <c r="BB70" s="102" t="s">
        <v>4</v>
      </c>
      <c r="BC70" s="231" t="s">
        <v>59</v>
      </c>
      <c r="BD70" s="231" t="s">
        <v>73</v>
      </c>
      <c r="BE70" s="102" t="s">
        <v>4</v>
      </c>
      <c r="BF70" s="107" t="s">
        <v>59</v>
      </c>
      <c r="BG70" s="107" t="s">
        <v>73</v>
      </c>
      <c r="BH70" s="471" t="s">
        <v>4</v>
      </c>
      <c r="BI70" s="1004">
        <v>63</v>
      </c>
      <c r="BJ70" s="1003">
        <f t="shared" si="100"/>
        <v>6515.0999999999995</v>
      </c>
      <c r="BK70" s="940"/>
      <c r="BL70" s="1016"/>
      <c r="BM70" s="118"/>
      <c r="BN70" s="871"/>
      <c r="BO70" s="231" t="s">
        <v>59</v>
      </c>
      <c r="BP70" s="231" t="s">
        <v>73</v>
      </c>
      <c r="BQ70" s="102" t="s">
        <v>4</v>
      </c>
      <c r="BR70" s="107" t="s">
        <v>59</v>
      </c>
      <c r="BS70" s="107" t="s">
        <v>73</v>
      </c>
      <c r="BT70" s="108" t="s">
        <v>4</v>
      </c>
      <c r="BU70" s="107" t="s">
        <v>59</v>
      </c>
      <c r="BV70" s="107" t="s">
        <v>73</v>
      </c>
      <c r="BW70" s="108" t="s">
        <v>4</v>
      </c>
      <c r="BX70" s="107" t="s">
        <v>59</v>
      </c>
      <c r="BY70" s="107" t="s">
        <v>73</v>
      </c>
      <c r="BZ70" s="108" t="s">
        <v>4</v>
      </c>
      <c r="CA70" s="107" t="s">
        <v>59</v>
      </c>
      <c r="CB70" s="107" t="s">
        <v>73</v>
      </c>
      <c r="CC70" s="108" t="s">
        <v>4</v>
      </c>
      <c r="CD70" s="107" t="s">
        <v>59</v>
      </c>
      <c r="CE70" s="107" t="s">
        <v>73</v>
      </c>
      <c r="CF70" s="471" t="s">
        <v>4</v>
      </c>
      <c r="CG70" s="1004">
        <f>60+3</f>
        <v>63</v>
      </c>
      <c r="CH70" s="1005">
        <f t="shared" ref="CH70" si="105">(BO71*BP71*BQ71)+(BR71*BS71*BT71)+(BU71*BV71*BW71)+(BX71*BY71*BZ71)+(CA71*CB71*CC71)+(CD71*CE71*CF71)</f>
        <v>4866.75</v>
      </c>
      <c r="CI70" s="940"/>
      <c r="CJ70" s="1016"/>
      <c r="CL70" s="1042"/>
      <c r="CM70" s="460" t="s">
        <v>59</v>
      </c>
      <c r="CN70" s="460" t="s">
        <v>73</v>
      </c>
      <c r="CO70" s="461" t="s">
        <v>4</v>
      </c>
      <c r="CP70" s="460" t="s">
        <v>59</v>
      </c>
      <c r="CQ70" s="460" t="s">
        <v>73</v>
      </c>
      <c r="CR70" s="461" t="s">
        <v>4</v>
      </c>
      <c r="CS70" s="460" t="s">
        <v>59</v>
      </c>
      <c r="CT70" s="460" t="s">
        <v>73</v>
      </c>
      <c r="CU70" s="461" t="s">
        <v>4</v>
      </c>
      <c r="CV70" s="460" t="s">
        <v>59</v>
      </c>
      <c r="CW70" s="460" t="s">
        <v>73</v>
      </c>
      <c r="CX70" s="461" t="s">
        <v>4</v>
      </c>
      <c r="CY70" s="460" t="s">
        <v>59</v>
      </c>
      <c r="CZ70" s="460" t="s">
        <v>73</v>
      </c>
      <c r="DA70" s="461" t="s">
        <v>4</v>
      </c>
      <c r="DB70" s="460" t="s">
        <v>59</v>
      </c>
      <c r="DC70" s="460" t="s">
        <v>73</v>
      </c>
      <c r="DD70" s="473" t="s">
        <v>4</v>
      </c>
      <c r="DE70" s="1004"/>
      <c r="DF70" s="1005">
        <f>(CM71*CN71*CO71)+(CP71*CQ71*CR71)+(CS71*CT71*CU71)+(CV71*CW71*CX71)+(CY71*CZ71*DA71)+(DB71*DC71*DD71)</f>
        <v>0</v>
      </c>
      <c r="DG70" s="940"/>
      <c r="DH70" s="1016"/>
      <c r="DJ70" s="1052"/>
      <c r="DK70" s="491" t="s">
        <v>59</v>
      </c>
      <c r="DL70" s="491" t="s">
        <v>73</v>
      </c>
      <c r="DM70" s="492" t="s">
        <v>4</v>
      </c>
      <c r="DN70" s="491" t="s">
        <v>59</v>
      </c>
      <c r="DO70" s="491" t="s">
        <v>73</v>
      </c>
      <c r="DP70" s="492" t="s">
        <v>4</v>
      </c>
      <c r="DQ70" s="491" t="s">
        <v>59</v>
      </c>
      <c r="DR70" s="491" t="s">
        <v>73</v>
      </c>
      <c r="DS70" s="492" t="s">
        <v>4</v>
      </c>
      <c r="DT70" s="491" t="s">
        <v>59</v>
      </c>
      <c r="DU70" s="491" t="s">
        <v>73</v>
      </c>
      <c r="DV70" s="492" t="s">
        <v>4</v>
      </c>
      <c r="DW70" s="491" t="s">
        <v>59</v>
      </c>
      <c r="DX70" s="491" t="s">
        <v>73</v>
      </c>
      <c r="DY70" s="492" t="s">
        <v>4</v>
      </c>
      <c r="DZ70" s="491" t="s">
        <v>59</v>
      </c>
      <c r="EA70" s="491" t="s">
        <v>73</v>
      </c>
      <c r="EB70" s="493" t="s">
        <v>4</v>
      </c>
      <c r="EC70" s="1071"/>
      <c r="ED70" s="1072">
        <f>(DK71*DL71*DM71)+(DN71*DO71*DP71)+(DQ71*DR71*DS71)+(DT71*DU71*DV71)+(DW71*DX71*DY71)+(DZ71*EA71*EB71)</f>
        <v>0</v>
      </c>
      <c r="EE70" s="1068"/>
      <c r="EF70" s="1070"/>
      <c r="EH70" s="1075"/>
      <c r="EI70" s="460" t="s">
        <v>59</v>
      </c>
      <c r="EJ70" s="460" t="s">
        <v>73</v>
      </c>
      <c r="EK70" s="461" t="s">
        <v>4</v>
      </c>
      <c r="EL70" s="460" t="s">
        <v>59</v>
      </c>
      <c r="EM70" s="460" t="s">
        <v>73</v>
      </c>
      <c r="EN70" s="461" t="s">
        <v>4</v>
      </c>
      <c r="EO70" s="460" t="s">
        <v>59</v>
      </c>
      <c r="EP70" s="460" t="s">
        <v>73</v>
      </c>
      <c r="EQ70" s="461" t="s">
        <v>4</v>
      </c>
      <c r="ER70" s="460" t="s">
        <v>59</v>
      </c>
      <c r="ES70" s="460" t="s">
        <v>73</v>
      </c>
      <c r="ET70" s="461" t="s">
        <v>4</v>
      </c>
      <c r="EU70" s="460" t="s">
        <v>59</v>
      </c>
      <c r="EV70" s="460" t="s">
        <v>73</v>
      </c>
      <c r="EW70" s="461" t="s">
        <v>4</v>
      </c>
      <c r="EX70" s="460" t="s">
        <v>59</v>
      </c>
      <c r="EY70" s="460" t="s">
        <v>73</v>
      </c>
      <c r="EZ70" s="473" t="s">
        <v>4</v>
      </c>
      <c r="FA70" s="1004"/>
      <c r="FB70" s="1005">
        <f>(EI71*EJ71*EK71)+(EL71*EM71*EN71)+(EO71*EP71*EQ71)+(ER71*ES71*ET71)+(EU71*EV71*EW71)+(EX71*EY71*EZ71)</f>
        <v>0</v>
      </c>
      <c r="FC70" s="940"/>
      <c r="FD70" s="1016"/>
      <c r="FF70" s="1042"/>
      <c r="FG70" s="460" t="s">
        <v>59</v>
      </c>
      <c r="FH70" s="460" t="s">
        <v>73</v>
      </c>
      <c r="FI70" s="461" t="s">
        <v>4</v>
      </c>
      <c r="FJ70" s="460" t="s">
        <v>59</v>
      </c>
      <c r="FK70" s="460" t="s">
        <v>73</v>
      </c>
      <c r="FL70" s="461" t="s">
        <v>4</v>
      </c>
      <c r="FM70" s="460" t="s">
        <v>59</v>
      </c>
      <c r="FN70" s="460" t="s">
        <v>73</v>
      </c>
      <c r="FO70" s="461" t="s">
        <v>4</v>
      </c>
      <c r="FP70" s="460" t="s">
        <v>59</v>
      </c>
      <c r="FQ70" s="460" t="s">
        <v>73</v>
      </c>
      <c r="FR70" s="461" t="s">
        <v>4</v>
      </c>
      <c r="FS70" s="460" t="s">
        <v>59</v>
      </c>
      <c r="FT70" s="460" t="s">
        <v>73</v>
      </c>
      <c r="FU70" s="461" t="s">
        <v>4</v>
      </c>
      <c r="FV70" s="460" t="s">
        <v>59</v>
      </c>
      <c r="FW70" s="460" t="s">
        <v>73</v>
      </c>
      <c r="FX70" s="473" t="s">
        <v>4</v>
      </c>
      <c r="FY70" s="1004"/>
      <c r="FZ70" s="1005">
        <f>(FG71*FH71*FI71)+(FJ71*FK71*FL71)+(FM71*FN71*FO71)+(FP71*FQ71*FR71)+(FS71*FT71*FU71)+(FV71*FW71*FX71)</f>
        <v>0</v>
      </c>
      <c r="GA70" s="940"/>
      <c r="GB70" s="1016"/>
      <c r="GD70" s="1062"/>
      <c r="GE70" s="460" t="s">
        <v>59</v>
      </c>
      <c r="GF70" s="460" t="s">
        <v>73</v>
      </c>
      <c r="GG70" s="461" t="s">
        <v>4</v>
      </c>
      <c r="GH70" s="460" t="s">
        <v>59</v>
      </c>
      <c r="GI70" s="460" t="s">
        <v>73</v>
      </c>
      <c r="GJ70" s="461" t="s">
        <v>4</v>
      </c>
      <c r="GK70" s="460" t="s">
        <v>59</v>
      </c>
      <c r="GL70" s="460" t="s">
        <v>73</v>
      </c>
      <c r="GM70" s="461" t="s">
        <v>4</v>
      </c>
      <c r="GN70" s="460" t="s">
        <v>59</v>
      </c>
      <c r="GO70" s="460" t="s">
        <v>73</v>
      </c>
      <c r="GP70" s="461" t="s">
        <v>4</v>
      </c>
      <c r="GQ70" s="460" t="s">
        <v>59</v>
      </c>
      <c r="GR70" s="460" t="s">
        <v>73</v>
      </c>
      <c r="GS70" s="461" t="s">
        <v>4</v>
      </c>
      <c r="GT70" s="460" t="s">
        <v>59</v>
      </c>
      <c r="GU70" s="460" t="s">
        <v>73</v>
      </c>
      <c r="GV70" s="473" t="s">
        <v>4</v>
      </c>
      <c r="GW70" s="1004"/>
      <c r="GX70" s="1005">
        <f>(GE71*GF71*GG71)+(GH71*GI71*GJ71)+(GK71*GL71*GM71)+(GN71*GO71*GP71)+(GQ71*GR71*GS71)+(GT71*GU71*GV71)</f>
        <v>0</v>
      </c>
      <c r="GY70" s="940"/>
      <c r="GZ70" s="1016"/>
      <c r="HB70" s="1039"/>
      <c r="HC70" s="460" t="s">
        <v>59</v>
      </c>
      <c r="HD70" s="460" t="s">
        <v>73</v>
      </c>
      <c r="HE70" s="461" t="s">
        <v>4</v>
      </c>
      <c r="HF70" s="460" t="s">
        <v>59</v>
      </c>
      <c r="HG70" s="460" t="s">
        <v>73</v>
      </c>
      <c r="HH70" s="461" t="s">
        <v>4</v>
      </c>
      <c r="HI70" s="460" t="s">
        <v>59</v>
      </c>
      <c r="HJ70" s="460" t="s">
        <v>73</v>
      </c>
      <c r="HK70" s="461" t="s">
        <v>4</v>
      </c>
      <c r="HL70" s="460" t="s">
        <v>59</v>
      </c>
      <c r="HM70" s="460" t="s">
        <v>73</v>
      </c>
      <c r="HN70" s="461" t="s">
        <v>4</v>
      </c>
      <c r="HO70" s="460" t="s">
        <v>59</v>
      </c>
      <c r="HP70" s="460" t="s">
        <v>73</v>
      </c>
      <c r="HQ70" s="461" t="s">
        <v>4</v>
      </c>
      <c r="HR70" s="460" t="s">
        <v>59</v>
      </c>
      <c r="HS70" s="460" t="s">
        <v>73</v>
      </c>
      <c r="HT70" s="473" t="s">
        <v>4</v>
      </c>
      <c r="HU70" s="1004"/>
      <c r="HV70" s="1005">
        <f>(HC71*HD71*HE71)+(HF71*HG71*HH71)+(HI71*HJ71*HK71)+(HL71*HM71*HN71)+(HO71*HP71*HQ71)+(HR71*HS71*HT71)</f>
        <v>0</v>
      </c>
      <c r="HW70" s="940"/>
      <c r="HX70" s="1016"/>
      <c r="HZ70" s="1049"/>
      <c r="IA70" s="460" t="s">
        <v>59</v>
      </c>
      <c r="IB70" s="460" t="s">
        <v>73</v>
      </c>
      <c r="IC70" s="461" t="s">
        <v>4</v>
      </c>
      <c r="ID70" s="460" t="s">
        <v>59</v>
      </c>
      <c r="IE70" s="460" t="s">
        <v>73</v>
      </c>
      <c r="IF70" s="461" t="s">
        <v>4</v>
      </c>
      <c r="IG70" s="460" t="s">
        <v>59</v>
      </c>
      <c r="IH70" s="460" t="s">
        <v>73</v>
      </c>
      <c r="II70" s="461" t="s">
        <v>4</v>
      </c>
      <c r="IJ70" s="460" t="s">
        <v>59</v>
      </c>
      <c r="IK70" s="460" t="s">
        <v>73</v>
      </c>
      <c r="IL70" s="461" t="s">
        <v>4</v>
      </c>
      <c r="IM70" s="460" t="s">
        <v>59</v>
      </c>
      <c r="IN70" s="460" t="s">
        <v>73</v>
      </c>
      <c r="IO70" s="461" t="s">
        <v>4</v>
      </c>
      <c r="IP70" s="460" t="s">
        <v>59</v>
      </c>
      <c r="IQ70" s="460" t="s">
        <v>73</v>
      </c>
      <c r="IR70" s="473" t="s">
        <v>4</v>
      </c>
      <c r="IS70" s="1004"/>
      <c r="IT70" s="1005">
        <f>(IA71*IB71*IC71)+(ID71*IE71*IF71)+(IG71*IH71*II71)+(IJ71*IK71*IL71)+(IM71*IN71*IO71)+(IP71*IQ71*IR71)</f>
        <v>0</v>
      </c>
      <c r="IU70" s="940"/>
      <c r="IV70" s="1016"/>
      <c r="IX70" s="1065"/>
      <c r="IY70" s="460" t="s">
        <v>59</v>
      </c>
      <c r="IZ70" s="460" t="s">
        <v>73</v>
      </c>
      <c r="JA70" s="461" t="s">
        <v>4</v>
      </c>
      <c r="JB70" s="460" t="s">
        <v>59</v>
      </c>
      <c r="JC70" s="460" t="s">
        <v>73</v>
      </c>
      <c r="JD70" s="461" t="s">
        <v>4</v>
      </c>
      <c r="JE70" s="460" t="s">
        <v>59</v>
      </c>
      <c r="JF70" s="460" t="s">
        <v>73</v>
      </c>
      <c r="JG70" s="461" t="s">
        <v>4</v>
      </c>
      <c r="JH70" s="460" t="s">
        <v>59</v>
      </c>
      <c r="JI70" s="460" t="s">
        <v>73</v>
      </c>
      <c r="JJ70" s="461" t="s">
        <v>4</v>
      </c>
      <c r="JK70" s="460" t="s">
        <v>59</v>
      </c>
      <c r="JL70" s="460" t="s">
        <v>73</v>
      </c>
      <c r="JM70" s="461" t="s">
        <v>4</v>
      </c>
      <c r="JN70" s="460" t="s">
        <v>59</v>
      </c>
      <c r="JO70" s="460" t="s">
        <v>73</v>
      </c>
      <c r="JP70" s="473" t="s">
        <v>4</v>
      </c>
      <c r="JQ70" s="1004"/>
      <c r="JR70" s="1005">
        <f>(IY71*IZ71*JA71)+(JB71*JC71*JD71)+(JE71*JF71*JG71)+(JH71*JI71*JJ71)+(JK71*JL71*JM71)+(JN71*JO71*JP71)</f>
        <v>0</v>
      </c>
      <c r="JS70" s="940"/>
      <c r="JT70" s="1016"/>
      <c r="JV70" s="1039"/>
      <c r="JW70" s="460" t="s">
        <v>59</v>
      </c>
      <c r="JX70" s="460" t="s">
        <v>73</v>
      </c>
      <c r="JY70" s="461" t="s">
        <v>4</v>
      </c>
      <c r="JZ70" s="460" t="s">
        <v>59</v>
      </c>
      <c r="KA70" s="460" t="s">
        <v>73</v>
      </c>
      <c r="KB70" s="461" t="s">
        <v>4</v>
      </c>
      <c r="KC70" s="460" t="s">
        <v>59</v>
      </c>
      <c r="KD70" s="460" t="s">
        <v>73</v>
      </c>
      <c r="KE70" s="461" t="s">
        <v>4</v>
      </c>
      <c r="KF70" s="460" t="s">
        <v>59</v>
      </c>
      <c r="KG70" s="460" t="s">
        <v>73</v>
      </c>
      <c r="KH70" s="461" t="s">
        <v>4</v>
      </c>
      <c r="KI70" s="460" t="s">
        <v>59</v>
      </c>
      <c r="KJ70" s="460" t="s">
        <v>73</v>
      </c>
      <c r="KK70" s="461" t="s">
        <v>4</v>
      </c>
      <c r="KL70" s="460" t="s">
        <v>59</v>
      </c>
      <c r="KM70" s="460" t="s">
        <v>73</v>
      </c>
      <c r="KN70" s="473" t="s">
        <v>4</v>
      </c>
      <c r="KO70" s="1004"/>
      <c r="KP70" s="1005">
        <f>(JW71*JX71*JY71)+(JZ71*KA71*KB71)+(KC71*KD71*KE71)+(KF71*KG71*KH71)+(KI71*KJ71*KK71)+(KL71*KM71*KN71)</f>
        <v>0</v>
      </c>
      <c r="KQ70" s="940"/>
      <c r="KR70" s="1016"/>
      <c r="KT70" s="1052"/>
      <c r="KU70" s="491" t="s">
        <v>59</v>
      </c>
      <c r="KV70" s="491" t="s">
        <v>73</v>
      </c>
      <c r="KW70" s="492" t="s">
        <v>4</v>
      </c>
      <c r="KX70" s="491" t="s">
        <v>59</v>
      </c>
      <c r="KY70" s="491" t="s">
        <v>73</v>
      </c>
      <c r="KZ70" s="492" t="s">
        <v>4</v>
      </c>
      <c r="LA70" s="491" t="s">
        <v>59</v>
      </c>
      <c r="LB70" s="491" t="s">
        <v>73</v>
      </c>
      <c r="LC70" s="492" t="s">
        <v>4</v>
      </c>
      <c r="LD70" s="491" t="s">
        <v>59</v>
      </c>
      <c r="LE70" s="491" t="s">
        <v>73</v>
      </c>
      <c r="LF70" s="492" t="s">
        <v>4</v>
      </c>
      <c r="LG70" s="491" t="s">
        <v>59</v>
      </c>
      <c r="LH70" s="491" t="s">
        <v>73</v>
      </c>
      <c r="LI70" s="492" t="s">
        <v>4</v>
      </c>
      <c r="LJ70" s="491" t="s">
        <v>59</v>
      </c>
      <c r="LK70" s="491" t="s">
        <v>73</v>
      </c>
      <c r="LL70" s="493" t="s">
        <v>4</v>
      </c>
      <c r="LM70" s="1071"/>
      <c r="LN70" s="1072">
        <f>(KU71*KV71*KW71)+(KX71*KY71*KZ71)+(LA71*LB71*LC71)+(LD71*LE71*LF71)+(LG71*LH71*LI71)+(LJ71*LK71*LL71)</f>
        <v>0</v>
      </c>
      <c r="LO70" s="1068"/>
      <c r="LP70" s="1070"/>
    </row>
    <row r="71" spans="1:328" ht="15">
      <c r="R71" s="878"/>
      <c r="S71" s="229">
        <v>4</v>
      </c>
      <c r="T71" s="229">
        <f>((12*1)+(8*3))/4</f>
        <v>9</v>
      </c>
      <c r="U71" s="229">
        <f>((12.5*1)+(25*3))/4</f>
        <v>21.875</v>
      </c>
      <c r="V71" s="229">
        <v>4</v>
      </c>
      <c r="W71" s="229">
        <f>((12*2)+(8*1)+(10*1))/4</f>
        <v>10.5</v>
      </c>
      <c r="X71" s="229">
        <f>((27*1)+(50*3))/4</f>
        <v>44.25</v>
      </c>
      <c r="Y71" s="229">
        <v>4</v>
      </c>
      <c r="Z71" s="229">
        <f>((12*3)+(8*1))/4</f>
        <v>11</v>
      </c>
      <c r="AA71" s="126">
        <f>((15.9*1)+(31.8*2)+(34*2))/4</f>
        <v>36.875</v>
      </c>
      <c r="AB71" s="229">
        <v>4</v>
      </c>
      <c r="AC71" s="229">
        <f>((0.5*1)+(1*3))/4</f>
        <v>0.875</v>
      </c>
      <c r="AD71" s="229">
        <f>AN69*(2/3)</f>
        <v>52.066666666666663</v>
      </c>
      <c r="AE71" s="233"/>
      <c r="AF71" s="233"/>
      <c r="AG71" s="233"/>
      <c r="AH71" s="233"/>
      <c r="AI71" s="233"/>
      <c r="AJ71" s="472"/>
      <c r="AK71" s="1007"/>
      <c r="AL71" s="1002"/>
      <c r="AM71" s="941"/>
      <c r="AN71" s="855"/>
      <c r="AO71" s="118"/>
      <c r="AP71" s="872"/>
      <c r="AQ71" s="229">
        <v>4</v>
      </c>
      <c r="AR71" s="229">
        <f>((12*1)+(10*1)+(9*2))/4</f>
        <v>10</v>
      </c>
      <c r="AS71" s="229">
        <f>((36*1)+(68*3))/4</f>
        <v>60</v>
      </c>
      <c r="AT71" s="229">
        <v>4</v>
      </c>
      <c r="AU71" s="229">
        <v>16</v>
      </c>
      <c r="AV71" s="229">
        <f>((15.9*1)+(34*3))/4</f>
        <v>29.475000000000001</v>
      </c>
      <c r="AW71" s="229">
        <v>4</v>
      </c>
      <c r="AX71" s="229">
        <v>12</v>
      </c>
      <c r="AY71" s="229">
        <f>((13.9*1)+(24.9*3))/4</f>
        <v>22.15</v>
      </c>
      <c r="AZ71" s="229">
        <v>4</v>
      </c>
      <c r="BA71" s="229">
        <f>((12*1)+(10*3))/4</f>
        <v>10.5</v>
      </c>
      <c r="BB71" s="229">
        <f>((2.5*1)+(7.5*3))/4</f>
        <v>6.25</v>
      </c>
      <c r="BC71" s="229">
        <v>4</v>
      </c>
      <c r="BD71" s="126">
        <f>((12*1)+(10*3))/4</f>
        <v>10.5</v>
      </c>
      <c r="BE71" s="229">
        <f>((11.3*1)+(24.9*3))/4</f>
        <v>21.499999999999996</v>
      </c>
      <c r="BF71" s="233"/>
      <c r="BG71" s="233"/>
      <c r="BH71" s="472"/>
      <c r="BI71" s="1007"/>
      <c r="BJ71" s="1003"/>
      <c r="BK71" s="941"/>
      <c r="BL71" s="1016"/>
      <c r="BM71" s="118"/>
      <c r="BN71" s="872"/>
      <c r="BO71" s="229">
        <v>1</v>
      </c>
      <c r="BP71" s="229">
        <f>CG70</f>
        <v>63</v>
      </c>
      <c r="BQ71" s="229">
        <f>CJ69</f>
        <v>77.25</v>
      </c>
      <c r="BR71" s="233"/>
      <c r="BS71" s="233"/>
      <c r="BT71" s="233"/>
      <c r="BU71" s="233"/>
      <c r="BV71" s="233"/>
      <c r="BW71" s="233"/>
      <c r="BX71" s="233"/>
      <c r="BY71" s="233"/>
      <c r="BZ71" s="233"/>
      <c r="CA71" s="233"/>
      <c r="CB71" s="233"/>
      <c r="CC71" s="233"/>
      <c r="CD71" s="233"/>
      <c r="CE71" s="233"/>
      <c r="CF71" s="472"/>
      <c r="CG71" s="1007"/>
      <c r="CH71" s="1006"/>
      <c r="CI71" s="941"/>
      <c r="CJ71" s="1016"/>
      <c r="CL71" s="1043"/>
      <c r="CM71" s="462"/>
      <c r="CN71" s="462"/>
      <c r="CO71" s="462"/>
      <c r="CP71" s="462"/>
      <c r="CQ71" s="462"/>
      <c r="CR71" s="462"/>
      <c r="CS71" s="462"/>
      <c r="CT71" s="462"/>
      <c r="CU71" s="462"/>
      <c r="CV71" s="462"/>
      <c r="CW71" s="462"/>
      <c r="CX71" s="462"/>
      <c r="CY71" s="462"/>
      <c r="CZ71" s="462"/>
      <c r="DA71" s="462"/>
      <c r="DB71" s="462"/>
      <c r="DC71" s="462"/>
      <c r="DD71" s="475"/>
      <c r="DE71" s="1007"/>
      <c r="DF71" s="1006"/>
      <c r="DG71" s="941"/>
      <c r="DH71" s="1016"/>
      <c r="DJ71" s="1053"/>
      <c r="DK71" s="494"/>
      <c r="DL71" s="494"/>
      <c r="DM71" s="494"/>
      <c r="DN71" s="494"/>
      <c r="DO71" s="494"/>
      <c r="DP71" s="494"/>
      <c r="DQ71" s="494"/>
      <c r="DR71" s="494"/>
      <c r="DS71" s="494"/>
      <c r="DT71" s="494"/>
      <c r="DU71" s="494"/>
      <c r="DV71" s="494"/>
      <c r="DW71" s="494"/>
      <c r="DX71" s="494"/>
      <c r="DY71" s="494"/>
      <c r="DZ71" s="494"/>
      <c r="EA71" s="494"/>
      <c r="EB71" s="497"/>
      <c r="EC71" s="1081"/>
      <c r="ED71" s="1073"/>
      <c r="EE71" s="1069"/>
      <c r="EF71" s="1070"/>
      <c r="EH71" s="1076"/>
      <c r="EI71" s="462"/>
      <c r="EJ71" s="462"/>
      <c r="EK71" s="462"/>
      <c r="EL71" s="462"/>
      <c r="EM71" s="462"/>
      <c r="EN71" s="462"/>
      <c r="EO71" s="462"/>
      <c r="EP71" s="462"/>
      <c r="EQ71" s="462"/>
      <c r="ER71" s="462"/>
      <c r="ES71" s="462"/>
      <c r="ET71" s="462"/>
      <c r="EU71" s="462"/>
      <c r="EV71" s="462"/>
      <c r="EW71" s="462"/>
      <c r="EX71" s="462"/>
      <c r="EY71" s="462"/>
      <c r="EZ71" s="475"/>
      <c r="FA71" s="1007"/>
      <c r="FB71" s="1006"/>
      <c r="FC71" s="941"/>
      <c r="FD71" s="1016"/>
      <c r="FF71" s="1043"/>
      <c r="FG71" s="462"/>
      <c r="FH71" s="462"/>
      <c r="FI71" s="462"/>
      <c r="FJ71" s="462"/>
      <c r="FK71" s="462"/>
      <c r="FL71" s="462"/>
      <c r="FM71" s="462"/>
      <c r="FN71" s="462"/>
      <c r="FO71" s="462"/>
      <c r="FP71" s="462"/>
      <c r="FQ71" s="462"/>
      <c r="FR71" s="462"/>
      <c r="FS71" s="462"/>
      <c r="FT71" s="462"/>
      <c r="FU71" s="462"/>
      <c r="FV71" s="462"/>
      <c r="FW71" s="462"/>
      <c r="FX71" s="475"/>
      <c r="FY71" s="1007"/>
      <c r="FZ71" s="1006"/>
      <c r="GA71" s="941"/>
      <c r="GB71" s="1016"/>
      <c r="GD71" s="1063"/>
      <c r="GE71" s="462"/>
      <c r="GF71" s="462"/>
      <c r="GG71" s="462"/>
      <c r="GH71" s="462"/>
      <c r="GI71" s="462"/>
      <c r="GJ71" s="462"/>
      <c r="GK71" s="462"/>
      <c r="GL71" s="462"/>
      <c r="GM71" s="462"/>
      <c r="GN71" s="462"/>
      <c r="GO71" s="462"/>
      <c r="GP71" s="462"/>
      <c r="GQ71" s="462"/>
      <c r="GR71" s="462"/>
      <c r="GS71" s="462"/>
      <c r="GT71" s="462"/>
      <c r="GU71" s="462"/>
      <c r="GV71" s="475"/>
      <c r="GW71" s="1007"/>
      <c r="GX71" s="1006"/>
      <c r="GY71" s="941"/>
      <c r="GZ71" s="1016"/>
      <c r="HB71" s="1040"/>
      <c r="HC71" s="462"/>
      <c r="HD71" s="462"/>
      <c r="HE71" s="462"/>
      <c r="HF71" s="462"/>
      <c r="HG71" s="462"/>
      <c r="HH71" s="462"/>
      <c r="HI71" s="462"/>
      <c r="HJ71" s="462"/>
      <c r="HK71" s="462"/>
      <c r="HL71" s="462"/>
      <c r="HM71" s="462"/>
      <c r="HN71" s="462"/>
      <c r="HO71" s="462"/>
      <c r="HP71" s="462"/>
      <c r="HQ71" s="462"/>
      <c r="HR71" s="462"/>
      <c r="HS71" s="462"/>
      <c r="HT71" s="475"/>
      <c r="HU71" s="1007"/>
      <c r="HV71" s="1006"/>
      <c r="HW71" s="941"/>
      <c r="HX71" s="1016"/>
      <c r="HZ71" s="1050"/>
      <c r="IA71" s="462"/>
      <c r="IB71" s="462"/>
      <c r="IC71" s="462"/>
      <c r="ID71" s="462"/>
      <c r="IE71" s="462"/>
      <c r="IF71" s="462"/>
      <c r="IG71" s="462"/>
      <c r="IH71" s="462"/>
      <c r="II71" s="462"/>
      <c r="IJ71" s="462"/>
      <c r="IK71" s="462"/>
      <c r="IL71" s="462"/>
      <c r="IM71" s="462"/>
      <c r="IN71" s="462"/>
      <c r="IO71" s="462"/>
      <c r="IP71" s="462"/>
      <c r="IQ71" s="462"/>
      <c r="IR71" s="475"/>
      <c r="IS71" s="1007"/>
      <c r="IT71" s="1006"/>
      <c r="IU71" s="941"/>
      <c r="IV71" s="1016"/>
      <c r="IX71" s="1066"/>
      <c r="IY71" s="462"/>
      <c r="IZ71" s="462"/>
      <c r="JA71" s="462"/>
      <c r="JB71" s="462"/>
      <c r="JC71" s="462"/>
      <c r="JD71" s="462"/>
      <c r="JE71" s="462"/>
      <c r="JF71" s="462"/>
      <c r="JG71" s="462"/>
      <c r="JH71" s="462"/>
      <c r="JI71" s="462"/>
      <c r="JJ71" s="462"/>
      <c r="JK71" s="462"/>
      <c r="JL71" s="462"/>
      <c r="JM71" s="462"/>
      <c r="JN71" s="462"/>
      <c r="JO71" s="462"/>
      <c r="JP71" s="475"/>
      <c r="JQ71" s="1007"/>
      <c r="JR71" s="1006"/>
      <c r="JS71" s="941"/>
      <c r="JT71" s="1016"/>
      <c r="JV71" s="1040"/>
      <c r="JW71" s="462"/>
      <c r="JX71" s="462"/>
      <c r="JY71" s="462"/>
      <c r="JZ71" s="462"/>
      <c r="KA71" s="462"/>
      <c r="KB71" s="462"/>
      <c r="KC71" s="462"/>
      <c r="KD71" s="462"/>
      <c r="KE71" s="462"/>
      <c r="KF71" s="462"/>
      <c r="KG71" s="462"/>
      <c r="KH71" s="462"/>
      <c r="KI71" s="462"/>
      <c r="KJ71" s="462"/>
      <c r="KK71" s="462"/>
      <c r="KL71" s="462"/>
      <c r="KM71" s="462"/>
      <c r="KN71" s="475"/>
      <c r="KO71" s="1007"/>
      <c r="KP71" s="1006"/>
      <c r="KQ71" s="941"/>
      <c r="KR71" s="1016"/>
      <c r="KT71" s="1053"/>
      <c r="KU71" s="494"/>
      <c r="KV71" s="494"/>
      <c r="KW71" s="494"/>
      <c r="KX71" s="494"/>
      <c r="KY71" s="494"/>
      <c r="KZ71" s="494"/>
      <c r="LA71" s="494"/>
      <c r="LB71" s="494"/>
      <c r="LC71" s="494"/>
      <c r="LD71" s="494"/>
      <c r="LE71" s="494"/>
      <c r="LF71" s="494"/>
      <c r="LG71" s="494"/>
      <c r="LH71" s="494"/>
      <c r="LI71" s="494"/>
      <c r="LJ71" s="494"/>
      <c r="LK71" s="494"/>
      <c r="LL71" s="497"/>
      <c r="LM71" s="1081"/>
      <c r="LN71" s="1073"/>
      <c r="LO71" s="1069"/>
      <c r="LP71" s="1070"/>
    </row>
    <row r="72" spans="1:328" ht="15">
      <c r="R72" s="840">
        <v>46046</v>
      </c>
      <c r="S72" s="1023"/>
      <c r="T72" s="1023"/>
      <c r="U72" s="1023"/>
      <c r="V72" s="1023"/>
      <c r="W72" s="1023"/>
      <c r="X72" s="1023"/>
      <c r="Y72" s="1023"/>
      <c r="Z72" s="1023"/>
      <c r="AA72" s="1023"/>
      <c r="AB72" s="1023"/>
      <c r="AC72" s="1023"/>
      <c r="AD72" s="1023"/>
      <c r="AE72" s="1021"/>
      <c r="AF72" s="1022"/>
      <c r="AG72" s="1024"/>
      <c r="AH72" s="1021"/>
      <c r="AI72" s="1022"/>
      <c r="AJ72" s="1022"/>
      <c r="AK72" s="459" t="s">
        <v>425</v>
      </c>
      <c r="AL72" s="1">
        <f t="shared" ref="AL72" si="106">COUNTA(S72:AJ72)</f>
        <v>0</v>
      </c>
      <c r="AM72" s="939"/>
      <c r="AN72" s="855">
        <f>AN69</f>
        <v>78.099999999999994</v>
      </c>
      <c r="AO72" s="118"/>
      <c r="AP72" s="856">
        <v>46077</v>
      </c>
      <c r="AQ72" s="848" t="s">
        <v>70</v>
      </c>
      <c r="AR72" s="848"/>
      <c r="AS72" s="848"/>
      <c r="AT72" s="859"/>
      <c r="AU72" s="859"/>
      <c r="AV72" s="859"/>
      <c r="AW72" s="834"/>
      <c r="AX72" s="835"/>
      <c r="AY72" s="836"/>
      <c r="AZ72" s="867"/>
      <c r="BA72" s="868"/>
      <c r="BB72" s="869"/>
      <c r="BC72" s="834"/>
      <c r="BD72" s="835"/>
      <c r="BE72" s="836"/>
      <c r="BF72" s="834"/>
      <c r="BG72" s="835"/>
      <c r="BH72" s="835"/>
      <c r="BI72" s="459" t="s">
        <v>425</v>
      </c>
      <c r="BJ72" s="482">
        <f t="shared" si="97"/>
        <v>1</v>
      </c>
      <c r="BK72" s="939"/>
      <c r="BL72" s="1016">
        <f>BL69</f>
        <v>77.8</v>
      </c>
      <c r="BM72" s="118"/>
      <c r="BN72" s="856">
        <v>46105</v>
      </c>
      <c r="BO72" s="848" t="s">
        <v>89</v>
      </c>
      <c r="BP72" s="848"/>
      <c r="BQ72" s="848"/>
      <c r="BR72" s="977" t="s">
        <v>380</v>
      </c>
      <c r="BS72" s="977"/>
      <c r="BT72" s="977"/>
      <c r="BU72" s="848" t="s">
        <v>115</v>
      </c>
      <c r="BV72" s="848"/>
      <c r="BW72" s="848"/>
      <c r="BX72" s="849" t="s">
        <v>114</v>
      </c>
      <c r="BY72" s="849"/>
      <c r="BZ72" s="849"/>
      <c r="CA72" s="848" t="s">
        <v>129</v>
      </c>
      <c r="CB72" s="848"/>
      <c r="CC72" s="848"/>
      <c r="CD72" s="834"/>
      <c r="CE72" s="835"/>
      <c r="CF72" s="835"/>
      <c r="CG72" s="459" t="s">
        <v>425</v>
      </c>
      <c r="CH72" s="482">
        <f t="shared" ref="CH72" si="107">COUNTA(BO72:CF72)</f>
        <v>5</v>
      </c>
      <c r="CI72" s="939">
        <v>8</v>
      </c>
      <c r="CJ72" s="1016">
        <v>78.099999999999994</v>
      </c>
      <c r="CL72" s="1048">
        <v>46136</v>
      </c>
      <c r="CM72" s="960"/>
      <c r="CN72" s="960"/>
      <c r="CO72" s="960"/>
      <c r="CP72" s="960"/>
      <c r="CQ72" s="960"/>
      <c r="CR72" s="960"/>
      <c r="CS72" s="960"/>
      <c r="CT72" s="960"/>
      <c r="CU72" s="960"/>
      <c r="CV72" s="960"/>
      <c r="CW72" s="960"/>
      <c r="CX72" s="960"/>
      <c r="CY72" s="961"/>
      <c r="CZ72" s="962"/>
      <c r="DA72" s="963"/>
      <c r="DB72" s="961"/>
      <c r="DC72" s="962"/>
      <c r="DD72" s="962"/>
      <c r="DE72" s="459" t="s">
        <v>425</v>
      </c>
      <c r="DF72" s="482">
        <f>COUNTA(CM72:DD72)</f>
        <v>0</v>
      </c>
      <c r="DG72" s="939"/>
      <c r="DH72" s="1016"/>
      <c r="DJ72" s="1061">
        <v>46166</v>
      </c>
      <c r="DK72" s="960"/>
      <c r="DL72" s="960"/>
      <c r="DM72" s="960"/>
      <c r="DN72" s="960"/>
      <c r="DO72" s="960"/>
      <c r="DP72" s="960"/>
      <c r="DQ72" s="960"/>
      <c r="DR72" s="960"/>
      <c r="DS72" s="960"/>
      <c r="DT72" s="960"/>
      <c r="DU72" s="960"/>
      <c r="DV72" s="960"/>
      <c r="DW72" s="961"/>
      <c r="DX72" s="962"/>
      <c r="DY72" s="963"/>
      <c r="DZ72" s="961"/>
      <c r="EA72" s="962"/>
      <c r="EB72" s="962"/>
      <c r="EC72" s="459" t="s">
        <v>425</v>
      </c>
      <c r="ED72" s="482">
        <f>COUNTA(DK72:EB72)</f>
        <v>0</v>
      </c>
      <c r="EE72" s="939"/>
      <c r="EF72" s="1016"/>
      <c r="EH72" s="1038">
        <v>46197</v>
      </c>
      <c r="EI72" s="960"/>
      <c r="EJ72" s="960"/>
      <c r="EK72" s="960"/>
      <c r="EL72" s="960"/>
      <c r="EM72" s="960"/>
      <c r="EN72" s="960"/>
      <c r="EO72" s="960"/>
      <c r="EP72" s="960"/>
      <c r="EQ72" s="960"/>
      <c r="ER72" s="960"/>
      <c r="ES72" s="960"/>
      <c r="ET72" s="960"/>
      <c r="EU72" s="961"/>
      <c r="EV72" s="962"/>
      <c r="EW72" s="963"/>
      <c r="EX72" s="961"/>
      <c r="EY72" s="962"/>
      <c r="EZ72" s="962"/>
      <c r="FA72" s="459" t="s">
        <v>425</v>
      </c>
      <c r="FB72" s="482">
        <f>COUNTA(EI72:EZ72)</f>
        <v>0</v>
      </c>
      <c r="FC72" s="939"/>
      <c r="FD72" s="1016"/>
      <c r="FF72" s="1048">
        <v>46227</v>
      </c>
      <c r="FG72" s="960"/>
      <c r="FH72" s="960"/>
      <c r="FI72" s="960"/>
      <c r="FJ72" s="960"/>
      <c r="FK72" s="960"/>
      <c r="FL72" s="960"/>
      <c r="FM72" s="960"/>
      <c r="FN72" s="960"/>
      <c r="FO72" s="960"/>
      <c r="FP72" s="960"/>
      <c r="FQ72" s="960"/>
      <c r="FR72" s="960"/>
      <c r="FS72" s="961"/>
      <c r="FT72" s="962"/>
      <c r="FU72" s="963"/>
      <c r="FV72" s="961"/>
      <c r="FW72" s="962"/>
      <c r="FX72" s="962"/>
      <c r="FY72" s="459" t="s">
        <v>425</v>
      </c>
      <c r="FZ72" s="482">
        <f>COUNTA(FG72:FX72)</f>
        <v>0</v>
      </c>
      <c r="GA72" s="939"/>
      <c r="GB72" s="1016"/>
      <c r="GD72" s="1064">
        <v>46258</v>
      </c>
      <c r="GE72" s="960"/>
      <c r="GF72" s="960"/>
      <c r="GG72" s="960"/>
      <c r="GH72" s="960"/>
      <c r="GI72" s="960"/>
      <c r="GJ72" s="960"/>
      <c r="GK72" s="960"/>
      <c r="GL72" s="960"/>
      <c r="GM72" s="960"/>
      <c r="GN72" s="960"/>
      <c r="GO72" s="960"/>
      <c r="GP72" s="960"/>
      <c r="GQ72" s="961"/>
      <c r="GR72" s="962"/>
      <c r="GS72" s="963"/>
      <c r="GT72" s="961"/>
      <c r="GU72" s="962"/>
      <c r="GV72" s="962"/>
      <c r="GW72" s="459" t="s">
        <v>425</v>
      </c>
      <c r="GX72" s="482">
        <f>COUNTA(GE72:GV72)</f>
        <v>0</v>
      </c>
      <c r="GY72" s="939"/>
      <c r="GZ72" s="1016"/>
      <c r="HB72" s="1041">
        <v>46289</v>
      </c>
      <c r="HC72" s="960"/>
      <c r="HD72" s="960"/>
      <c r="HE72" s="960"/>
      <c r="HF72" s="960"/>
      <c r="HG72" s="960"/>
      <c r="HH72" s="960"/>
      <c r="HI72" s="960"/>
      <c r="HJ72" s="960"/>
      <c r="HK72" s="960"/>
      <c r="HL72" s="960"/>
      <c r="HM72" s="960"/>
      <c r="HN72" s="960"/>
      <c r="HO72" s="961"/>
      <c r="HP72" s="962"/>
      <c r="HQ72" s="963"/>
      <c r="HR72" s="961"/>
      <c r="HS72" s="962"/>
      <c r="HT72" s="962"/>
      <c r="HU72" s="459" t="s">
        <v>425</v>
      </c>
      <c r="HV72" s="482">
        <f>COUNTA(HC72:HT72)</f>
        <v>0</v>
      </c>
      <c r="HW72" s="939"/>
      <c r="HX72" s="1016"/>
      <c r="HZ72" s="1051">
        <v>46319</v>
      </c>
      <c r="IA72" s="1023"/>
      <c r="IB72" s="1023"/>
      <c r="IC72" s="1023"/>
      <c r="ID72" s="1023"/>
      <c r="IE72" s="1023"/>
      <c r="IF72" s="1023"/>
      <c r="IG72" s="1023"/>
      <c r="IH72" s="1023"/>
      <c r="II72" s="1023"/>
      <c r="IJ72" s="1023"/>
      <c r="IK72" s="1023"/>
      <c r="IL72" s="1023"/>
      <c r="IM72" s="1021"/>
      <c r="IN72" s="1022"/>
      <c r="IO72" s="1024"/>
      <c r="IP72" s="1021"/>
      <c r="IQ72" s="1022"/>
      <c r="IR72" s="1022"/>
      <c r="IS72" s="489" t="s">
        <v>425</v>
      </c>
      <c r="IT72" s="496">
        <f>COUNTA(IA72:IR72)</f>
        <v>0</v>
      </c>
      <c r="IU72" s="1067"/>
      <c r="IV72" s="1070"/>
      <c r="IX72" s="1074">
        <v>46350</v>
      </c>
      <c r="IY72" s="960"/>
      <c r="IZ72" s="960"/>
      <c r="JA72" s="960"/>
      <c r="JB72" s="960"/>
      <c r="JC72" s="960"/>
      <c r="JD72" s="960"/>
      <c r="JE72" s="960"/>
      <c r="JF72" s="960"/>
      <c r="JG72" s="960"/>
      <c r="JH72" s="960"/>
      <c r="JI72" s="960"/>
      <c r="JJ72" s="960"/>
      <c r="JK72" s="961"/>
      <c r="JL72" s="962"/>
      <c r="JM72" s="963"/>
      <c r="JN72" s="961"/>
      <c r="JO72" s="962"/>
      <c r="JP72" s="962"/>
      <c r="JQ72" s="459" t="s">
        <v>425</v>
      </c>
      <c r="JR72" s="482">
        <f>COUNTA(IY72:JP72)</f>
        <v>0</v>
      </c>
      <c r="JS72" s="939"/>
      <c r="JT72" s="1016"/>
      <c r="JV72" s="1041">
        <v>46380</v>
      </c>
      <c r="JW72" s="960"/>
      <c r="JX72" s="960"/>
      <c r="JY72" s="960"/>
      <c r="JZ72" s="960"/>
      <c r="KA72" s="960"/>
      <c r="KB72" s="960"/>
      <c r="KC72" s="960"/>
      <c r="KD72" s="960"/>
      <c r="KE72" s="960"/>
      <c r="KF72" s="960"/>
      <c r="KG72" s="960"/>
      <c r="KH72" s="960"/>
      <c r="KI72" s="961"/>
      <c r="KJ72" s="962"/>
      <c r="KK72" s="963"/>
      <c r="KL72" s="961"/>
      <c r="KM72" s="962"/>
      <c r="KN72" s="962"/>
      <c r="KO72" s="459" t="s">
        <v>425</v>
      </c>
      <c r="KP72" s="482">
        <f>COUNTA(JW72:KN72)</f>
        <v>0</v>
      </c>
      <c r="KQ72" s="939"/>
      <c r="KR72" s="1016"/>
      <c r="KT72" s="1061">
        <v>46411</v>
      </c>
      <c r="KU72" s="960"/>
      <c r="KV72" s="960"/>
      <c r="KW72" s="960"/>
      <c r="KX72" s="960"/>
      <c r="KY72" s="960"/>
      <c r="KZ72" s="960"/>
      <c r="LA72" s="960"/>
      <c r="LB72" s="960"/>
      <c r="LC72" s="960"/>
      <c r="LD72" s="960"/>
      <c r="LE72" s="960"/>
      <c r="LF72" s="960"/>
      <c r="LG72" s="961"/>
      <c r="LH72" s="962"/>
      <c r="LI72" s="963"/>
      <c r="LJ72" s="961"/>
      <c r="LK72" s="962"/>
      <c r="LL72" s="962"/>
      <c r="LM72" s="459" t="s">
        <v>425</v>
      </c>
      <c r="LN72" s="482">
        <f>COUNTA(KU72:LL72)</f>
        <v>0</v>
      </c>
      <c r="LO72" s="939"/>
      <c r="LP72" s="1016"/>
    </row>
    <row r="73" spans="1:328" ht="15">
      <c r="R73" s="841"/>
      <c r="S73" s="491" t="s">
        <v>59</v>
      </c>
      <c r="T73" s="491" t="s">
        <v>73</v>
      </c>
      <c r="U73" s="492" t="s">
        <v>4</v>
      </c>
      <c r="V73" s="491" t="s">
        <v>59</v>
      </c>
      <c r="W73" s="491" t="s">
        <v>73</v>
      </c>
      <c r="X73" s="492" t="s">
        <v>4</v>
      </c>
      <c r="Y73" s="491" t="s">
        <v>59</v>
      </c>
      <c r="Z73" s="491" t="s">
        <v>73</v>
      </c>
      <c r="AA73" s="492" t="s">
        <v>4</v>
      </c>
      <c r="AB73" s="491" t="s">
        <v>59</v>
      </c>
      <c r="AC73" s="491" t="s">
        <v>73</v>
      </c>
      <c r="AD73" s="492" t="s">
        <v>4</v>
      </c>
      <c r="AE73" s="491" t="s">
        <v>59</v>
      </c>
      <c r="AF73" s="491" t="s">
        <v>73</v>
      </c>
      <c r="AG73" s="492" t="s">
        <v>4</v>
      </c>
      <c r="AH73" s="491" t="s">
        <v>59</v>
      </c>
      <c r="AI73" s="491" t="s">
        <v>73</v>
      </c>
      <c r="AJ73" s="493" t="s">
        <v>4</v>
      </c>
      <c r="AK73" s="1004">
        <v>0</v>
      </c>
      <c r="AL73" s="1002">
        <f t="shared" ref="AL73" si="108">(S74*T74*U74)+(V74*W74*X74)+(Y74*Z74*AA74)+(AB74*AC74*AD74)+(AE74*AF74*AG74)+(AH74*AI74*AJ74)</f>
        <v>0</v>
      </c>
      <c r="AM73" s="940"/>
      <c r="AN73" s="855"/>
      <c r="AO73" s="118"/>
      <c r="AP73" s="857"/>
      <c r="AQ73" s="231" t="s">
        <v>59</v>
      </c>
      <c r="AR73" s="231" t="s">
        <v>73</v>
      </c>
      <c r="AS73" s="102" t="s">
        <v>4</v>
      </c>
      <c r="AT73" s="107" t="s">
        <v>59</v>
      </c>
      <c r="AU73" s="107" t="s">
        <v>73</v>
      </c>
      <c r="AV73" s="108" t="s">
        <v>4</v>
      </c>
      <c r="AW73" s="107" t="s">
        <v>59</v>
      </c>
      <c r="AX73" s="107" t="s">
        <v>73</v>
      </c>
      <c r="AY73" s="108" t="s">
        <v>4</v>
      </c>
      <c r="AZ73" s="107" t="s">
        <v>59</v>
      </c>
      <c r="BA73" s="107" t="s">
        <v>73</v>
      </c>
      <c r="BB73" s="108" t="s">
        <v>4</v>
      </c>
      <c r="BC73" s="107" t="s">
        <v>59</v>
      </c>
      <c r="BD73" s="107" t="s">
        <v>73</v>
      </c>
      <c r="BE73" s="108" t="s">
        <v>4</v>
      </c>
      <c r="BF73" s="107" t="s">
        <v>59</v>
      </c>
      <c r="BG73" s="107" t="s">
        <v>73</v>
      </c>
      <c r="BH73" s="471" t="s">
        <v>4</v>
      </c>
      <c r="BI73" s="1004">
        <v>45</v>
      </c>
      <c r="BJ73" s="1003">
        <f t="shared" si="100"/>
        <v>3501</v>
      </c>
      <c r="BK73" s="940"/>
      <c r="BL73" s="1016"/>
      <c r="BM73" s="118"/>
      <c r="BN73" s="857"/>
      <c r="BO73" s="231" t="s">
        <v>59</v>
      </c>
      <c r="BP73" s="231" t="s">
        <v>73</v>
      </c>
      <c r="BQ73" s="102" t="s">
        <v>4</v>
      </c>
      <c r="BR73" s="303" t="s">
        <v>59</v>
      </c>
      <c r="BS73" s="303" t="s">
        <v>73</v>
      </c>
      <c r="BT73" s="304" t="s">
        <v>4</v>
      </c>
      <c r="BU73" s="231" t="s">
        <v>59</v>
      </c>
      <c r="BV73" s="231" t="s">
        <v>73</v>
      </c>
      <c r="BW73" s="102" t="s">
        <v>4</v>
      </c>
      <c r="BX73" s="231" t="s">
        <v>59</v>
      </c>
      <c r="BY73" s="231" t="s">
        <v>73</v>
      </c>
      <c r="BZ73" s="102" t="s">
        <v>4</v>
      </c>
      <c r="CA73" s="231" t="s">
        <v>59</v>
      </c>
      <c r="CB73" s="231" t="s">
        <v>73</v>
      </c>
      <c r="CC73" s="102" t="s">
        <v>4</v>
      </c>
      <c r="CD73" s="107" t="s">
        <v>59</v>
      </c>
      <c r="CE73" s="107" t="s">
        <v>73</v>
      </c>
      <c r="CF73" s="471" t="s">
        <v>4</v>
      </c>
      <c r="CG73" s="1004">
        <f>55</f>
        <v>55</v>
      </c>
      <c r="CH73" s="1005">
        <f t="shared" ref="CH73" si="109">(BO74*BP74*BQ74)+(BR74*BS74*BT74)+(BU74*BV74*BW74)+(BX74*BY74*BZ74)+(CA74*CB74*CC74)+(CD74*CE74*CF74)</f>
        <v>5999.6</v>
      </c>
      <c r="CI73" s="940"/>
      <c r="CJ73" s="1016"/>
      <c r="CL73" s="1049"/>
      <c r="CM73" s="460" t="s">
        <v>59</v>
      </c>
      <c r="CN73" s="460" t="s">
        <v>73</v>
      </c>
      <c r="CO73" s="461" t="s">
        <v>4</v>
      </c>
      <c r="CP73" s="460" t="s">
        <v>59</v>
      </c>
      <c r="CQ73" s="460" t="s">
        <v>73</v>
      </c>
      <c r="CR73" s="461" t="s">
        <v>4</v>
      </c>
      <c r="CS73" s="460" t="s">
        <v>59</v>
      </c>
      <c r="CT73" s="460" t="s">
        <v>73</v>
      </c>
      <c r="CU73" s="461" t="s">
        <v>4</v>
      </c>
      <c r="CV73" s="460" t="s">
        <v>59</v>
      </c>
      <c r="CW73" s="460" t="s">
        <v>73</v>
      </c>
      <c r="CX73" s="461" t="s">
        <v>4</v>
      </c>
      <c r="CY73" s="460" t="s">
        <v>59</v>
      </c>
      <c r="CZ73" s="460" t="s">
        <v>73</v>
      </c>
      <c r="DA73" s="461" t="s">
        <v>4</v>
      </c>
      <c r="DB73" s="460" t="s">
        <v>59</v>
      </c>
      <c r="DC73" s="460" t="s">
        <v>73</v>
      </c>
      <c r="DD73" s="473" t="s">
        <v>4</v>
      </c>
      <c r="DE73" s="1004"/>
      <c r="DF73" s="1005">
        <f>(CM74*CN74*CO74)+(CP74*CQ74*CR74)+(CS74*CT74*CU74)+(CV74*CW74*CX74)+(CY74*CZ74*DA74)+(DB74*DC74*DD74)</f>
        <v>0</v>
      </c>
      <c r="DG73" s="940"/>
      <c r="DH73" s="1016"/>
      <c r="DJ73" s="1062"/>
      <c r="DK73" s="460" t="s">
        <v>59</v>
      </c>
      <c r="DL73" s="460" t="s">
        <v>73</v>
      </c>
      <c r="DM73" s="461" t="s">
        <v>4</v>
      </c>
      <c r="DN73" s="460" t="s">
        <v>59</v>
      </c>
      <c r="DO73" s="460" t="s">
        <v>73</v>
      </c>
      <c r="DP73" s="461" t="s">
        <v>4</v>
      </c>
      <c r="DQ73" s="460" t="s">
        <v>59</v>
      </c>
      <c r="DR73" s="460" t="s">
        <v>73</v>
      </c>
      <c r="DS73" s="461" t="s">
        <v>4</v>
      </c>
      <c r="DT73" s="460" t="s">
        <v>59</v>
      </c>
      <c r="DU73" s="460" t="s">
        <v>73</v>
      </c>
      <c r="DV73" s="461" t="s">
        <v>4</v>
      </c>
      <c r="DW73" s="460" t="s">
        <v>59</v>
      </c>
      <c r="DX73" s="460" t="s">
        <v>73</v>
      </c>
      <c r="DY73" s="461" t="s">
        <v>4</v>
      </c>
      <c r="DZ73" s="460" t="s">
        <v>59</v>
      </c>
      <c r="EA73" s="460" t="s">
        <v>73</v>
      </c>
      <c r="EB73" s="473" t="s">
        <v>4</v>
      </c>
      <c r="EC73" s="1004"/>
      <c r="ED73" s="1005">
        <f>(DK74*DL74*DM74)+(DN74*DO74*DP74)+(DQ74*DR74*DS74)+(DT74*DU74*DV74)+(DW74*DX74*DY74)+(DZ74*EA74*EB74)</f>
        <v>0</v>
      </c>
      <c r="EE73" s="940"/>
      <c r="EF73" s="1016"/>
      <c r="EH73" s="1039"/>
      <c r="EI73" s="460" t="s">
        <v>59</v>
      </c>
      <c r="EJ73" s="460" t="s">
        <v>73</v>
      </c>
      <c r="EK73" s="461" t="s">
        <v>4</v>
      </c>
      <c r="EL73" s="460" t="s">
        <v>59</v>
      </c>
      <c r="EM73" s="460" t="s">
        <v>73</v>
      </c>
      <c r="EN73" s="461" t="s">
        <v>4</v>
      </c>
      <c r="EO73" s="460" t="s">
        <v>59</v>
      </c>
      <c r="EP73" s="460" t="s">
        <v>73</v>
      </c>
      <c r="EQ73" s="461" t="s">
        <v>4</v>
      </c>
      <c r="ER73" s="460" t="s">
        <v>59</v>
      </c>
      <c r="ES73" s="460" t="s">
        <v>73</v>
      </c>
      <c r="ET73" s="461" t="s">
        <v>4</v>
      </c>
      <c r="EU73" s="460" t="s">
        <v>59</v>
      </c>
      <c r="EV73" s="460" t="s">
        <v>73</v>
      </c>
      <c r="EW73" s="461" t="s">
        <v>4</v>
      </c>
      <c r="EX73" s="460" t="s">
        <v>59</v>
      </c>
      <c r="EY73" s="460" t="s">
        <v>73</v>
      </c>
      <c r="EZ73" s="473" t="s">
        <v>4</v>
      </c>
      <c r="FA73" s="1004"/>
      <c r="FB73" s="1005">
        <f>(EI74*EJ74*EK74)+(EL74*EM74*EN74)+(EO74*EP74*EQ74)+(ER74*ES74*ET74)+(EU74*EV74*EW74)+(EX74*EY74*EZ74)</f>
        <v>0</v>
      </c>
      <c r="FC73" s="940"/>
      <c r="FD73" s="1016"/>
      <c r="FF73" s="1049"/>
      <c r="FG73" s="460" t="s">
        <v>59</v>
      </c>
      <c r="FH73" s="460" t="s">
        <v>73</v>
      </c>
      <c r="FI73" s="461" t="s">
        <v>4</v>
      </c>
      <c r="FJ73" s="460" t="s">
        <v>59</v>
      </c>
      <c r="FK73" s="460" t="s">
        <v>73</v>
      </c>
      <c r="FL73" s="461" t="s">
        <v>4</v>
      </c>
      <c r="FM73" s="460" t="s">
        <v>59</v>
      </c>
      <c r="FN73" s="460" t="s">
        <v>73</v>
      </c>
      <c r="FO73" s="461" t="s">
        <v>4</v>
      </c>
      <c r="FP73" s="460" t="s">
        <v>59</v>
      </c>
      <c r="FQ73" s="460" t="s">
        <v>73</v>
      </c>
      <c r="FR73" s="461" t="s">
        <v>4</v>
      </c>
      <c r="FS73" s="460" t="s">
        <v>59</v>
      </c>
      <c r="FT73" s="460" t="s">
        <v>73</v>
      </c>
      <c r="FU73" s="461" t="s">
        <v>4</v>
      </c>
      <c r="FV73" s="460" t="s">
        <v>59</v>
      </c>
      <c r="FW73" s="460" t="s">
        <v>73</v>
      </c>
      <c r="FX73" s="473" t="s">
        <v>4</v>
      </c>
      <c r="FY73" s="1004"/>
      <c r="FZ73" s="1005">
        <f>(FG74*FH74*FI74)+(FJ74*FK74*FL74)+(FM74*FN74*FO74)+(FP74*FQ74*FR74)+(FS74*FT74*FU74)+(FV74*FW74*FX74)</f>
        <v>0</v>
      </c>
      <c r="GA73" s="940"/>
      <c r="GB73" s="1016"/>
      <c r="GD73" s="1065"/>
      <c r="GE73" s="460" t="s">
        <v>59</v>
      </c>
      <c r="GF73" s="460" t="s">
        <v>73</v>
      </c>
      <c r="GG73" s="461" t="s">
        <v>4</v>
      </c>
      <c r="GH73" s="460" t="s">
        <v>59</v>
      </c>
      <c r="GI73" s="460" t="s">
        <v>73</v>
      </c>
      <c r="GJ73" s="461" t="s">
        <v>4</v>
      </c>
      <c r="GK73" s="460" t="s">
        <v>59</v>
      </c>
      <c r="GL73" s="460" t="s">
        <v>73</v>
      </c>
      <c r="GM73" s="461" t="s">
        <v>4</v>
      </c>
      <c r="GN73" s="460" t="s">
        <v>59</v>
      </c>
      <c r="GO73" s="460" t="s">
        <v>73</v>
      </c>
      <c r="GP73" s="461" t="s">
        <v>4</v>
      </c>
      <c r="GQ73" s="460" t="s">
        <v>59</v>
      </c>
      <c r="GR73" s="460" t="s">
        <v>73</v>
      </c>
      <c r="GS73" s="461" t="s">
        <v>4</v>
      </c>
      <c r="GT73" s="460" t="s">
        <v>59</v>
      </c>
      <c r="GU73" s="460" t="s">
        <v>73</v>
      </c>
      <c r="GV73" s="473" t="s">
        <v>4</v>
      </c>
      <c r="GW73" s="1004"/>
      <c r="GX73" s="1005">
        <f>(GE74*GF74*GG74)+(GH74*GI74*GJ74)+(GK74*GL74*GM74)+(GN74*GO74*GP74)+(GQ74*GR74*GS74)+(GT74*GU74*GV74)</f>
        <v>0</v>
      </c>
      <c r="GY73" s="940"/>
      <c r="GZ73" s="1016"/>
      <c r="HB73" s="1042"/>
      <c r="HC73" s="460" t="s">
        <v>59</v>
      </c>
      <c r="HD73" s="460" t="s">
        <v>73</v>
      </c>
      <c r="HE73" s="461" t="s">
        <v>4</v>
      </c>
      <c r="HF73" s="460" t="s">
        <v>59</v>
      </c>
      <c r="HG73" s="460" t="s">
        <v>73</v>
      </c>
      <c r="HH73" s="461" t="s">
        <v>4</v>
      </c>
      <c r="HI73" s="460" t="s">
        <v>59</v>
      </c>
      <c r="HJ73" s="460" t="s">
        <v>73</v>
      </c>
      <c r="HK73" s="461" t="s">
        <v>4</v>
      </c>
      <c r="HL73" s="460" t="s">
        <v>59</v>
      </c>
      <c r="HM73" s="460" t="s">
        <v>73</v>
      </c>
      <c r="HN73" s="461" t="s">
        <v>4</v>
      </c>
      <c r="HO73" s="460" t="s">
        <v>59</v>
      </c>
      <c r="HP73" s="460" t="s">
        <v>73</v>
      </c>
      <c r="HQ73" s="461" t="s">
        <v>4</v>
      </c>
      <c r="HR73" s="460" t="s">
        <v>59</v>
      </c>
      <c r="HS73" s="460" t="s">
        <v>73</v>
      </c>
      <c r="HT73" s="473" t="s">
        <v>4</v>
      </c>
      <c r="HU73" s="1004"/>
      <c r="HV73" s="1005">
        <f>(HC74*HD74*HE74)+(HF74*HG74*HH74)+(HI74*HJ74*HK74)+(HL74*HM74*HN74)+(HO74*HP74*HQ74)+(HR74*HS74*HT74)</f>
        <v>0</v>
      </c>
      <c r="HW73" s="940"/>
      <c r="HX73" s="1016"/>
      <c r="HZ73" s="1052"/>
      <c r="IA73" s="491" t="s">
        <v>59</v>
      </c>
      <c r="IB73" s="491" t="s">
        <v>73</v>
      </c>
      <c r="IC73" s="492" t="s">
        <v>4</v>
      </c>
      <c r="ID73" s="491" t="s">
        <v>59</v>
      </c>
      <c r="IE73" s="491" t="s">
        <v>73</v>
      </c>
      <c r="IF73" s="492" t="s">
        <v>4</v>
      </c>
      <c r="IG73" s="491" t="s">
        <v>59</v>
      </c>
      <c r="IH73" s="491" t="s">
        <v>73</v>
      </c>
      <c r="II73" s="492" t="s">
        <v>4</v>
      </c>
      <c r="IJ73" s="491" t="s">
        <v>59</v>
      </c>
      <c r="IK73" s="491" t="s">
        <v>73</v>
      </c>
      <c r="IL73" s="492" t="s">
        <v>4</v>
      </c>
      <c r="IM73" s="491" t="s">
        <v>59</v>
      </c>
      <c r="IN73" s="491" t="s">
        <v>73</v>
      </c>
      <c r="IO73" s="492" t="s">
        <v>4</v>
      </c>
      <c r="IP73" s="491" t="s">
        <v>59</v>
      </c>
      <c r="IQ73" s="491" t="s">
        <v>73</v>
      </c>
      <c r="IR73" s="493" t="s">
        <v>4</v>
      </c>
      <c r="IS73" s="1071"/>
      <c r="IT73" s="1072">
        <f>(IA74*IB74*IC74)+(ID74*IE74*IF74)+(IG74*IH74*II74)+(IJ74*IK74*IL74)+(IM74*IN74*IO74)+(IP74*IQ74*IR74)</f>
        <v>0</v>
      </c>
      <c r="IU73" s="1068"/>
      <c r="IV73" s="1070"/>
      <c r="IX73" s="1075"/>
      <c r="IY73" s="460" t="s">
        <v>59</v>
      </c>
      <c r="IZ73" s="460" t="s">
        <v>73</v>
      </c>
      <c r="JA73" s="461" t="s">
        <v>4</v>
      </c>
      <c r="JB73" s="460" t="s">
        <v>59</v>
      </c>
      <c r="JC73" s="460" t="s">
        <v>73</v>
      </c>
      <c r="JD73" s="461" t="s">
        <v>4</v>
      </c>
      <c r="JE73" s="460" t="s">
        <v>59</v>
      </c>
      <c r="JF73" s="460" t="s">
        <v>73</v>
      </c>
      <c r="JG73" s="461" t="s">
        <v>4</v>
      </c>
      <c r="JH73" s="460" t="s">
        <v>59</v>
      </c>
      <c r="JI73" s="460" t="s">
        <v>73</v>
      </c>
      <c r="JJ73" s="461" t="s">
        <v>4</v>
      </c>
      <c r="JK73" s="460" t="s">
        <v>59</v>
      </c>
      <c r="JL73" s="460" t="s">
        <v>73</v>
      </c>
      <c r="JM73" s="461" t="s">
        <v>4</v>
      </c>
      <c r="JN73" s="460" t="s">
        <v>59</v>
      </c>
      <c r="JO73" s="460" t="s">
        <v>73</v>
      </c>
      <c r="JP73" s="473" t="s">
        <v>4</v>
      </c>
      <c r="JQ73" s="1004"/>
      <c r="JR73" s="1005">
        <f>(IY74*IZ74*JA74)+(JB74*JC74*JD74)+(JE74*JF74*JG74)+(JH74*JI74*JJ74)+(JK74*JL74*JM74)+(JN74*JO74*JP74)</f>
        <v>0</v>
      </c>
      <c r="JS73" s="940"/>
      <c r="JT73" s="1016"/>
      <c r="JV73" s="1042"/>
      <c r="JW73" s="460" t="s">
        <v>59</v>
      </c>
      <c r="JX73" s="460" t="s">
        <v>73</v>
      </c>
      <c r="JY73" s="461" t="s">
        <v>4</v>
      </c>
      <c r="JZ73" s="460" t="s">
        <v>59</v>
      </c>
      <c r="KA73" s="460" t="s">
        <v>73</v>
      </c>
      <c r="KB73" s="461" t="s">
        <v>4</v>
      </c>
      <c r="KC73" s="460" t="s">
        <v>59</v>
      </c>
      <c r="KD73" s="460" t="s">
        <v>73</v>
      </c>
      <c r="KE73" s="461" t="s">
        <v>4</v>
      </c>
      <c r="KF73" s="460" t="s">
        <v>59</v>
      </c>
      <c r="KG73" s="460" t="s">
        <v>73</v>
      </c>
      <c r="KH73" s="461" t="s">
        <v>4</v>
      </c>
      <c r="KI73" s="460" t="s">
        <v>59</v>
      </c>
      <c r="KJ73" s="460" t="s">
        <v>73</v>
      </c>
      <c r="KK73" s="461" t="s">
        <v>4</v>
      </c>
      <c r="KL73" s="460" t="s">
        <v>59</v>
      </c>
      <c r="KM73" s="460" t="s">
        <v>73</v>
      </c>
      <c r="KN73" s="473" t="s">
        <v>4</v>
      </c>
      <c r="KO73" s="1004"/>
      <c r="KP73" s="1005">
        <f>(JW74*JX74*JY74)+(JZ74*KA74*KB74)+(KC74*KD74*KE74)+(KF74*KG74*KH74)+(KI74*KJ74*KK74)+(KL74*KM74*KN74)</f>
        <v>0</v>
      </c>
      <c r="KQ73" s="940"/>
      <c r="KR73" s="1016"/>
      <c r="KT73" s="1062"/>
      <c r="KU73" s="460" t="s">
        <v>59</v>
      </c>
      <c r="KV73" s="460" t="s">
        <v>73</v>
      </c>
      <c r="KW73" s="461" t="s">
        <v>4</v>
      </c>
      <c r="KX73" s="460" t="s">
        <v>59</v>
      </c>
      <c r="KY73" s="460" t="s">
        <v>73</v>
      </c>
      <c r="KZ73" s="461" t="s">
        <v>4</v>
      </c>
      <c r="LA73" s="460" t="s">
        <v>59</v>
      </c>
      <c r="LB73" s="460" t="s">
        <v>73</v>
      </c>
      <c r="LC73" s="461" t="s">
        <v>4</v>
      </c>
      <c r="LD73" s="460" t="s">
        <v>59</v>
      </c>
      <c r="LE73" s="460" t="s">
        <v>73</v>
      </c>
      <c r="LF73" s="461" t="s">
        <v>4</v>
      </c>
      <c r="LG73" s="460" t="s">
        <v>59</v>
      </c>
      <c r="LH73" s="460" t="s">
        <v>73</v>
      </c>
      <c r="LI73" s="461" t="s">
        <v>4</v>
      </c>
      <c r="LJ73" s="460" t="s">
        <v>59</v>
      </c>
      <c r="LK73" s="460" t="s">
        <v>73</v>
      </c>
      <c r="LL73" s="473" t="s">
        <v>4</v>
      </c>
      <c r="LM73" s="1004"/>
      <c r="LN73" s="1005">
        <f>(KU74*KV74*KW74)+(KX74*KY74*KZ74)+(LA74*LB74*LC74)+(LD74*LE74*LF74)+(LG74*LH74*LI74)+(LJ74*LK74*LL74)</f>
        <v>0</v>
      </c>
      <c r="LO73" s="940"/>
      <c r="LP73" s="1016"/>
    </row>
    <row r="74" spans="1:328" ht="15">
      <c r="R74" s="842"/>
      <c r="S74" s="494"/>
      <c r="T74" s="494"/>
      <c r="U74" s="494"/>
      <c r="V74" s="494"/>
      <c r="W74" s="494"/>
      <c r="X74" s="494"/>
      <c r="Y74" s="494"/>
      <c r="Z74" s="494"/>
      <c r="AA74" s="494"/>
      <c r="AB74" s="494"/>
      <c r="AC74" s="494"/>
      <c r="AD74" s="494"/>
      <c r="AE74" s="494"/>
      <c r="AF74" s="494"/>
      <c r="AG74" s="494"/>
      <c r="AH74" s="494"/>
      <c r="AI74" s="494"/>
      <c r="AJ74" s="497"/>
      <c r="AK74" s="1007"/>
      <c r="AL74" s="1002"/>
      <c r="AM74" s="941"/>
      <c r="AN74" s="855"/>
      <c r="AO74" s="118"/>
      <c r="AP74" s="858"/>
      <c r="AQ74" s="229">
        <v>1</v>
      </c>
      <c r="AR74" s="229">
        <v>45</v>
      </c>
      <c r="AS74" s="229">
        <f>BL72</f>
        <v>77.8</v>
      </c>
      <c r="AT74" s="233"/>
      <c r="AU74" s="233"/>
      <c r="AV74" s="233"/>
      <c r="AW74" s="233"/>
      <c r="AX74" s="233"/>
      <c r="AY74" s="233"/>
      <c r="AZ74" s="233"/>
      <c r="BA74" s="233"/>
      <c r="BB74" s="233"/>
      <c r="BC74" s="233"/>
      <c r="BD74" s="233"/>
      <c r="BE74" s="233"/>
      <c r="BF74" s="233"/>
      <c r="BG74" s="233"/>
      <c r="BH74" s="472"/>
      <c r="BI74" s="1007"/>
      <c r="BJ74" s="1003"/>
      <c r="BK74" s="941"/>
      <c r="BL74" s="1016"/>
      <c r="BM74" s="118"/>
      <c r="BN74" s="858"/>
      <c r="BO74" s="229">
        <v>4</v>
      </c>
      <c r="BP74" s="126">
        <f>((12*1)+(8*3))/4</f>
        <v>9</v>
      </c>
      <c r="BQ74" s="229">
        <f>((36*1)+(72*3))/4</f>
        <v>63</v>
      </c>
      <c r="BR74" s="305">
        <v>4</v>
      </c>
      <c r="BS74" s="305">
        <f>((12*4))/4</f>
        <v>12</v>
      </c>
      <c r="BT74" s="305">
        <f>((15.9*1)+(34*3))/4</f>
        <v>29.475000000000001</v>
      </c>
      <c r="BU74" s="229">
        <v>4</v>
      </c>
      <c r="BV74" s="126">
        <f>((12*1)+(8*3))/4</f>
        <v>9</v>
      </c>
      <c r="BW74" s="229">
        <f>((15.9*1)+(29.5*3))/4</f>
        <v>26.1</v>
      </c>
      <c r="BX74" s="229">
        <v>4</v>
      </c>
      <c r="BY74" s="229">
        <f>((12*4))/4</f>
        <v>12</v>
      </c>
      <c r="BZ74" s="229">
        <f>((5*1)+(7.5*3))/4</f>
        <v>6.875</v>
      </c>
      <c r="CA74" s="229">
        <v>4</v>
      </c>
      <c r="CB74" s="126">
        <f>((12*2)+(10*2))/4</f>
        <v>11</v>
      </c>
      <c r="CC74" s="229">
        <f>((13.6*1)+(27.2*3))/4</f>
        <v>23.799999999999997</v>
      </c>
      <c r="CD74" s="233"/>
      <c r="CE74" s="233"/>
      <c r="CF74" s="472"/>
      <c r="CG74" s="1007"/>
      <c r="CH74" s="1006"/>
      <c r="CI74" s="941"/>
      <c r="CJ74" s="1016"/>
      <c r="CL74" s="1050"/>
      <c r="CM74" s="462"/>
      <c r="CN74" s="462"/>
      <c r="CO74" s="462"/>
      <c r="CP74" s="462"/>
      <c r="CQ74" s="462"/>
      <c r="CR74" s="462"/>
      <c r="CS74" s="462"/>
      <c r="CT74" s="462"/>
      <c r="CU74" s="462"/>
      <c r="CV74" s="462"/>
      <c r="CW74" s="462"/>
      <c r="CX74" s="462"/>
      <c r="CY74" s="462"/>
      <c r="CZ74" s="462"/>
      <c r="DA74" s="462"/>
      <c r="DB74" s="462"/>
      <c r="DC74" s="462"/>
      <c r="DD74" s="474"/>
      <c r="DE74" s="1007"/>
      <c r="DF74" s="1006"/>
      <c r="DG74" s="941"/>
      <c r="DH74" s="1016"/>
      <c r="DJ74" s="1063"/>
      <c r="DK74" s="462"/>
      <c r="DL74" s="462"/>
      <c r="DM74" s="462"/>
      <c r="DN74" s="462"/>
      <c r="DO74" s="462"/>
      <c r="DP74" s="462"/>
      <c r="DQ74" s="462"/>
      <c r="DR74" s="462"/>
      <c r="DS74" s="462"/>
      <c r="DT74" s="462"/>
      <c r="DU74" s="462"/>
      <c r="DV74" s="462"/>
      <c r="DW74" s="462"/>
      <c r="DX74" s="462"/>
      <c r="DY74" s="462"/>
      <c r="DZ74" s="462"/>
      <c r="EA74" s="462"/>
      <c r="EB74" s="474"/>
      <c r="EC74" s="1007"/>
      <c r="ED74" s="1006"/>
      <c r="EE74" s="941"/>
      <c r="EF74" s="1016"/>
      <c r="EH74" s="1040"/>
      <c r="EI74" s="462"/>
      <c r="EJ74" s="462"/>
      <c r="EK74" s="462"/>
      <c r="EL74" s="462"/>
      <c r="EM74" s="462"/>
      <c r="EN74" s="462"/>
      <c r="EO74" s="462"/>
      <c r="EP74" s="462"/>
      <c r="EQ74" s="462"/>
      <c r="ER74" s="462"/>
      <c r="ES74" s="462"/>
      <c r="ET74" s="462"/>
      <c r="EU74" s="462"/>
      <c r="EV74" s="462"/>
      <c r="EW74" s="462"/>
      <c r="EX74" s="462"/>
      <c r="EY74" s="462"/>
      <c r="EZ74" s="474"/>
      <c r="FA74" s="1007"/>
      <c r="FB74" s="1006"/>
      <c r="FC74" s="941"/>
      <c r="FD74" s="1016"/>
      <c r="FF74" s="1050"/>
      <c r="FG74" s="462"/>
      <c r="FH74" s="462"/>
      <c r="FI74" s="462"/>
      <c r="FJ74" s="462"/>
      <c r="FK74" s="462"/>
      <c r="FL74" s="462"/>
      <c r="FM74" s="462"/>
      <c r="FN74" s="462"/>
      <c r="FO74" s="462"/>
      <c r="FP74" s="462"/>
      <c r="FQ74" s="462"/>
      <c r="FR74" s="462"/>
      <c r="FS74" s="462"/>
      <c r="FT74" s="462"/>
      <c r="FU74" s="462"/>
      <c r="FV74" s="462"/>
      <c r="FW74" s="462"/>
      <c r="FX74" s="474"/>
      <c r="FY74" s="1007"/>
      <c r="FZ74" s="1006"/>
      <c r="GA74" s="941"/>
      <c r="GB74" s="1016"/>
      <c r="GD74" s="1066"/>
      <c r="GE74" s="462"/>
      <c r="GF74" s="462"/>
      <c r="GG74" s="462"/>
      <c r="GH74" s="462"/>
      <c r="GI74" s="462"/>
      <c r="GJ74" s="462"/>
      <c r="GK74" s="462"/>
      <c r="GL74" s="462"/>
      <c r="GM74" s="462"/>
      <c r="GN74" s="462"/>
      <c r="GO74" s="462"/>
      <c r="GP74" s="462"/>
      <c r="GQ74" s="462"/>
      <c r="GR74" s="462"/>
      <c r="GS74" s="462"/>
      <c r="GT74" s="462"/>
      <c r="GU74" s="462"/>
      <c r="GV74" s="474"/>
      <c r="GW74" s="1007"/>
      <c r="GX74" s="1006"/>
      <c r="GY74" s="941"/>
      <c r="GZ74" s="1016"/>
      <c r="HB74" s="1043"/>
      <c r="HC74" s="462"/>
      <c r="HD74" s="462"/>
      <c r="HE74" s="462"/>
      <c r="HF74" s="462"/>
      <c r="HG74" s="462"/>
      <c r="HH74" s="462"/>
      <c r="HI74" s="462"/>
      <c r="HJ74" s="462"/>
      <c r="HK74" s="462"/>
      <c r="HL74" s="462"/>
      <c r="HM74" s="462"/>
      <c r="HN74" s="462"/>
      <c r="HO74" s="462"/>
      <c r="HP74" s="462"/>
      <c r="HQ74" s="462"/>
      <c r="HR74" s="462"/>
      <c r="HS74" s="462"/>
      <c r="HT74" s="474"/>
      <c r="HU74" s="1007"/>
      <c r="HV74" s="1006"/>
      <c r="HW74" s="941"/>
      <c r="HX74" s="1016"/>
      <c r="HZ74" s="1053"/>
      <c r="IA74" s="494"/>
      <c r="IB74" s="494"/>
      <c r="IC74" s="494"/>
      <c r="ID74" s="494"/>
      <c r="IE74" s="494"/>
      <c r="IF74" s="494"/>
      <c r="IG74" s="494"/>
      <c r="IH74" s="494"/>
      <c r="II74" s="494"/>
      <c r="IJ74" s="494"/>
      <c r="IK74" s="494"/>
      <c r="IL74" s="494"/>
      <c r="IM74" s="494"/>
      <c r="IN74" s="494"/>
      <c r="IO74" s="494"/>
      <c r="IP74" s="494"/>
      <c r="IQ74" s="494"/>
      <c r="IR74" s="495"/>
      <c r="IS74" s="1081"/>
      <c r="IT74" s="1073"/>
      <c r="IU74" s="1069"/>
      <c r="IV74" s="1070"/>
      <c r="IX74" s="1076"/>
      <c r="IY74" s="462"/>
      <c r="IZ74" s="462"/>
      <c r="JA74" s="462"/>
      <c r="JB74" s="462"/>
      <c r="JC74" s="462"/>
      <c r="JD74" s="462"/>
      <c r="JE74" s="462"/>
      <c r="JF74" s="462"/>
      <c r="JG74" s="462"/>
      <c r="JH74" s="462"/>
      <c r="JI74" s="462"/>
      <c r="JJ74" s="462"/>
      <c r="JK74" s="462"/>
      <c r="JL74" s="462"/>
      <c r="JM74" s="462"/>
      <c r="JN74" s="462"/>
      <c r="JO74" s="462"/>
      <c r="JP74" s="474"/>
      <c r="JQ74" s="1007"/>
      <c r="JR74" s="1006"/>
      <c r="JS74" s="941"/>
      <c r="JT74" s="1016"/>
      <c r="JV74" s="1043"/>
      <c r="JW74" s="462"/>
      <c r="JX74" s="462"/>
      <c r="JY74" s="462"/>
      <c r="JZ74" s="462"/>
      <c r="KA74" s="462"/>
      <c r="KB74" s="462"/>
      <c r="KC74" s="462"/>
      <c r="KD74" s="462"/>
      <c r="KE74" s="462"/>
      <c r="KF74" s="462"/>
      <c r="KG74" s="462"/>
      <c r="KH74" s="462"/>
      <c r="KI74" s="462"/>
      <c r="KJ74" s="462"/>
      <c r="KK74" s="462"/>
      <c r="KL74" s="462"/>
      <c r="KM74" s="462"/>
      <c r="KN74" s="474"/>
      <c r="KO74" s="1007"/>
      <c r="KP74" s="1006"/>
      <c r="KQ74" s="941"/>
      <c r="KR74" s="1016"/>
      <c r="KT74" s="1063"/>
      <c r="KU74" s="462"/>
      <c r="KV74" s="462"/>
      <c r="KW74" s="462"/>
      <c r="KX74" s="462"/>
      <c r="KY74" s="462"/>
      <c r="KZ74" s="462"/>
      <c r="LA74" s="462"/>
      <c r="LB74" s="462"/>
      <c r="LC74" s="462"/>
      <c r="LD74" s="462"/>
      <c r="LE74" s="462"/>
      <c r="LF74" s="462"/>
      <c r="LG74" s="462"/>
      <c r="LH74" s="462"/>
      <c r="LI74" s="462"/>
      <c r="LJ74" s="462"/>
      <c r="LK74" s="462"/>
      <c r="LL74" s="474"/>
      <c r="LM74" s="1007"/>
      <c r="LN74" s="1006"/>
      <c r="LO74" s="941"/>
      <c r="LP74" s="1016"/>
    </row>
    <row r="75" spans="1:328" ht="15">
      <c r="R75" s="864">
        <v>46047</v>
      </c>
      <c r="S75" s="849" t="s">
        <v>434</v>
      </c>
      <c r="T75" s="849"/>
      <c r="U75" s="849"/>
      <c r="V75" s="849" t="s">
        <v>72</v>
      </c>
      <c r="W75" s="849"/>
      <c r="X75" s="849"/>
      <c r="Y75" s="890" t="s">
        <v>435</v>
      </c>
      <c r="Z75" s="890"/>
      <c r="AA75" s="890"/>
      <c r="AB75" s="848" t="s">
        <v>68</v>
      </c>
      <c r="AC75" s="848"/>
      <c r="AD75" s="848"/>
      <c r="AE75" s="882" t="s">
        <v>123</v>
      </c>
      <c r="AF75" s="883"/>
      <c r="AG75" s="884"/>
      <c r="AH75" s="834"/>
      <c r="AI75" s="835"/>
      <c r="AJ75" s="835"/>
      <c r="AK75" s="459" t="s">
        <v>425</v>
      </c>
      <c r="AL75" s="1">
        <f t="shared" ref="AL75" si="110">COUNTA(S75:AJ75)</f>
        <v>5</v>
      </c>
      <c r="AM75" s="939"/>
      <c r="AN75" s="855">
        <v>77</v>
      </c>
      <c r="AO75" s="118"/>
      <c r="AP75" s="845">
        <v>46078</v>
      </c>
      <c r="AQ75" s="849" t="s">
        <v>156</v>
      </c>
      <c r="AR75" s="849"/>
      <c r="AS75" s="849"/>
      <c r="AT75" s="848" t="s">
        <v>103</v>
      </c>
      <c r="AU75" s="848"/>
      <c r="AV75" s="848"/>
      <c r="AW75" s="848" t="s">
        <v>68</v>
      </c>
      <c r="AX75" s="848"/>
      <c r="AY75" s="848"/>
      <c r="AZ75" s="848" t="s">
        <v>417</v>
      </c>
      <c r="BA75" s="848"/>
      <c r="BB75" s="848"/>
      <c r="BC75" s="834"/>
      <c r="BD75" s="835"/>
      <c r="BE75" s="836"/>
      <c r="BF75" s="834"/>
      <c r="BG75" s="835"/>
      <c r="BH75" s="835"/>
      <c r="BI75" s="459" t="s">
        <v>425</v>
      </c>
      <c r="BJ75" s="482">
        <f t="shared" si="97"/>
        <v>4</v>
      </c>
      <c r="BK75" s="939"/>
      <c r="BL75" s="1016">
        <v>77.55</v>
      </c>
      <c r="BM75" s="118"/>
      <c r="BN75" s="845">
        <v>46106</v>
      </c>
      <c r="BO75" s="882" t="s">
        <v>123</v>
      </c>
      <c r="BP75" s="883"/>
      <c r="BQ75" s="884"/>
      <c r="BR75" s="849" t="s">
        <v>156</v>
      </c>
      <c r="BS75" s="849"/>
      <c r="BT75" s="849"/>
      <c r="BU75" s="848" t="s">
        <v>103</v>
      </c>
      <c r="BV75" s="848"/>
      <c r="BW75" s="848"/>
      <c r="BX75" s="848" t="s">
        <v>68</v>
      </c>
      <c r="BY75" s="848"/>
      <c r="BZ75" s="848"/>
      <c r="CA75" s="848" t="s">
        <v>417</v>
      </c>
      <c r="CB75" s="848"/>
      <c r="CC75" s="848"/>
      <c r="CD75" s="834"/>
      <c r="CE75" s="835"/>
      <c r="CF75" s="835"/>
      <c r="CG75" s="459" t="s">
        <v>425</v>
      </c>
      <c r="CH75" s="482">
        <f t="shared" ref="CH75" si="111">COUNTA(BO75:CF75)</f>
        <v>5</v>
      </c>
      <c r="CI75" s="939">
        <v>9</v>
      </c>
      <c r="CJ75" s="1016">
        <v>78.099999999999994</v>
      </c>
      <c r="CL75" s="1051">
        <v>46137</v>
      </c>
      <c r="CM75" s="1023"/>
      <c r="CN75" s="1023"/>
      <c r="CO75" s="1023"/>
      <c r="CP75" s="1023"/>
      <c r="CQ75" s="1023"/>
      <c r="CR75" s="1023"/>
      <c r="CS75" s="1023"/>
      <c r="CT75" s="1023"/>
      <c r="CU75" s="1023"/>
      <c r="CV75" s="1023"/>
      <c r="CW75" s="1023"/>
      <c r="CX75" s="1023"/>
      <c r="CY75" s="1021"/>
      <c r="CZ75" s="1022"/>
      <c r="DA75" s="1024"/>
      <c r="DB75" s="1021"/>
      <c r="DC75" s="1022"/>
      <c r="DD75" s="1022"/>
      <c r="DE75" s="576" t="s">
        <v>425</v>
      </c>
      <c r="DF75" s="577">
        <f>COUNTA(CM75:DD75)</f>
        <v>0</v>
      </c>
      <c r="DG75" s="1054"/>
      <c r="DH75" s="1057"/>
      <c r="DJ75" s="1064">
        <v>46167</v>
      </c>
      <c r="DK75" s="960"/>
      <c r="DL75" s="960"/>
      <c r="DM75" s="960"/>
      <c r="DN75" s="960"/>
      <c r="DO75" s="960"/>
      <c r="DP75" s="960"/>
      <c r="DQ75" s="960"/>
      <c r="DR75" s="960"/>
      <c r="DS75" s="960"/>
      <c r="DT75" s="960"/>
      <c r="DU75" s="960"/>
      <c r="DV75" s="960"/>
      <c r="DW75" s="961"/>
      <c r="DX75" s="962"/>
      <c r="DY75" s="963"/>
      <c r="DZ75" s="961"/>
      <c r="EA75" s="962"/>
      <c r="EB75" s="962"/>
      <c r="EC75" s="459" t="s">
        <v>425</v>
      </c>
      <c r="ED75" s="482">
        <f>COUNTA(DK75:EB75)</f>
        <v>0</v>
      </c>
      <c r="EE75" s="939"/>
      <c r="EF75" s="1016"/>
      <c r="EH75" s="1041">
        <v>46198</v>
      </c>
      <c r="EI75" s="960"/>
      <c r="EJ75" s="960"/>
      <c r="EK75" s="960"/>
      <c r="EL75" s="960"/>
      <c r="EM75" s="960"/>
      <c r="EN75" s="960"/>
      <c r="EO75" s="960"/>
      <c r="EP75" s="960"/>
      <c r="EQ75" s="960"/>
      <c r="ER75" s="960"/>
      <c r="ES75" s="960"/>
      <c r="ET75" s="960"/>
      <c r="EU75" s="961"/>
      <c r="EV75" s="962"/>
      <c r="EW75" s="963"/>
      <c r="EX75" s="961"/>
      <c r="EY75" s="962"/>
      <c r="EZ75" s="962"/>
      <c r="FA75" s="459" t="s">
        <v>425</v>
      </c>
      <c r="FB75" s="482">
        <f>COUNTA(EI75:EZ75)</f>
        <v>0</v>
      </c>
      <c r="FC75" s="939"/>
      <c r="FD75" s="1016"/>
      <c r="FF75" s="1051">
        <v>46228</v>
      </c>
      <c r="FG75" s="1023"/>
      <c r="FH75" s="1023"/>
      <c r="FI75" s="1023"/>
      <c r="FJ75" s="1023"/>
      <c r="FK75" s="1023"/>
      <c r="FL75" s="1023"/>
      <c r="FM75" s="1023"/>
      <c r="FN75" s="1023"/>
      <c r="FO75" s="1023"/>
      <c r="FP75" s="1023"/>
      <c r="FQ75" s="1023"/>
      <c r="FR75" s="1023"/>
      <c r="FS75" s="1021"/>
      <c r="FT75" s="1022"/>
      <c r="FU75" s="1024"/>
      <c r="FV75" s="1021"/>
      <c r="FW75" s="1022"/>
      <c r="FX75" s="1022"/>
      <c r="FY75" s="489" t="s">
        <v>425</v>
      </c>
      <c r="FZ75" s="496">
        <f>COUNTA(FG75:FX75)</f>
        <v>0</v>
      </c>
      <c r="GA75" s="1067"/>
      <c r="GB75" s="1070"/>
      <c r="GD75" s="1074">
        <v>46259</v>
      </c>
      <c r="GE75" s="960"/>
      <c r="GF75" s="960"/>
      <c r="GG75" s="960"/>
      <c r="GH75" s="960"/>
      <c r="GI75" s="960"/>
      <c r="GJ75" s="960"/>
      <c r="GK75" s="960"/>
      <c r="GL75" s="960"/>
      <c r="GM75" s="960"/>
      <c r="GN75" s="960"/>
      <c r="GO75" s="960"/>
      <c r="GP75" s="960"/>
      <c r="GQ75" s="961"/>
      <c r="GR75" s="962"/>
      <c r="GS75" s="963"/>
      <c r="GT75" s="961"/>
      <c r="GU75" s="962"/>
      <c r="GV75" s="962"/>
      <c r="GW75" s="459" t="s">
        <v>425</v>
      </c>
      <c r="GX75" s="482">
        <f>COUNTA(GE75:GV75)</f>
        <v>0</v>
      </c>
      <c r="GY75" s="939"/>
      <c r="GZ75" s="1016"/>
      <c r="HB75" s="1048">
        <v>46290</v>
      </c>
      <c r="HC75" s="960"/>
      <c r="HD75" s="960"/>
      <c r="HE75" s="960"/>
      <c r="HF75" s="960"/>
      <c r="HG75" s="960"/>
      <c r="HH75" s="960"/>
      <c r="HI75" s="960"/>
      <c r="HJ75" s="960"/>
      <c r="HK75" s="960"/>
      <c r="HL75" s="960"/>
      <c r="HM75" s="960"/>
      <c r="HN75" s="960"/>
      <c r="HO75" s="961"/>
      <c r="HP75" s="962"/>
      <c r="HQ75" s="963"/>
      <c r="HR75" s="961"/>
      <c r="HS75" s="962"/>
      <c r="HT75" s="962"/>
      <c r="HU75" s="459" t="s">
        <v>425</v>
      </c>
      <c r="HV75" s="482">
        <f>COUNTA(HC75:HT75)</f>
        <v>0</v>
      </c>
      <c r="HW75" s="939"/>
      <c r="HX75" s="1016"/>
      <c r="HZ75" s="1061">
        <v>46320</v>
      </c>
      <c r="IA75" s="960"/>
      <c r="IB75" s="960"/>
      <c r="IC75" s="960"/>
      <c r="ID75" s="960"/>
      <c r="IE75" s="960"/>
      <c r="IF75" s="960"/>
      <c r="IG75" s="960"/>
      <c r="IH75" s="960"/>
      <c r="II75" s="960"/>
      <c r="IJ75" s="960"/>
      <c r="IK75" s="960"/>
      <c r="IL75" s="960"/>
      <c r="IM75" s="961"/>
      <c r="IN75" s="962"/>
      <c r="IO75" s="963"/>
      <c r="IP75" s="961"/>
      <c r="IQ75" s="962"/>
      <c r="IR75" s="962"/>
      <c r="IS75" s="459" t="s">
        <v>425</v>
      </c>
      <c r="IT75" s="482">
        <f>COUNTA(IA75:IR75)</f>
        <v>0</v>
      </c>
      <c r="IU75" s="939"/>
      <c r="IV75" s="1016"/>
      <c r="IX75" s="1038">
        <v>46351</v>
      </c>
      <c r="IY75" s="960"/>
      <c r="IZ75" s="960"/>
      <c r="JA75" s="960"/>
      <c r="JB75" s="960"/>
      <c r="JC75" s="960"/>
      <c r="JD75" s="960"/>
      <c r="JE75" s="960"/>
      <c r="JF75" s="960"/>
      <c r="JG75" s="960"/>
      <c r="JH75" s="960"/>
      <c r="JI75" s="960"/>
      <c r="JJ75" s="960"/>
      <c r="JK75" s="961"/>
      <c r="JL75" s="962"/>
      <c r="JM75" s="963"/>
      <c r="JN75" s="961"/>
      <c r="JO75" s="962"/>
      <c r="JP75" s="962"/>
      <c r="JQ75" s="459" t="s">
        <v>425</v>
      </c>
      <c r="JR75" s="482">
        <f>COUNTA(IY75:JP75)</f>
        <v>0</v>
      </c>
      <c r="JS75" s="939"/>
      <c r="JT75" s="1016"/>
      <c r="JV75" s="1048">
        <v>46381</v>
      </c>
      <c r="JW75" s="960"/>
      <c r="JX75" s="960"/>
      <c r="JY75" s="960"/>
      <c r="JZ75" s="960"/>
      <c r="KA75" s="960"/>
      <c r="KB75" s="960"/>
      <c r="KC75" s="960"/>
      <c r="KD75" s="960"/>
      <c r="KE75" s="960"/>
      <c r="KF75" s="960"/>
      <c r="KG75" s="960"/>
      <c r="KH75" s="960"/>
      <c r="KI75" s="961"/>
      <c r="KJ75" s="962"/>
      <c r="KK75" s="963"/>
      <c r="KL75" s="961"/>
      <c r="KM75" s="962"/>
      <c r="KN75" s="962"/>
      <c r="KO75" s="459" t="s">
        <v>425</v>
      </c>
      <c r="KP75" s="482">
        <f>COUNTA(JW75:KN75)</f>
        <v>0</v>
      </c>
      <c r="KQ75" s="939"/>
      <c r="KR75" s="1016"/>
      <c r="KT75" s="1064">
        <v>46412</v>
      </c>
      <c r="KU75" s="960"/>
      <c r="KV75" s="960"/>
      <c r="KW75" s="960"/>
      <c r="KX75" s="960"/>
      <c r="KY75" s="960"/>
      <c r="KZ75" s="960"/>
      <c r="LA75" s="960"/>
      <c r="LB75" s="960"/>
      <c r="LC75" s="960"/>
      <c r="LD75" s="960"/>
      <c r="LE75" s="960"/>
      <c r="LF75" s="960"/>
      <c r="LG75" s="961"/>
      <c r="LH75" s="962"/>
      <c r="LI75" s="963"/>
      <c r="LJ75" s="961"/>
      <c r="LK75" s="962"/>
      <c r="LL75" s="962"/>
      <c r="LM75" s="459" t="s">
        <v>425</v>
      </c>
      <c r="LN75" s="482">
        <f>COUNTA(KU75:LL75)</f>
        <v>0</v>
      </c>
      <c r="LO75" s="939"/>
      <c r="LP75" s="1016"/>
    </row>
    <row r="76" spans="1:328" ht="15">
      <c r="R76" s="865"/>
      <c r="S76" s="231" t="s">
        <v>59</v>
      </c>
      <c r="T76" s="231" t="s">
        <v>73</v>
      </c>
      <c r="U76" s="102" t="s">
        <v>4</v>
      </c>
      <c r="V76" s="231" t="s">
        <v>59</v>
      </c>
      <c r="W76" s="231" t="s">
        <v>73</v>
      </c>
      <c r="X76" s="102" t="s">
        <v>4</v>
      </c>
      <c r="Y76" s="231" t="s">
        <v>59</v>
      </c>
      <c r="Z76" s="231" t="s">
        <v>73</v>
      </c>
      <c r="AA76" s="102" t="s">
        <v>4</v>
      </c>
      <c r="AB76" s="231" t="s">
        <v>59</v>
      </c>
      <c r="AC76" s="231" t="s">
        <v>73</v>
      </c>
      <c r="AD76" s="102" t="s">
        <v>4</v>
      </c>
      <c r="AE76" s="231" t="s">
        <v>59</v>
      </c>
      <c r="AF76" s="231" t="s">
        <v>73</v>
      </c>
      <c r="AG76" s="102" t="s">
        <v>4</v>
      </c>
      <c r="AH76" s="107" t="s">
        <v>59</v>
      </c>
      <c r="AI76" s="107" t="s">
        <v>73</v>
      </c>
      <c r="AJ76" s="471" t="s">
        <v>4</v>
      </c>
      <c r="AK76" s="1004">
        <v>68</v>
      </c>
      <c r="AL76" s="1002">
        <f t="shared" ref="AL76" si="112">(S77*T77*U77)+(V77*W77*X77)+(Y77*Z77*AA77)+(AB77*AC77*AD77)+(AE77*AF77*AG77)+(AH77*AI77*AJ77)</f>
        <v>6613.95</v>
      </c>
      <c r="AM76" s="940"/>
      <c r="AN76" s="855"/>
      <c r="AO76" s="118"/>
      <c r="AP76" s="846"/>
      <c r="AQ76" s="231" t="s">
        <v>59</v>
      </c>
      <c r="AR76" s="231" t="s">
        <v>73</v>
      </c>
      <c r="AS76" s="102" t="s">
        <v>4</v>
      </c>
      <c r="AT76" s="231" t="s">
        <v>59</v>
      </c>
      <c r="AU76" s="231" t="s">
        <v>73</v>
      </c>
      <c r="AV76" s="102" t="s">
        <v>4</v>
      </c>
      <c r="AW76" s="231" t="s">
        <v>59</v>
      </c>
      <c r="AX76" s="231" t="s">
        <v>73</v>
      </c>
      <c r="AY76" s="102" t="s">
        <v>4</v>
      </c>
      <c r="AZ76" s="231" t="s">
        <v>59</v>
      </c>
      <c r="BA76" s="231" t="s">
        <v>73</v>
      </c>
      <c r="BB76" s="102" t="s">
        <v>4</v>
      </c>
      <c r="BC76" s="107" t="s">
        <v>59</v>
      </c>
      <c r="BD76" s="107" t="s">
        <v>73</v>
      </c>
      <c r="BE76" s="108" t="s">
        <v>4</v>
      </c>
      <c r="BF76" s="107" t="s">
        <v>59</v>
      </c>
      <c r="BG76" s="107" t="s">
        <v>73</v>
      </c>
      <c r="BH76" s="471" t="s">
        <v>4</v>
      </c>
      <c r="BI76" s="1004">
        <v>59</v>
      </c>
      <c r="BJ76" s="1003">
        <f t="shared" si="100"/>
        <v>7553.4</v>
      </c>
      <c r="BK76" s="940"/>
      <c r="BL76" s="1016"/>
      <c r="BM76" s="118"/>
      <c r="BN76" s="846"/>
      <c r="BO76" s="231" t="s">
        <v>59</v>
      </c>
      <c r="BP76" s="231" t="s">
        <v>73</v>
      </c>
      <c r="BQ76" s="102" t="s">
        <v>4</v>
      </c>
      <c r="BR76" s="231" t="s">
        <v>59</v>
      </c>
      <c r="BS76" s="231" t="s">
        <v>73</v>
      </c>
      <c r="BT76" s="102" t="s">
        <v>4</v>
      </c>
      <c r="BU76" s="231" t="s">
        <v>59</v>
      </c>
      <c r="BV76" s="231" t="s">
        <v>73</v>
      </c>
      <c r="BW76" s="102" t="s">
        <v>4</v>
      </c>
      <c r="BX76" s="231" t="s">
        <v>59</v>
      </c>
      <c r="BY76" s="231" t="s">
        <v>73</v>
      </c>
      <c r="BZ76" s="102" t="s">
        <v>4</v>
      </c>
      <c r="CA76" s="231" t="s">
        <v>59</v>
      </c>
      <c r="CB76" s="231" t="s">
        <v>73</v>
      </c>
      <c r="CC76" s="102" t="s">
        <v>4</v>
      </c>
      <c r="CD76" s="107" t="s">
        <v>59</v>
      </c>
      <c r="CE76" s="107" t="s">
        <v>73</v>
      </c>
      <c r="CF76" s="471" t="s">
        <v>4</v>
      </c>
      <c r="CG76" s="1004">
        <f>48</f>
        <v>48</v>
      </c>
      <c r="CH76" s="1005">
        <f t="shared" ref="CH76" si="113">(BO77*BP77*BQ77)+(BR77*BS77*BT77)+(BU77*BV77*BW77)+(BX77*BY77*BZ77)+(CA77*CB77*CC77)+(CD77*CE77*CF77)</f>
        <v>4229.6000000000004</v>
      </c>
      <c r="CI76" s="940"/>
      <c r="CJ76" s="1016"/>
      <c r="CL76" s="1052"/>
      <c r="CM76" s="491" t="s">
        <v>59</v>
      </c>
      <c r="CN76" s="491" t="s">
        <v>73</v>
      </c>
      <c r="CO76" s="492" t="s">
        <v>4</v>
      </c>
      <c r="CP76" s="491" t="s">
        <v>59</v>
      </c>
      <c r="CQ76" s="491" t="s">
        <v>73</v>
      </c>
      <c r="CR76" s="492" t="s">
        <v>4</v>
      </c>
      <c r="CS76" s="491" t="s">
        <v>59</v>
      </c>
      <c r="CT76" s="491" t="s">
        <v>73</v>
      </c>
      <c r="CU76" s="492" t="s">
        <v>4</v>
      </c>
      <c r="CV76" s="491" t="s">
        <v>59</v>
      </c>
      <c r="CW76" s="491" t="s">
        <v>73</v>
      </c>
      <c r="CX76" s="492" t="s">
        <v>4</v>
      </c>
      <c r="CY76" s="491" t="s">
        <v>59</v>
      </c>
      <c r="CZ76" s="491" t="s">
        <v>73</v>
      </c>
      <c r="DA76" s="492" t="s">
        <v>4</v>
      </c>
      <c r="DB76" s="491" t="s">
        <v>59</v>
      </c>
      <c r="DC76" s="491" t="s">
        <v>73</v>
      </c>
      <c r="DD76" s="493" t="s">
        <v>4</v>
      </c>
      <c r="DE76" s="1058"/>
      <c r="DF76" s="1059">
        <f>(CM77*CN77*CO77)+(CP77*CQ77*CR77)+(CS77*CT77*CU77)+(CV77*CW77*CX77)+(CY77*CZ77*DA77)+(DB77*DC77*DD77)</f>
        <v>0</v>
      </c>
      <c r="DG76" s="1055"/>
      <c r="DH76" s="1057"/>
      <c r="DJ76" s="1065"/>
      <c r="DK76" s="460" t="s">
        <v>59</v>
      </c>
      <c r="DL76" s="460" t="s">
        <v>73</v>
      </c>
      <c r="DM76" s="461" t="s">
        <v>4</v>
      </c>
      <c r="DN76" s="460" t="s">
        <v>59</v>
      </c>
      <c r="DO76" s="460" t="s">
        <v>73</v>
      </c>
      <c r="DP76" s="461" t="s">
        <v>4</v>
      </c>
      <c r="DQ76" s="460" t="s">
        <v>59</v>
      </c>
      <c r="DR76" s="460" t="s">
        <v>73</v>
      </c>
      <c r="DS76" s="461" t="s">
        <v>4</v>
      </c>
      <c r="DT76" s="460" t="s">
        <v>59</v>
      </c>
      <c r="DU76" s="460" t="s">
        <v>73</v>
      </c>
      <c r="DV76" s="461" t="s">
        <v>4</v>
      </c>
      <c r="DW76" s="460" t="s">
        <v>59</v>
      </c>
      <c r="DX76" s="460" t="s">
        <v>73</v>
      </c>
      <c r="DY76" s="461" t="s">
        <v>4</v>
      </c>
      <c r="DZ76" s="460" t="s">
        <v>59</v>
      </c>
      <c r="EA76" s="460" t="s">
        <v>73</v>
      </c>
      <c r="EB76" s="473" t="s">
        <v>4</v>
      </c>
      <c r="EC76" s="1004"/>
      <c r="ED76" s="1005">
        <f>(DK77*DL77*DM77)+(DN77*DO77*DP77)+(DQ77*DR77*DS77)+(DT77*DU77*DV77)+(DW77*DX77*DY77)+(DZ77*EA77*EB77)</f>
        <v>0</v>
      </c>
      <c r="EE76" s="940"/>
      <c r="EF76" s="1016"/>
      <c r="EH76" s="1042"/>
      <c r="EI76" s="460" t="s">
        <v>59</v>
      </c>
      <c r="EJ76" s="460" t="s">
        <v>73</v>
      </c>
      <c r="EK76" s="461" t="s">
        <v>4</v>
      </c>
      <c r="EL76" s="460" t="s">
        <v>59</v>
      </c>
      <c r="EM76" s="460" t="s">
        <v>73</v>
      </c>
      <c r="EN76" s="461" t="s">
        <v>4</v>
      </c>
      <c r="EO76" s="460" t="s">
        <v>59</v>
      </c>
      <c r="EP76" s="460" t="s">
        <v>73</v>
      </c>
      <c r="EQ76" s="461" t="s">
        <v>4</v>
      </c>
      <c r="ER76" s="460" t="s">
        <v>59</v>
      </c>
      <c r="ES76" s="460" t="s">
        <v>73</v>
      </c>
      <c r="ET76" s="461" t="s">
        <v>4</v>
      </c>
      <c r="EU76" s="460" t="s">
        <v>59</v>
      </c>
      <c r="EV76" s="460" t="s">
        <v>73</v>
      </c>
      <c r="EW76" s="461" t="s">
        <v>4</v>
      </c>
      <c r="EX76" s="460" t="s">
        <v>59</v>
      </c>
      <c r="EY76" s="460" t="s">
        <v>73</v>
      </c>
      <c r="EZ76" s="473" t="s">
        <v>4</v>
      </c>
      <c r="FA76" s="1004"/>
      <c r="FB76" s="1005">
        <f>(EI77*EJ77*EK77)+(EL77*EM77*EN77)+(EO77*EP77*EQ77)+(ER77*ES77*ET77)+(EU77*EV77*EW77)+(EX77*EY77*EZ77)</f>
        <v>0</v>
      </c>
      <c r="FC76" s="940"/>
      <c r="FD76" s="1016"/>
      <c r="FF76" s="1052"/>
      <c r="FG76" s="491" t="s">
        <v>59</v>
      </c>
      <c r="FH76" s="491" t="s">
        <v>73</v>
      </c>
      <c r="FI76" s="492" t="s">
        <v>4</v>
      </c>
      <c r="FJ76" s="491" t="s">
        <v>59</v>
      </c>
      <c r="FK76" s="491" t="s">
        <v>73</v>
      </c>
      <c r="FL76" s="492" t="s">
        <v>4</v>
      </c>
      <c r="FM76" s="491" t="s">
        <v>59</v>
      </c>
      <c r="FN76" s="491" t="s">
        <v>73</v>
      </c>
      <c r="FO76" s="492" t="s">
        <v>4</v>
      </c>
      <c r="FP76" s="491" t="s">
        <v>59</v>
      </c>
      <c r="FQ76" s="491" t="s">
        <v>73</v>
      </c>
      <c r="FR76" s="492" t="s">
        <v>4</v>
      </c>
      <c r="FS76" s="491" t="s">
        <v>59</v>
      </c>
      <c r="FT76" s="491" t="s">
        <v>73</v>
      </c>
      <c r="FU76" s="492" t="s">
        <v>4</v>
      </c>
      <c r="FV76" s="491" t="s">
        <v>59</v>
      </c>
      <c r="FW76" s="491" t="s">
        <v>73</v>
      </c>
      <c r="FX76" s="493" t="s">
        <v>4</v>
      </c>
      <c r="FY76" s="1071"/>
      <c r="FZ76" s="1072">
        <f>(FG77*FH77*FI77)+(FJ77*FK77*FL77)+(FM77*FN77*FO77)+(FP77*FQ77*FR77)+(FS77*FT77*FU77)+(FV77*FW77*FX77)</f>
        <v>0</v>
      </c>
      <c r="GA76" s="1068"/>
      <c r="GB76" s="1070"/>
      <c r="GD76" s="1075"/>
      <c r="GE76" s="460" t="s">
        <v>59</v>
      </c>
      <c r="GF76" s="460" t="s">
        <v>73</v>
      </c>
      <c r="GG76" s="461" t="s">
        <v>4</v>
      </c>
      <c r="GH76" s="460" t="s">
        <v>59</v>
      </c>
      <c r="GI76" s="460" t="s">
        <v>73</v>
      </c>
      <c r="GJ76" s="461" t="s">
        <v>4</v>
      </c>
      <c r="GK76" s="460" t="s">
        <v>59</v>
      </c>
      <c r="GL76" s="460" t="s">
        <v>73</v>
      </c>
      <c r="GM76" s="461" t="s">
        <v>4</v>
      </c>
      <c r="GN76" s="460" t="s">
        <v>59</v>
      </c>
      <c r="GO76" s="460" t="s">
        <v>73</v>
      </c>
      <c r="GP76" s="461" t="s">
        <v>4</v>
      </c>
      <c r="GQ76" s="460" t="s">
        <v>59</v>
      </c>
      <c r="GR76" s="460" t="s">
        <v>73</v>
      </c>
      <c r="GS76" s="461" t="s">
        <v>4</v>
      </c>
      <c r="GT76" s="460" t="s">
        <v>59</v>
      </c>
      <c r="GU76" s="460" t="s">
        <v>73</v>
      </c>
      <c r="GV76" s="473" t="s">
        <v>4</v>
      </c>
      <c r="GW76" s="1004"/>
      <c r="GX76" s="1005">
        <f>(GE77*GF77*GG77)+(GH77*GI77*GJ77)+(GK77*GL77*GM77)+(GN77*GO77*GP77)+(GQ77*GR77*GS77)+(GT77*GU77*GV77)</f>
        <v>0</v>
      </c>
      <c r="GY76" s="940"/>
      <c r="GZ76" s="1016"/>
      <c r="HB76" s="1049"/>
      <c r="HC76" s="460" t="s">
        <v>59</v>
      </c>
      <c r="HD76" s="460" t="s">
        <v>73</v>
      </c>
      <c r="HE76" s="461" t="s">
        <v>4</v>
      </c>
      <c r="HF76" s="460" t="s">
        <v>59</v>
      </c>
      <c r="HG76" s="460" t="s">
        <v>73</v>
      </c>
      <c r="HH76" s="461" t="s">
        <v>4</v>
      </c>
      <c r="HI76" s="460" t="s">
        <v>59</v>
      </c>
      <c r="HJ76" s="460" t="s">
        <v>73</v>
      </c>
      <c r="HK76" s="461" t="s">
        <v>4</v>
      </c>
      <c r="HL76" s="460" t="s">
        <v>59</v>
      </c>
      <c r="HM76" s="460" t="s">
        <v>73</v>
      </c>
      <c r="HN76" s="461" t="s">
        <v>4</v>
      </c>
      <c r="HO76" s="460" t="s">
        <v>59</v>
      </c>
      <c r="HP76" s="460" t="s">
        <v>73</v>
      </c>
      <c r="HQ76" s="461" t="s">
        <v>4</v>
      </c>
      <c r="HR76" s="460" t="s">
        <v>59</v>
      </c>
      <c r="HS76" s="460" t="s">
        <v>73</v>
      </c>
      <c r="HT76" s="473" t="s">
        <v>4</v>
      </c>
      <c r="HU76" s="1004"/>
      <c r="HV76" s="1005">
        <f>(HC77*HD77*HE77)+(HF77*HG77*HH77)+(HI77*HJ77*HK77)+(HL77*HM77*HN77)+(HO77*HP77*HQ77)+(HR77*HS77*HT77)</f>
        <v>0</v>
      </c>
      <c r="HW76" s="940"/>
      <c r="HX76" s="1016"/>
      <c r="HZ76" s="1062"/>
      <c r="IA76" s="460" t="s">
        <v>59</v>
      </c>
      <c r="IB76" s="460" t="s">
        <v>73</v>
      </c>
      <c r="IC76" s="461" t="s">
        <v>4</v>
      </c>
      <c r="ID76" s="460" t="s">
        <v>59</v>
      </c>
      <c r="IE76" s="460" t="s">
        <v>73</v>
      </c>
      <c r="IF76" s="461" t="s">
        <v>4</v>
      </c>
      <c r="IG76" s="460" t="s">
        <v>59</v>
      </c>
      <c r="IH76" s="460" t="s">
        <v>73</v>
      </c>
      <c r="II76" s="461" t="s">
        <v>4</v>
      </c>
      <c r="IJ76" s="460" t="s">
        <v>59</v>
      </c>
      <c r="IK76" s="460" t="s">
        <v>73</v>
      </c>
      <c r="IL76" s="461" t="s">
        <v>4</v>
      </c>
      <c r="IM76" s="460" t="s">
        <v>59</v>
      </c>
      <c r="IN76" s="460" t="s">
        <v>73</v>
      </c>
      <c r="IO76" s="461" t="s">
        <v>4</v>
      </c>
      <c r="IP76" s="460" t="s">
        <v>59</v>
      </c>
      <c r="IQ76" s="460" t="s">
        <v>73</v>
      </c>
      <c r="IR76" s="473" t="s">
        <v>4</v>
      </c>
      <c r="IS76" s="1004"/>
      <c r="IT76" s="1005">
        <f>(IA77*IB77*IC77)+(ID77*IE77*IF77)+(IG77*IH77*II77)+(IJ77*IK77*IL77)+(IM77*IN77*IO77)+(IP77*IQ77*IR77)</f>
        <v>0</v>
      </c>
      <c r="IU76" s="940"/>
      <c r="IV76" s="1016"/>
      <c r="IX76" s="1039"/>
      <c r="IY76" s="460" t="s">
        <v>59</v>
      </c>
      <c r="IZ76" s="460" t="s">
        <v>73</v>
      </c>
      <c r="JA76" s="461" t="s">
        <v>4</v>
      </c>
      <c r="JB76" s="460" t="s">
        <v>59</v>
      </c>
      <c r="JC76" s="460" t="s">
        <v>73</v>
      </c>
      <c r="JD76" s="461" t="s">
        <v>4</v>
      </c>
      <c r="JE76" s="460" t="s">
        <v>59</v>
      </c>
      <c r="JF76" s="460" t="s">
        <v>73</v>
      </c>
      <c r="JG76" s="461" t="s">
        <v>4</v>
      </c>
      <c r="JH76" s="460" t="s">
        <v>59</v>
      </c>
      <c r="JI76" s="460" t="s">
        <v>73</v>
      </c>
      <c r="JJ76" s="461" t="s">
        <v>4</v>
      </c>
      <c r="JK76" s="460" t="s">
        <v>59</v>
      </c>
      <c r="JL76" s="460" t="s">
        <v>73</v>
      </c>
      <c r="JM76" s="461" t="s">
        <v>4</v>
      </c>
      <c r="JN76" s="460" t="s">
        <v>59</v>
      </c>
      <c r="JO76" s="460" t="s">
        <v>73</v>
      </c>
      <c r="JP76" s="473" t="s">
        <v>4</v>
      </c>
      <c r="JQ76" s="1004"/>
      <c r="JR76" s="1005">
        <f>(IY77*IZ77*JA77)+(JB77*JC77*JD77)+(JE77*JF77*JG77)+(JH77*JI77*JJ77)+(JK77*JL77*JM77)+(JN77*JO77*JP77)</f>
        <v>0</v>
      </c>
      <c r="JS76" s="940"/>
      <c r="JT76" s="1016"/>
      <c r="JV76" s="1049"/>
      <c r="JW76" s="460" t="s">
        <v>59</v>
      </c>
      <c r="JX76" s="460" t="s">
        <v>73</v>
      </c>
      <c r="JY76" s="461" t="s">
        <v>4</v>
      </c>
      <c r="JZ76" s="460" t="s">
        <v>59</v>
      </c>
      <c r="KA76" s="460" t="s">
        <v>73</v>
      </c>
      <c r="KB76" s="461" t="s">
        <v>4</v>
      </c>
      <c r="KC76" s="460" t="s">
        <v>59</v>
      </c>
      <c r="KD76" s="460" t="s">
        <v>73</v>
      </c>
      <c r="KE76" s="461" t="s">
        <v>4</v>
      </c>
      <c r="KF76" s="460" t="s">
        <v>59</v>
      </c>
      <c r="KG76" s="460" t="s">
        <v>73</v>
      </c>
      <c r="KH76" s="461" t="s">
        <v>4</v>
      </c>
      <c r="KI76" s="460" t="s">
        <v>59</v>
      </c>
      <c r="KJ76" s="460" t="s">
        <v>73</v>
      </c>
      <c r="KK76" s="461" t="s">
        <v>4</v>
      </c>
      <c r="KL76" s="460" t="s">
        <v>59</v>
      </c>
      <c r="KM76" s="460" t="s">
        <v>73</v>
      </c>
      <c r="KN76" s="473" t="s">
        <v>4</v>
      </c>
      <c r="KO76" s="1004"/>
      <c r="KP76" s="1005">
        <f>(JW77*JX77*JY77)+(JZ77*KA77*KB77)+(KC77*KD77*KE77)+(KF77*KG77*KH77)+(KI77*KJ77*KK77)+(KL77*KM77*KN77)</f>
        <v>0</v>
      </c>
      <c r="KQ76" s="940"/>
      <c r="KR76" s="1016"/>
      <c r="KT76" s="1065"/>
      <c r="KU76" s="460" t="s">
        <v>59</v>
      </c>
      <c r="KV76" s="460" t="s">
        <v>73</v>
      </c>
      <c r="KW76" s="461" t="s">
        <v>4</v>
      </c>
      <c r="KX76" s="460" t="s">
        <v>59</v>
      </c>
      <c r="KY76" s="460" t="s">
        <v>73</v>
      </c>
      <c r="KZ76" s="461" t="s">
        <v>4</v>
      </c>
      <c r="LA76" s="460" t="s">
        <v>59</v>
      </c>
      <c r="LB76" s="460" t="s">
        <v>73</v>
      </c>
      <c r="LC76" s="461" t="s">
        <v>4</v>
      </c>
      <c r="LD76" s="460" t="s">
        <v>59</v>
      </c>
      <c r="LE76" s="460" t="s">
        <v>73</v>
      </c>
      <c r="LF76" s="461" t="s">
        <v>4</v>
      </c>
      <c r="LG76" s="460" t="s">
        <v>59</v>
      </c>
      <c r="LH76" s="460" t="s">
        <v>73</v>
      </c>
      <c r="LI76" s="461" t="s">
        <v>4</v>
      </c>
      <c r="LJ76" s="460" t="s">
        <v>59</v>
      </c>
      <c r="LK76" s="460" t="s">
        <v>73</v>
      </c>
      <c r="LL76" s="473" t="s">
        <v>4</v>
      </c>
      <c r="LM76" s="1004"/>
      <c r="LN76" s="1005">
        <f>(KU77*KV77*KW77)+(KX77*KY77*KZ77)+(LA77*LB77*LC77)+(LD77*LE77*LF77)+(LG77*LH77*LI77)+(LJ77*LK77*LL77)</f>
        <v>0</v>
      </c>
      <c r="LO76" s="940"/>
      <c r="LP76" s="1016"/>
    </row>
    <row r="77" spans="1:328" ht="15">
      <c r="R77" s="866"/>
      <c r="S77" s="229">
        <v>4</v>
      </c>
      <c r="T77" s="229">
        <f>((12*1)+(10*3))/4</f>
        <v>10.5</v>
      </c>
      <c r="U77" s="229">
        <f>((12.5*1)+(25*3))/4</f>
        <v>21.875</v>
      </c>
      <c r="V77" s="229">
        <v>4</v>
      </c>
      <c r="W77" s="229">
        <v>12</v>
      </c>
      <c r="X77" s="229">
        <f>((23*1)+(50*3))/4</f>
        <v>43.25</v>
      </c>
      <c r="Y77" s="229">
        <v>4</v>
      </c>
      <c r="Z77" s="126">
        <f>((12*1)+(10*3))/4</f>
        <v>10.5</v>
      </c>
      <c r="AA77" s="229">
        <f>((10*1)+(20*3))/4</f>
        <v>17.5</v>
      </c>
      <c r="AB77" s="229">
        <v>4</v>
      </c>
      <c r="AC77" s="229">
        <f>((12*2)+(8*1)+(10*1))/4</f>
        <v>10.5</v>
      </c>
      <c r="AD77" s="229">
        <f>((27*1)+(54*1)+(59*2))/4</f>
        <v>49.75</v>
      </c>
      <c r="AE77" s="229">
        <v>4</v>
      </c>
      <c r="AF77" s="229">
        <f>((12*1)+(8*3))/4</f>
        <v>9</v>
      </c>
      <c r="AG77" s="229">
        <f>((13.6*1)+(24.9*3))/4</f>
        <v>22.074999999999996</v>
      </c>
      <c r="AH77" s="233"/>
      <c r="AI77" s="233"/>
      <c r="AJ77" s="472"/>
      <c r="AK77" s="1007"/>
      <c r="AL77" s="1002"/>
      <c r="AM77" s="941"/>
      <c r="AN77" s="855"/>
      <c r="AO77" s="118"/>
      <c r="AP77" s="847"/>
      <c r="AQ77" s="229">
        <v>4</v>
      </c>
      <c r="AR77" s="126">
        <f>((12*1)+(10*3))/4</f>
        <v>10.5</v>
      </c>
      <c r="AS77" s="229">
        <f>((20*1)+(40*3))/4</f>
        <v>35</v>
      </c>
      <c r="AT77" s="229">
        <v>4</v>
      </c>
      <c r="AU77" s="126">
        <v>12</v>
      </c>
      <c r="AV77" s="229">
        <f>((20*1)+(40*3))/4</f>
        <v>35</v>
      </c>
      <c r="AW77" s="229">
        <v>4</v>
      </c>
      <c r="AX77" s="229">
        <f>((12*1)+(8*3))/4</f>
        <v>9</v>
      </c>
      <c r="AY77" s="229">
        <f>((32*1)+(72*3))/4</f>
        <v>62</v>
      </c>
      <c r="AZ77" s="229">
        <v>4</v>
      </c>
      <c r="BA77" s="229">
        <f>((12*1)+(24*3))/4</f>
        <v>21</v>
      </c>
      <c r="BB77" s="229">
        <f>(1/3)*BL75</f>
        <v>25.849999999999998</v>
      </c>
      <c r="BC77" s="233"/>
      <c r="BD77" s="233"/>
      <c r="BE77" s="233"/>
      <c r="BF77" s="233"/>
      <c r="BG77" s="233"/>
      <c r="BH77" s="472"/>
      <c r="BI77" s="1007"/>
      <c r="BJ77" s="1003"/>
      <c r="BK77" s="941"/>
      <c r="BL77" s="1016"/>
      <c r="BM77" s="118"/>
      <c r="BN77" s="847"/>
      <c r="BO77" s="229">
        <v>4</v>
      </c>
      <c r="BP77" s="126">
        <f>((12*1)+(6*2)+(8*1))/4</f>
        <v>8</v>
      </c>
      <c r="BQ77" s="126">
        <f>((13.6*1)+(27.2*3))/4</f>
        <v>23.799999999999997</v>
      </c>
      <c r="BR77" s="229">
        <v>4</v>
      </c>
      <c r="BS77" s="126">
        <f>((12*2)+(10*2))/4</f>
        <v>11</v>
      </c>
      <c r="BT77" s="229">
        <f>((22.5*1)+(45*3))/4</f>
        <v>39.375</v>
      </c>
      <c r="BU77" s="229">
        <v>4</v>
      </c>
      <c r="BV77" s="229">
        <f>((12*1)+(10*3))/4</f>
        <v>10.5</v>
      </c>
      <c r="BW77" s="229">
        <f>((20*1)+(45*3))/4</f>
        <v>38.75</v>
      </c>
      <c r="BX77" s="229">
        <v>1</v>
      </c>
      <c r="BY77" s="229">
        <f>((12*4))/4</f>
        <v>12</v>
      </c>
      <c r="BZ77" s="229">
        <f>((36*1)+(72*0))/4</f>
        <v>9</v>
      </c>
      <c r="CA77" s="229">
        <v>0</v>
      </c>
      <c r="CB77" s="229">
        <f>((14*1)+(28*3))/4</f>
        <v>24.5</v>
      </c>
      <c r="CC77" s="229">
        <f>(1/3)*CJ75</f>
        <v>26.033333333333331</v>
      </c>
      <c r="CD77" s="233"/>
      <c r="CE77" s="233"/>
      <c r="CF77" s="472"/>
      <c r="CG77" s="1007"/>
      <c r="CH77" s="1006"/>
      <c r="CI77" s="941"/>
      <c r="CJ77" s="1016"/>
      <c r="CL77" s="1053"/>
      <c r="CM77" s="494"/>
      <c r="CN77" s="494"/>
      <c r="CO77" s="494"/>
      <c r="CP77" s="494"/>
      <c r="CQ77" s="494"/>
      <c r="CR77" s="494"/>
      <c r="CS77" s="494"/>
      <c r="CT77" s="494"/>
      <c r="CU77" s="494"/>
      <c r="CV77" s="494"/>
      <c r="CW77" s="494"/>
      <c r="CX77" s="494"/>
      <c r="CY77" s="494"/>
      <c r="CZ77" s="494"/>
      <c r="DA77" s="494"/>
      <c r="DB77" s="494"/>
      <c r="DC77" s="494"/>
      <c r="DD77" s="495"/>
      <c r="DE77" s="1077"/>
      <c r="DF77" s="1060"/>
      <c r="DG77" s="1056"/>
      <c r="DH77" s="1057"/>
      <c r="DJ77" s="1066"/>
      <c r="DK77" s="462"/>
      <c r="DL77" s="462"/>
      <c r="DM77" s="462"/>
      <c r="DN77" s="462"/>
      <c r="DO77" s="462"/>
      <c r="DP77" s="462"/>
      <c r="DQ77" s="462"/>
      <c r="DR77" s="462"/>
      <c r="DS77" s="462"/>
      <c r="DT77" s="462"/>
      <c r="DU77" s="462"/>
      <c r="DV77" s="462"/>
      <c r="DW77" s="462"/>
      <c r="DX77" s="462"/>
      <c r="DY77" s="462"/>
      <c r="DZ77" s="462"/>
      <c r="EA77" s="462"/>
      <c r="EB77" s="474"/>
      <c r="EC77" s="1007"/>
      <c r="ED77" s="1006"/>
      <c r="EE77" s="941"/>
      <c r="EF77" s="1016"/>
      <c r="EH77" s="1043"/>
      <c r="EI77" s="462"/>
      <c r="EJ77" s="462"/>
      <c r="EK77" s="462"/>
      <c r="EL77" s="462"/>
      <c r="EM77" s="462"/>
      <c r="EN77" s="462"/>
      <c r="EO77" s="462"/>
      <c r="EP77" s="462"/>
      <c r="EQ77" s="462"/>
      <c r="ER77" s="462"/>
      <c r="ES77" s="462"/>
      <c r="ET77" s="462"/>
      <c r="EU77" s="462"/>
      <c r="EV77" s="462"/>
      <c r="EW77" s="462"/>
      <c r="EX77" s="462"/>
      <c r="EY77" s="462"/>
      <c r="EZ77" s="474"/>
      <c r="FA77" s="1007"/>
      <c r="FB77" s="1006"/>
      <c r="FC77" s="941"/>
      <c r="FD77" s="1016"/>
      <c r="FF77" s="1053"/>
      <c r="FG77" s="494"/>
      <c r="FH77" s="494"/>
      <c r="FI77" s="494"/>
      <c r="FJ77" s="494"/>
      <c r="FK77" s="494"/>
      <c r="FL77" s="494"/>
      <c r="FM77" s="494"/>
      <c r="FN77" s="494"/>
      <c r="FO77" s="494"/>
      <c r="FP77" s="494"/>
      <c r="FQ77" s="494"/>
      <c r="FR77" s="494"/>
      <c r="FS77" s="494"/>
      <c r="FT77" s="494"/>
      <c r="FU77" s="494"/>
      <c r="FV77" s="494"/>
      <c r="FW77" s="494"/>
      <c r="FX77" s="495"/>
      <c r="FY77" s="1081"/>
      <c r="FZ77" s="1073"/>
      <c r="GA77" s="1069"/>
      <c r="GB77" s="1070"/>
      <c r="GD77" s="1076"/>
      <c r="GE77" s="462"/>
      <c r="GF77" s="462"/>
      <c r="GG77" s="462"/>
      <c r="GH77" s="462"/>
      <c r="GI77" s="462"/>
      <c r="GJ77" s="462"/>
      <c r="GK77" s="462"/>
      <c r="GL77" s="462"/>
      <c r="GM77" s="462"/>
      <c r="GN77" s="462"/>
      <c r="GO77" s="462"/>
      <c r="GP77" s="462"/>
      <c r="GQ77" s="462"/>
      <c r="GR77" s="462"/>
      <c r="GS77" s="462"/>
      <c r="GT77" s="462"/>
      <c r="GU77" s="462"/>
      <c r="GV77" s="474"/>
      <c r="GW77" s="1007"/>
      <c r="GX77" s="1006"/>
      <c r="GY77" s="941"/>
      <c r="GZ77" s="1016"/>
      <c r="HB77" s="1050"/>
      <c r="HC77" s="462"/>
      <c r="HD77" s="462"/>
      <c r="HE77" s="462"/>
      <c r="HF77" s="462"/>
      <c r="HG77" s="462"/>
      <c r="HH77" s="462"/>
      <c r="HI77" s="462"/>
      <c r="HJ77" s="462"/>
      <c r="HK77" s="462"/>
      <c r="HL77" s="462"/>
      <c r="HM77" s="462"/>
      <c r="HN77" s="462"/>
      <c r="HO77" s="462"/>
      <c r="HP77" s="462"/>
      <c r="HQ77" s="462"/>
      <c r="HR77" s="462"/>
      <c r="HS77" s="462"/>
      <c r="HT77" s="474"/>
      <c r="HU77" s="1007"/>
      <c r="HV77" s="1006"/>
      <c r="HW77" s="941"/>
      <c r="HX77" s="1016"/>
      <c r="HZ77" s="1063"/>
      <c r="IA77" s="462"/>
      <c r="IB77" s="462"/>
      <c r="IC77" s="462"/>
      <c r="ID77" s="462"/>
      <c r="IE77" s="462"/>
      <c r="IF77" s="462"/>
      <c r="IG77" s="462"/>
      <c r="IH77" s="462"/>
      <c r="II77" s="462"/>
      <c r="IJ77" s="462"/>
      <c r="IK77" s="462"/>
      <c r="IL77" s="462"/>
      <c r="IM77" s="462"/>
      <c r="IN77" s="462"/>
      <c r="IO77" s="462"/>
      <c r="IP77" s="462"/>
      <c r="IQ77" s="462"/>
      <c r="IR77" s="474"/>
      <c r="IS77" s="1007"/>
      <c r="IT77" s="1006"/>
      <c r="IU77" s="941"/>
      <c r="IV77" s="1016"/>
      <c r="IX77" s="1040"/>
      <c r="IY77" s="462"/>
      <c r="IZ77" s="462"/>
      <c r="JA77" s="462"/>
      <c r="JB77" s="462"/>
      <c r="JC77" s="462"/>
      <c r="JD77" s="462"/>
      <c r="JE77" s="462"/>
      <c r="JF77" s="462"/>
      <c r="JG77" s="462"/>
      <c r="JH77" s="462"/>
      <c r="JI77" s="462"/>
      <c r="JJ77" s="462"/>
      <c r="JK77" s="462"/>
      <c r="JL77" s="462"/>
      <c r="JM77" s="462"/>
      <c r="JN77" s="462"/>
      <c r="JO77" s="462"/>
      <c r="JP77" s="474"/>
      <c r="JQ77" s="1007"/>
      <c r="JR77" s="1006"/>
      <c r="JS77" s="941"/>
      <c r="JT77" s="1016"/>
      <c r="JV77" s="1050"/>
      <c r="JW77" s="462"/>
      <c r="JX77" s="462"/>
      <c r="JY77" s="462"/>
      <c r="JZ77" s="462"/>
      <c r="KA77" s="462"/>
      <c r="KB77" s="462"/>
      <c r="KC77" s="462"/>
      <c r="KD77" s="462"/>
      <c r="KE77" s="462"/>
      <c r="KF77" s="462"/>
      <c r="KG77" s="462"/>
      <c r="KH77" s="462"/>
      <c r="KI77" s="462"/>
      <c r="KJ77" s="462"/>
      <c r="KK77" s="462"/>
      <c r="KL77" s="462"/>
      <c r="KM77" s="462"/>
      <c r="KN77" s="474"/>
      <c r="KO77" s="1007"/>
      <c r="KP77" s="1006"/>
      <c r="KQ77" s="941"/>
      <c r="KR77" s="1016"/>
      <c r="KT77" s="1066"/>
      <c r="KU77" s="462"/>
      <c r="KV77" s="462"/>
      <c r="KW77" s="462"/>
      <c r="KX77" s="462"/>
      <c r="KY77" s="462"/>
      <c r="KZ77" s="462"/>
      <c r="LA77" s="462"/>
      <c r="LB77" s="462"/>
      <c r="LC77" s="462"/>
      <c r="LD77" s="462"/>
      <c r="LE77" s="462"/>
      <c r="LF77" s="462"/>
      <c r="LG77" s="462"/>
      <c r="LH77" s="462"/>
      <c r="LI77" s="462"/>
      <c r="LJ77" s="462"/>
      <c r="LK77" s="462"/>
      <c r="LL77" s="474"/>
      <c r="LM77" s="1007"/>
      <c r="LN77" s="1006"/>
      <c r="LO77" s="941"/>
      <c r="LP77" s="1016"/>
    </row>
    <row r="78" spans="1:328" ht="15">
      <c r="R78" s="870">
        <v>46048</v>
      </c>
      <c r="S78" s="848" t="s">
        <v>89</v>
      </c>
      <c r="T78" s="848"/>
      <c r="U78" s="848"/>
      <c r="V78" s="848" t="s">
        <v>380</v>
      </c>
      <c r="W78" s="848"/>
      <c r="X78" s="848"/>
      <c r="Y78" s="848" t="s">
        <v>115</v>
      </c>
      <c r="Z78" s="848"/>
      <c r="AA78" s="848"/>
      <c r="AB78" s="849" t="s">
        <v>114</v>
      </c>
      <c r="AC78" s="849"/>
      <c r="AD78" s="849"/>
      <c r="AE78" s="848" t="s">
        <v>129</v>
      </c>
      <c r="AF78" s="848"/>
      <c r="AG78" s="848"/>
      <c r="AH78" s="834"/>
      <c r="AI78" s="835"/>
      <c r="AJ78" s="835"/>
      <c r="AK78" s="459" t="s">
        <v>425</v>
      </c>
      <c r="AL78" s="1">
        <f t="shared" ref="AL78" si="114">COUNTA(S78:AJ78)</f>
        <v>5</v>
      </c>
      <c r="AM78" s="939"/>
      <c r="AN78" s="855">
        <v>77.099999999999994</v>
      </c>
      <c r="AO78" s="118"/>
      <c r="AP78" s="873">
        <v>46079</v>
      </c>
      <c r="AQ78" s="973" t="s">
        <v>72</v>
      </c>
      <c r="AR78" s="973"/>
      <c r="AS78" s="973"/>
      <c r="AT78" s="977" t="s">
        <v>102</v>
      </c>
      <c r="AU78" s="977"/>
      <c r="AV78" s="977"/>
      <c r="AW78" s="977" t="s">
        <v>502</v>
      </c>
      <c r="AX78" s="977"/>
      <c r="AY78" s="977"/>
      <c r="AZ78" s="977" t="s">
        <v>380</v>
      </c>
      <c r="BA78" s="977"/>
      <c r="BB78" s="977"/>
      <c r="BC78" s="981" t="s">
        <v>133</v>
      </c>
      <c r="BD78" s="982"/>
      <c r="BE78" s="983"/>
      <c r="BF78" s="834"/>
      <c r="BG78" s="835"/>
      <c r="BH78" s="835"/>
      <c r="BI78" s="459" t="s">
        <v>425</v>
      </c>
      <c r="BJ78" s="482">
        <f t="shared" si="97"/>
        <v>5</v>
      </c>
      <c r="BK78" s="939"/>
      <c r="BL78" s="1016">
        <v>78.5</v>
      </c>
      <c r="BM78" s="118"/>
      <c r="BN78" s="873">
        <v>46107</v>
      </c>
      <c r="BO78" s="973" t="s">
        <v>72</v>
      </c>
      <c r="BP78" s="973"/>
      <c r="BQ78" s="973"/>
      <c r="BR78" s="977" t="s">
        <v>102</v>
      </c>
      <c r="BS78" s="977"/>
      <c r="BT78" s="977"/>
      <c r="BU78" s="977" t="s">
        <v>502</v>
      </c>
      <c r="BV78" s="977"/>
      <c r="BW78" s="977"/>
      <c r="BX78" s="848" t="s">
        <v>380</v>
      </c>
      <c r="BY78" s="848"/>
      <c r="BZ78" s="848"/>
      <c r="CA78" s="978" t="s">
        <v>78</v>
      </c>
      <c r="CB78" s="979"/>
      <c r="CC78" s="980"/>
      <c r="CD78" s="834"/>
      <c r="CE78" s="835"/>
      <c r="CF78" s="835"/>
      <c r="CG78" s="459" t="s">
        <v>425</v>
      </c>
      <c r="CH78" s="482">
        <f t="shared" ref="CH78" si="115">COUNTA(BO78:CF78)</f>
        <v>5</v>
      </c>
      <c r="CI78" s="939">
        <v>8.5</v>
      </c>
      <c r="CJ78" s="1016">
        <v>78.099999999999994</v>
      </c>
      <c r="CL78" s="1061">
        <v>46138</v>
      </c>
      <c r="CM78" s="960"/>
      <c r="CN78" s="960"/>
      <c r="CO78" s="960"/>
      <c r="CP78" s="960"/>
      <c r="CQ78" s="960"/>
      <c r="CR78" s="960"/>
      <c r="CS78" s="960"/>
      <c r="CT78" s="960"/>
      <c r="CU78" s="960"/>
      <c r="CV78" s="960"/>
      <c r="CW78" s="960"/>
      <c r="CX78" s="960"/>
      <c r="CY78" s="961"/>
      <c r="CZ78" s="962"/>
      <c r="DA78" s="963"/>
      <c r="DB78" s="961"/>
      <c r="DC78" s="962"/>
      <c r="DD78" s="962"/>
      <c r="DE78" s="459" t="s">
        <v>425</v>
      </c>
      <c r="DF78" s="482">
        <f>COUNTA(CM78:DD78)</f>
        <v>0</v>
      </c>
      <c r="DG78" s="939"/>
      <c r="DH78" s="1016"/>
      <c r="DJ78" s="1074">
        <v>46168</v>
      </c>
      <c r="DK78" s="960"/>
      <c r="DL78" s="960"/>
      <c r="DM78" s="960"/>
      <c r="DN78" s="960"/>
      <c r="DO78" s="960"/>
      <c r="DP78" s="960"/>
      <c r="DQ78" s="960"/>
      <c r="DR78" s="960"/>
      <c r="DS78" s="960"/>
      <c r="DT78" s="960"/>
      <c r="DU78" s="960"/>
      <c r="DV78" s="960"/>
      <c r="DW78" s="961"/>
      <c r="DX78" s="962"/>
      <c r="DY78" s="963"/>
      <c r="DZ78" s="961"/>
      <c r="EA78" s="962"/>
      <c r="EB78" s="962"/>
      <c r="EC78" s="459" t="s">
        <v>425</v>
      </c>
      <c r="ED78" s="482">
        <f>COUNTA(DK78:EB78)</f>
        <v>0</v>
      </c>
      <c r="EE78" s="939"/>
      <c r="EF78" s="1016"/>
      <c r="EH78" s="1048">
        <v>46199</v>
      </c>
      <c r="EI78" s="960"/>
      <c r="EJ78" s="960"/>
      <c r="EK78" s="960"/>
      <c r="EL78" s="960"/>
      <c r="EM78" s="960"/>
      <c r="EN78" s="960"/>
      <c r="EO78" s="960"/>
      <c r="EP78" s="960"/>
      <c r="EQ78" s="960"/>
      <c r="ER78" s="960"/>
      <c r="ES78" s="960"/>
      <c r="ET78" s="960"/>
      <c r="EU78" s="961"/>
      <c r="EV78" s="962"/>
      <c r="EW78" s="963"/>
      <c r="EX78" s="961"/>
      <c r="EY78" s="962"/>
      <c r="EZ78" s="962"/>
      <c r="FA78" s="459" t="s">
        <v>425</v>
      </c>
      <c r="FB78" s="482">
        <f>COUNTA(EI78:EZ78)</f>
        <v>0</v>
      </c>
      <c r="FC78" s="939"/>
      <c r="FD78" s="1016"/>
      <c r="FF78" s="1061">
        <v>46229</v>
      </c>
      <c r="FG78" s="960"/>
      <c r="FH78" s="960"/>
      <c r="FI78" s="960"/>
      <c r="FJ78" s="960"/>
      <c r="FK78" s="960"/>
      <c r="FL78" s="960"/>
      <c r="FM78" s="960"/>
      <c r="FN78" s="960"/>
      <c r="FO78" s="960"/>
      <c r="FP78" s="960"/>
      <c r="FQ78" s="960"/>
      <c r="FR78" s="960"/>
      <c r="FS78" s="961"/>
      <c r="FT78" s="962"/>
      <c r="FU78" s="963"/>
      <c r="FV78" s="961"/>
      <c r="FW78" s="962"/>
      <c r="FX78" s="962"/>
      <c r="FY78" s="459" t="s">
        <v>425</v>
      </c>
      <c r="FZ78" s="482">
        <f>COUNTA(FG78:FX78)</f>
        <v>0</v>
      </c>
      <c r="GA78" s="939"/>
      <c r="GB78" s="1016"/>
      <c r="GD78" s="1038">
        <v>46260</v>
      </c>
      <c r="GE78" s="960"/>
      <c r="GF78" s="960"/>
      <c r="GG78" s="960"/>
      <c r="GH78" s="960"/>
      <c r="GI78" s="960"/>
      <c r="GJ78" s="960"/>
      <c r="GK78" s="960"/>
      <c r="GL78" s="960"/>
      <c r="GM78" s="960"/>
      <c r="GN78" s="960"/>
      <c r="GO78" s="960"/>
      <c r="GP78" s="960"/>
      <c r="GQ78" s="961"/>
      <c r="GR78" s="962"/>
      <c r="GS78" s="963"/>
      <c r="GT78" s="961"/>
      <c r="GU78" s="962"/>
      <c r="GV78" s="962"/>
      <c r="GW78" s="459" t="s">
        <v>425</v>
      </c>
      <c r="GX78" s="482">
        <f>COUNTA(GE78:GV78)</f>
        <v>0</v>
      </c>
      <c r="GY78" s="939"/>
      <c r="GZ78" s="1016"/>
      <c r="HB78" s="1051">
        <v>46291</v>
      </c>
      <c r="HC78" s="1023"/>
      <c r="HD78" s="1023"/>
      <c r="HE78" s="1023"/>
      <c r="HF78" s="1023"/>
      <c r="HG78" s="1023"/>
      <c r="HH78" s="1023"/>
      <c r="HI78" s="1023"/>
      <c r="HJ78" s="1023"/>
      <c r="HK78" s="1023"/>
      <c r="HL78" s="1023"/>
      <c r="HM78" s="1023"/>
      <c r="HN78" s="1023"/>
      <c r="HO78" s="1021"/>
      <c r="HP78" s="1022"/>
      <c r="HQ78" s="1024"/>
      <c r="HR78" s="1021"/>
      <c r="HS78" s="1022"/>
      <c r="HT78" s="1022"/>
      <c r="HU78" s="489" t="s">
        <v>425</v>
      </c>
      <c r="HV78" s="496">
        <f>COUNTA(HC78:HT78)</f>
        <v>0</v>
      </c>
      <c r="HW78" s="1067"/>
      <c r="HX78" s="1070"/>
      <c r="HZ78" s="1064">
        <v>46321</v>
      </c>
      <c r="IA78" s="960"/>
      <c r="IB78" s="960"/>
      <c r="IC78" s="960"/>
      <c r="ID78" s="960"/>
      <c r="IE78" s="960"/>
      <c r="IF78" s="960"/>
      <c r="IG78" s="960"/>
      <c r="IH78" s="960"/>
      <c r="II78" s="960"/>
      <c r="IJ78" s="960"/>
      <c r="IK78" s="960"/>
      <c r="IL78" s="960"/>
      <c r="IM78" s="961"/>
      <c r="IN78" s="962"/>
      <c r="IO78" s="963"/>
      <c r="IP78" s="961"/>
      <c r="IQ78" s="962"/>
      <c r="IR78" s="962"/>
      <c r="IS78" s="459" t="s">
        <v>425</v>
      </c>
      <c r="IT78" s="482">
        <f>COUNTA(IA78:IR78)</f>
        <v>0</v>
      </c>
      <c r="IU78" s="939"/>
      <c r="IV78" s="1016"/>
      <c r="IX78" s="1041">
        <v>46352</v>
      </c>
      <c r="IY78" s="960"/>
      <c r="IZ78" s="960"/>
      <c r="JA78" s="960"/>
      <c r="JB78" s="960"/>
      <c r="JC78" s="960"/>
      <c r="JD78" s="960"/>
      <c r="JE78" s="960"/>
      <c r="JF78" s="960"/>
      <c r="JG78" s="960"/>
      <c r="JH78" s="960"/>
      <c r="JI78" s="960"/>
      <c r="JJ78" s="960"/>
      <c r="JK78" s="961"/>
      <c r="JL78" s="962"/>
      <c r="JM78" s="963"/>
      <c r="JN78" s="961"/>
      <c r="JO78" s="962"/>
      <c r="JP78" s="962"/>
      <c r="JQ78" s="459" t="s">
        <v>425</v>
      </c>
      <c r="JR78" s="482">
        <f>COUNTA(IY78:JP78)</f>
        <v>0</v>
      </c>
      <c r="JS78" s="939"/>
      <c r="JT78" s="1016"/>
      <c r="JV78" s="1051">
        <v>46382</v>
      </c>
      <c r="JW78" s="1023"/>
      <c r="JX78" s="1023"/>
      <c r="JY78" s="1023"/>
      <c r="JZ78" s="1023"/>
      <c r="KA78" s="1023"/>
      <c r="KB78" s="1023"/>
      <c r="KC78" s="1023"/>
      <c r="KD78" s="1023"/>
      <c r="KE78" s="1023"/>
      <c r="KF78" s="1023"/>
      <c r="KG78" s="1023"/>
      <c r="KH78" s="1023"/>
      <c r="KI78" s="1021"/>
      <c r="KJ78" s="1022"/>
      <c r="KK78" s="1024"/>
      <c r="KL78" s="1021"/>
      <c r="KM78" s="1022"/>
      <c r="KN78" s="1022"/>
      <c r="KO78" s="489" t="s">
        <v>425</v>
      </c>
      <c r="KP78" s="496">
        <f>COUNTA(JW78:KN78)</f>
        <v>0</v>
      </c>
      <c r="KQ78" s="1067"/>
      <c r="KR78" s="1070"/>
      <c r="KT78" s="1074">
        <v>46413</v>
      </c>
      <c r="KU78" s="960"/>
      <c r="KV78" s="960"/>
      <c r="KW78" s="960"/>
      <c r="KX78" s="960"/>
      <c r="KY78" s="960"/>
      <c r="KZ78" s="960"/>
      <c r="LA78" s="960"/>
      <c r="LB78" s="960"/>
      <c r="LC78" s="960"/>
      <c r="LD78" s="960"/>
      <c r="LE78" s="960"/>
      <c r="LF78" s="960"/>
      <c r="LG78" s="961"/>
      <c r="LH78" s="962"/>
      <c r="LI78" s="963"/>
      <c r="LJ78" s="961"/>
      <c r="LK78" s="962"/>
      <c r="LL78" s="962"/>
      <c r="LM78" s="459" t="s">
        <v>425</v>
      </c>
      <c r="LN78" s="482">
        <f>COUNTA(KU78:LL78)</f>
        <v>0</v>
      </c>
      <c r="LO78" s="939"/>
      <c r="LP78" s="1016"/>
    </row>
    <row r="79" spans="1:328" ht="15">
      <c r="R79" s="871"/>
      <c r="S79" s="231" t="s">
        <v>59</v>
      </c>
      <c r="T79" s="231" t="s">
        <v>73</v>
      </c>
      <c r="U79" s="102" t="s">
        <v>4</v>
      </c>
      <c r="V79" s="231" t="s">
        <v>59</v>
      </c>
      <c r="W79" s="231" t="s">
        <v>73</v>
      </c>
      <c r="X79" s="102" t="s">
        <v>4</v>
      </c>
      <c r="Y79" s="231" t="s">
        <v>59</v>
      </c>
      <c r="Z79" s="231" t="s">
        <v>73</v>
      </c>
      <c r="AA79" s="102" t="s">
        <v>4</v>
      </c>
      <c r="AB79" s="231" t="s">
        <v>59</v>
      </c>
      <c r="AC79" s="231" t="s">
        <v>73</v>
      </c>
      <c r="AD79" s="102" t="s">
        <v>4</v>
      </c>
      <c r="AE79" s="231" t="s">
        <v>59</v>
      </c>
      <c r="AF79" s="231" t="s">
        <v>73</v>
      </c>
      <c r="AG79" s="102" t="s">
        <v>4</v>
      </c>
      <c r="AH79" s="107" t="s">
        <v>59</v>
      </c>
      <c r="AI79" s="107" t="s">
        <v>73</v>
      </c>
      <c r="AJ79" s="471" t="s">
        <v>4</v>
      </c>
      <c r="AK79" s="1004">
        <v>62</v>
      </c>
      <c r="AL79" s="1002">
        <f t="shared" ref="AL79" si="116">(S80*T80*U80)+(V80*W80*X80)+(Y80*Z80*AA80)+(AB80*AC80*AD80)+(AE80*AF80*AG80)+(AH80*AI80*AJ80)</f>
        <v>5108.7999999999993</v>
      </c>
      <c r="AM79" s="940"/>
      <c r="AN79" s="855"/>
      <c r="AO79" s="118"/>
      <c r="AP79" s="874"/>
      <c r="AQ79" s="303" t="s">
        <v>59</v>
      </c>
      <c r="AR79" s="303" t="s">
        <v>73</v>
      </c>
      <c r="AS79" s="304" t="s">
        <v>4</v>
      </c>
      <c r="AT79" s="303" t="s">
        <v>59</v>
      </c>
      <c r="AU79" s="303" t="s">
        <v>73</v>
      </c>
      <c r="AV79" s="304" t="s">
        <v>4</v>
      </c>
      <c r="AW79" s="303" t="s">
        <v>59</v>
      </c>
      <c r="AX79" s="303" t="s">
        <v>73</v>
      </c>
      <c r="AY79" s="304" t="s">
        <v>4</v>
      </c>
      <c r="AZ79" s="303" t="s">
        <v>59</v>
      </c>
      <c r="BA79" s="303" t="s">
        <v>73</v>
      </c>
      <c r="BB79" s="304" t="s">
        <v>4</v>
      </c>
      <c r="BC79" s="303" t="s">
        <v>59</v>
      </c>
      <c r="BD79" s="303" t="s">
        <v>73</v>
      </c>
      <c r="BE79" s="304" t="s">
        <v>4</v>
      </c>
      <c r="BF79" s="107" t="s">
        <v>59</v>
      </c>
      <c r="BG79" s="107" t="s">
        <v>73</v>
      </c>
      <c r="BH79" s="471" t="s">
        <v>4</v>
      </c>
      <c r="BI79" s="1004">
        <v>50</v>
      </c>
      <c r="BJ79" s="1003">
        <f t="shared" si="100"/>
        <v>6048.3</v>
      </c>
      <c r="BK79" s="940"/>
      <c r="BL79" s="1016"/>
      <c r="BM79" s="118"/>
      <c r="BN79" s="874"/>
      <c r="BO79" s="303" t="s">
        <v>59</v>
      </c>
      <c r="BP79" s="303" t="s">
        <v>73</v>
      </c>
      <c r="BQ79" s="304" t="s">
        <v>4</v>
      </c>
      <c r="BR79" s="303" t="s">
        <v>59</v>
      </c>
      <c r="BS79" s="303" t="s">
        <v>73</v>
      </c>
      <c r="BT79" s="304" t="s">
        <v>4</v>
      </c>
      <c r="BU79" s="303" t="s">
        <v>59</v>
      </c>
      <c r="BV79" s="303" t="s">
        <v>73</v>
      </c>
      <c r="BW79" s="304" t="s">
        <v>4</v>
      </c>
      <c r="BX79" s="231" t="s">
        <v>59</v>
      </c>
      <c r="BY79" s="231" t="s">
        <v>73</v>
      </c>
      <c r="BZ79" s="102" t="s">
        <v>4</v>
      </c>
      <c r="CA79" s="303" t="s">
        <v>59</v>
      </c>
      <c r="CB79" s="303" t="s">
        <v>73</v>
      </c>
      <c r="CC79" s="304" t="s">
        <v>4</v>
      </c>
      <c r="CD79" s="107" t="s">
        <v>59</v>
      </c>
      <c r="CE79" s="107" t="s">
        <v>73</v>
      </c>
      <c r="CF79" s="471" t="s">
        <v>4</v>
      </c>
      <c r="CG79" s="1004">
        <f>57</f>
        <v>57</v>
      </c>
      <c r="CH79" s="1005">
        <f t="shared" ref="CH79" si="117">(BO80*BP80*BQ80)+(BR80*BS80*BT80)+(BU80*BV80*BW80)+(BX80*BY80*BZ80)+(CA80*CB80*CC80)+(CD80*CE80*CF80)</f>
        <v>6574.4000000000005</v>
      </c>
      <c r="CI79" s="940"/>
      <c r="CJ79" s="1016"/>
      <c r="CL79" s="1062"/>
      <c r="CM79" s="460" t="s">
        <v>59</v>
      </c>
      <c r="CN79" s="460" t="s">
        <v>73</v>
      </c>
      <c r="CO79" s="461" t="s">
        <v>4</v>
      </c>
      <c r="CP79" s="460" t="s">
        <v>59</v>
      </c>
      <c r="CQ79" s="460" t="s">
        <v>73</v>
      </c>
      <c r="CR79" s="461" t="s">
        <v>4</v>
      </c>
      <c r="CS79" s="460" t="s">
        <v>59</v>
      </c>
      <c r="CT79" s="460" t="s">
        <v>73</v>
      </c>
      <c r="CU79" s="461" t="s">
        <v>4</v>
      </c>
      <c r="CV79" s="460" t="s">
        <v>59</v>
      </c>
      <c r="CW79" s="460" t="s">
        <v>73</v>
      </c>
      <c r="CX79" s="461" t="s">
        <v>4</v>
      </c>
      <c r="CY79" s="460" t="s">
        <v>59</v>
      </c>
      <c r="CZ79" s="460" t="s">
        <v>73</v>
      </c>
      <c r="DA79" s="461" t="s">
        <v>4</v>
      </c>
      <c r="DB79" s="460" t="s">
        <v>59</v>
      </c>
      <c r="DC79" s="460" t="s">
        <v>73</v>
      </c>
      <c r="DD79" s="473" t="s">
        <v>4</v>
      </c>
      <c r="DE79" s="1004"/>
      <c r="DF79" s="1005">
        <f>(CM80*CN80*CO80)+(CP80*CQ80*CR80)+(CS80*CT80*CU80)+(CV80*CW80*CX80)+(CY80*CZ80*DA80)+(DB80*DC80*DD80)</f>
        <v>0</v>
      </c>
      <c r="DG79" s="940"/>
      <c r="DH79" s="1016"/>
      <c r="DJ79" s="1075"/>
      <c r="DK79" s="460" t="s">
        <v>59</v>
      </c>
      <c r="DL79" s="460" t="s">
        <v>73</v>
      </c>
      <c r="DM79" s="461" t="s">
        <v>4</v>
      </c>
      <c r="DN79" s="460" t="s">
        <v>59</v>
      </c>
      <c r="DO79" s="460" t="s">
        <v>73</v>
      </c>
      <c r="DP79" s="461" t="s">
        <v>4</v>
      </c>
      <c r="DQ79" s="460" t="s">
        <v>59</v>
      </c>
      <c r="DR79" s="460" t="s">
        <v>73</v>
      </c>
      <c r="DS79" s="461" t="s">
        <v>4</v>
      </c>
      <c r="DT79" s="460" t="s">
        <v>59</v>
      </c>
      <c r="DU79" s="460" t="s">
        <v>73</v>
      </c>
      <c r="DV79" s="461" t="s">
        <v>4</v>
      </c>
      <c r="DW79" s="460" t="s">
        <v>59</v>
      </c>
      <c r="DX79" s="460" t="s">
        <v>73</v>
      </c>
      <c r="DY79" s="461" t="s">
        <v>4</v>
      </c>
      <c r="DZ79" s="460" t="s">
        <v>59</v>
      </c>
      <c r="EA79" s="460" t="s">
        <v>73</v>
      </c>
      <c r="EB79" s="473" t="s">
        <v>4</v>
      </c>
      <c r="EC79" s="1004"/>
      <c r="ED79" s="1005">
        <f>(DK80*DL80*DM80)+(DN80*DO80*DP80)+(DQ80*DR80*DS80)+(DT80*DU80*DV80)+(DW80*DX80*DY80)+(DZ80*EA80*EB80)</f>
        <v>0</v>
      </c>
      <c r="EE79" s="940"/>
      <c r="EF79" s="1016"/>
      <c r="EH79" s="1049"/>
      <c r="EI79" s="460" t="s">
        <v>59</v>
      </c>
      <c r="EJ79" s="460" t="s">
        <v>73</v>
      </c>
      <c r="EK79" s="461" t="s">
        <v>4</v>
      </c>
      <c r="EL79" s="460" t="s">
        <v>59</v>
      </c>
      <c r="EM79" s="460" t="s">
        <v>73</v>
      </c>
      <c r="EN79" s="461" t="s">
        <v>4</v>
      </c>
      <c r="EO79" s="460" t="s">
        <v>59</v>
      </c>
      <c r="EP79" s="460" t="s">
        <v>73</v>
      </c>
      <c r="EQ79" s="461" t="s">
        <v>4</v>
      </c>
      <c r="ER79" s="460" t="s">
        <v>59</v>
      </c>
      <c r="ES79" s="460" t="s">
        <v>73</v>
      </c>
      <c r="ET79" s="461" t="s">
        <v>4</v>
      </c>
      <c r="EU79" s="460" t="s">
        <v>59</v>
      </c>
      <c r="EV79" s="460" t="s">
        <v>73</v>
      </c>
      <c r="EW79" s="461" t="s">
        <v>4</v>
      </c>
      <c r="EX79" s="460" t="s">
        <v>59</v>
      </c>
      <c r="EY79" s="460" t="s">
        <v>73</v>
      </c>
      <c r="EZ79" s="473" t="s">
        <v>4</v>
      </c>
      <c r="FA79" s="1004"/>
      <c r="FB79" s="1005">
        <f>(EI80*EJ80*EK80)+(EL80*EM80*EN80)+(EO80*EP80*EQ80)+(ER80*ES80*ET80)+(EU80*EV80*EW80)+(EX80*EY80*EZ80)</f>
        <v>0</v>
      </c>
      <c r="FC79" s="940"/>
      <c r="FD79" s="1016"/>
      <c r="FF79" s="1062"/>
      <c r="FG79" s="460" t="s">
        <v>59</v>
      </c>
      <c r="FH79" s="460" t="s">
        <v>73</v>
      </c>
      <c r="FI79" s="461" t="s">
        <v>4</v>
      </c>
      <c r="FJ79" s="460" t="s">
        <v>59</v>
      </c>
      <c r="FK79" s="460" t="s">
        <v>73</v>
      </c>
      <c r="FL79" s="461" t="s">
        <v>4</v>
      </c>
      <c r="FM79" s="460" t="s">
        <v>59</v>
      </c>
      <c r="FN79" s="460" t="s">
        <v>73</v>
      </c>
      <c r="FO79" s="461" t="s">
        <v>4</v>
      </c>
      <c r="FP79" s="460" t="s">
        <v>59</v>
      </c>
      <c r="FQ79" s="460" t="s">
        <v>73</v>
      </c>
      <c r="FR79" s="461" t="s">
        <v>4</v>
      </c>
      <c r="FS79" s="460" t="s">
        <v>59</v>
      </c>
      <c r="FT79" s="460" t="s">
        <v>73</v>
      </c>
      <c r="FU79" s="461" t="s">
        <v>4</v>
      </c>
      <c r="FV79" s="460" t="s">
        <v>59</v>
      </c>
      <c r="FW79" s="460" t="s">
        <v>73</v>
      </c>
      <c r="FX79" s="473" t="s">
        <v>4</v>
      </c>
      <c r="FY79" s="1004"/>
      <c r="FZ79" s="1005">
        <f>(FG80*FH80*FI80)+(FJ80*FK80*FL80)+(FM80*FN80*FO80)+(FP80*FQ80*FR80)+(FS80*FT80*FU80)+(FV80*FW80*FX80)</f>
        <v>0</v>
      </c>
      <c r="GA79" s="940"/>
      <c r="GB79" s="1016"/>
      <c r="GD79" s="1039"/>
      <c r="GE79" s="460" t="s">
        <v>59</v>
      </c>
      <c r="GF79" s="460" t="s">
        <v>73</v>
      </c>
      <c r="GG79" s="461" t="s">
        <v>4</v>
      </c>
      <c r="GH79" s="460" t="s">
        <v>59</v>
      </c>
      <c r="GI79" s="460" t="s">
        <v>73</v>
      </c>
      <c r="GJ79" s="461" t="s">
        <v>4</v>
      </c>
      <c r="GK79" s="460" t="s">
        <v>59</v>
      </c>
      <c r="GL79" s="460" t="s">
        <v>73</v>
      </c>
      <c r="GM79" s="461" t="s">
        <v>4</v>
      </c>
      <c r="GN79" s="460" t="s">
        <v>59</v>
      </c>
      <c r="GO79" s="460" t="s">
        <v>73</v>
      </c>
      <c r="GP79" s="461" t="s">
        <v>4</v>
      </c>
      <c r="GQ79" s="460" t="s">
        <v>59</v>
      </c>
      <c r="GR79" s="460" t="s">
        <v>73</v>
      </c>
      <c r="GS79" s="461" t="s">
        <v>4</v>
      </c>
      <c r="GT79" s="460" t="s">
        <v>59</v>
      </c>
      <c r="GU79" s="460" t="s">
        <v>73</v>
      </c>
      <c r="GV79" s="473" t="s">
        <v>4</v>
      </c>
      <c r="GW79" s="1004"/>
      <c r="GX79" s="1005">
        <f>(GE80*GF80*GG80)+(GH80*GI80*GJ80)+(GK80*GL80*GM80)+(GN80*GO80*GP80)+(GQ80*GR80*GS80)+(GT80*GU80*GV80)</f>
        <v>0</v>
      </c>
      <c r="GY79" s="940"/>
      <c r="GZ79" s="1016"/>
      <c r="HB79" s="1052"/>
      <c r="HC79" s="491" t="s">
        <v>59</v>
      </c>
      <c r="HD79" s="491" t="s">
        <v>73</v>
      </c>
      <c r="HE79" s="492" t="s">
        <v>4</v>
      </c>
      <c r="HF79" s="491" t="s">
        <v>59</v>
      </c>
      <c r="HG79" s="491" t="s">
        <v>73</v>
      </c>
      <c r="HH79" s="492" t="s">
        <v>4</v>
      </c>
      <c r="HI79" s="491" t="s">
        <v>59</v>
      </c>
      <c r="HJ79" s="491" t="s">
        <v>73</v>
      </c>
      <c r="HK79" s="492" t="s">
        <v>4</v>
      </c>
      <c r="HL79" s="491" t="s">
        <v>59</v>
      </c>
      <c r="HM79" s="491" t="s">
        <v>73</v>
      </c>
      <c r="HN79" s="492" t="s">
        <v>4</v>
      </c>
      <c r="HO79" s="491" t="s">
        <v>59</v>
      </c>
      <c r="HP79" s="491" t="s">
        <v>73</v>
      </c>
      <c r="HQ79" s="492" t="s">
        <v>4</v>
      </c>
      <c r="HR79" s="491" t="s">
        <v>59</v>
      </c>
      <c r="HS79" s="491" t="s">
        <v>73</v>
      </c>
      <c r="HT79" s="493" t="s">
        <v>4</v>
      </c>
      <c r="HU79" s="1071"/>
      <c r="HV79" s="1072">
        <f>(HC80*HD80*HE80)+(HF80*HG80*HH80)+(HI80*HJ80*HK80)+(HL80*HM80*HN80)+(HO80*HP80*HQ80)+(HR80*HS80*HT80)</f>
        <v>0</v>
      </c>
      <c r="HW79" s="1068"/>
      <c r="HX79" s="1070"/>
      <c r="HZ79" s="1065"/>
      <c r="IA79" s="460" t="s">
        <v>59</v>
      </c>
      <c r="IB79" s="460" t="s">
        <v>73</v>
      </c>
      <c r="IC79" s="461" t="s">
        <v>4</v>
      </c>
      <c r="ID79" s="460" t="s">
        <v>59</v>
      </c>
      <c r="IE79" s="460" t="s">
        <v>73</v>
      </c>
      <c r="IF79" s="461" t="s">
        <v>4</v>
      </c>
      <c r="IG79" s="460" t="s">
        <v>59</v>
      </c>
      <c r="IH79" s="460" t="s">
        <v>73</v>
      </c>
      <c r="II79" s="461" t="s">
        <v>4</v>
      </c>
      <c r="IJ79" s="460" t="s">
        <v>59</v>
      </c>
      <c r="IK79" s="460" t="s">
        <v>73</v>
      </c>
      <c r="IL79" s="461" t="s">
        <v>4</v>
      </c>
      <c r="IM79" s="460" t="s">
        <v>59</v>
      </c>
      <c r="IN79" s="460" t="s">
        <v>73</v>
      </c>
      <c r="IO79" s="461" t="s">
        <v>4</v>
      </c>
      <c r="IP79" s="460" t="s">
        <v>59</v>
      </c>
      <c r="IQ79" s="460" t="s">
        <v>73</v>
      </c>
      <c r="IR79" s="473" t="s">
        <v>4</v>
      </c>
      <c r="IS79" s="1004"/>
      <c r="IT79" s="1005">
        <f>(IA80*IB80*IC80)+(ID80*IE80*IF80)+(IG80*IH80*II80)+(IJ80*IK80*IL80)+(IM80*IN80*IO80)+(IP80*IQ80*IR80)</f>
        <v>0</v>
      </c>
      <c r="IU79" s="940"/>
      <c r="IV79" s="1016"/>
      <c r="IX79" s="1042"/>
      <c r="IY79" s="460" t="s">
        <v>59</v>
      </c>
      <c r="IZ79" s="460" t="s">
        <v>73</v>
      </c>
      <c r="JA79" s="461" t="s">
        <v>4</v>
      </c>
      <c r="JB79" s="460" t="s">
        <v>59</v>
      </c>
      <c r="JC79" s="460" t="s">
        <v>73</v>
      </c>
      <c r="JD79" s="461" t="s">
        <v>4</v>
      </c>
      <c r="JE79" s="460" t="s">
        <v>59</v>
      </c>
      <c r="JF79" s="460" t="s">
        <v>73</v>
      </c>
      <c r="JG79" s="461" t="s">
        <v>4</v>
      </c>
      <c r="JH79" s="460" t="s">
        <v>59</v>
      </c>
      <c r="JI79" s="460" t="s">
        <v>73</v>
      </c>
      <c r="JJ79" s="461" t="s">
        <v>4</v>
      </c>
      <c r="JK79" s="460" t="s">
        <v>59</v>
      </c>
      <c r="JL79" s="460" t="s">
        <v>73</v>
      </c>
      <c r="JM79" s="461" t="s">
        <v>4</v>
      </c>
      <c r="JN79" s="460" t="s">
        <v>59</v>
      </c>
      <c r="JO79" s="460" t="s">
        <v>73</v>
      </c>
      <c r="JP79" s="473" t="s">
        <v>4</v>
      </c>
      <c r="JQ79" s="1004"/>
      <c r="JR79" s="1005">
        <f>(IY80*IZ80*JA80)+(JB80*JC80*JD80)+(JE80*JF80*JG80)+(JH80*JI80*JJ80)+(JK80*JL80*JM80)+(JN80*JO80*JP80)</f>
        <v>0</v>
      </c>
      <c r="JS79" s="940"/>
      <c r="JT79" s="1016"/>
      <c r="JV79" s="1052"/>
      <c r="JW79" s="491" t="s">
        <v>59</v>
      </c>
      <c r="JX79" s="491" t="s">
        <v>73</v>
      </c>
      <c r="JY79" s="492" t="s">
        <v>4</v>
      </c>
      <c r="JZ79" s="491" t="s">
        <v>59</v>
      </c>
      <c r="KA79" s="491" t="s">
        <v>73</v>
      </c>
      <c r="KB79" s="492" t="s">
        <v>4</v>
      </c>
      <c r="KC79" s="491" t="s">
        <v>59</v>
      </c>
      <c r="KD79" s="491" t="s">
        <v>73</v>
      </c>
      <c r="KE79" s="492" t="s">
        <v>4</v>
      </c>
      <c r="KF79" s="491" t="s">
        <v>59</v>
      </c>
      <c r="KG79" s="491" t="s">
        <v>73</v>
      </c>
      <c r="KH79" s="492" t="s">
        <v>4</v>
      </c>
      <c r="KI79" s="491" t="s">
        <v>59</v>
      </c>
      <c r="KJ79" s="491" t="s">
        <v>73</v>
      </c>
      <c r="KK79" s="492" t="s">
        <v>4</v>
      </c>
      <c r="KL79" s="491" t="s">
        <v>59</v>
      </c>
      <c r="KM79" s="491" t="s">
        <v>73</v>
      </c>
      <c r="KN79" s="493" t="s">
        <v>4</v>
      </c>
      <c r="KO79" s="1071"/>
      <c r="KP79" s="1072">
        <f>(JW80*JX80*JY80)+(JZ80*KA80*KB80)+(KC80*KD80*KE80)+(KF80*KG80*KH80)+(KI80*KJ80*KK80)+(KL80*KM80*KN80)</f>
        <v>0</v>
      </c>
      <c r="KQ79" s="1068"/>
      <c r="KR79" s="1070"/>
      <c r="KT79" s="1075"/>
      <c r="KU79" s="460" t="s">
        <v>59</v>
      </c>
      <c r="KV79" s="460" t="s">
        <v>73</v>
      </c>
      <c r="KW79" s="461" t="s">
        <v>4</v>
      </c>
      <c r="KX79" s="460" t="s">
        <v>59</v>
      </c>
      <c r="KY79" s="460" t="s">
        <v>73</v>
      </c>
      <c r="KZ79" s="461" t="s">
        <v>4</v>
      </c>
      <c r="LA79" s="460" t="s">
        <v>59</v>
      </c>
      <c r="LB79" s="460" t="s">
        <v>73</v>
      </c>
      <c r="LC79" s="461" t="s">
        <v>4</v>
      </c>
      <c r="LD79" s="460" t="s">
        <v>59</v>
      </c>
      <c r="LE79" s="460" t="s">
        <v>73</v>
      </c>
      <c r="LF79" s="461" t="s">
        <v>4</v>
      </c>
      <c r="LG79" s="460" t="s">
        <v>59</v>
      </c>
      <c r="LH79" s="460" t="s">
        <v>73</v>
      </c>
      <c r="LI79" s="461" t="s">
        <v>4</v>
      </c>
      <c r="LJ79" s="460" t="s">
        <v>59</v>
      </c>
      <c r="LK79" s="460" t="s">
        <v>73</v>
      </c>
      <c r="LL79" s="473" t="s">
        <v>4</v>
      </c>
      <c r="LM79" s="1004"/>
      <c r="LN79" s="1005">
        <f>(KU80*KV80*KW80)+(KX80*KY80*KZ80)+(LA80*LB80*LC80)+(LD80*LE80*LF80)+(LG80*LH80*LI80)+(LJ80*LK80*LL80)</f>
        <v>0</v>
      </c>
      <c r="LO79" s="940"/>
      <c r="LP79" s="1016"/>
    </row>
    <row r="80" spans="1:328" ht="15">
      <c r="R80" s="872"/>
      <c r="S80" s="229">
        <v>4</v>
      </c>
      <c r="T80" s="229">
        <f>((10*1)+(8*1)+(6*2))/4</f>
        <v>7.5</v>
      </c>
      <c r="U80" s="229">
        <f>((36*1)+(68*3))/4</f>
        <v>60</v>
      </c>
      <c r="V80" s="229">
        <v>4</v>
      </c>
      <c r="W80" s="126">
        <v>12</v>
      </c>
      <c r="X80" s="126">
        <f>((18.1*1)+(34*3))/4</f>
        <v>30.024999999999999</v>
      </c>
      <c r="Y80" s="229">
        <v>4</v>
      </c>
      <c r="Z80" s="229">
        <f>((12*1)+(10*3))/4</f>
        <v>10.5</v>
      </c>
      <c r="AA80" s="229">
        <f>((11.3*1)+(24.9*3))/4</f>
        <v>21.499999999999996</v>
      </c>
      <c r="AB80" s="229">
        <v>4</v>
      </c>
      <c r="AC80" s="229">
        <f>((16*1)+(8*3))/4</f>
        <v>10</v>
      </c>
      <c r="AD80" s="229">
        <f>((2.5*1)+(7.5*3))/4</f>
        <v>6.25</v>
      </c>
      <c r="AE80" s="229">
        <v>4</v>
      </c>
      <c r="AF80" s="229">
        <f>((12*1)+(8*3))/4</f>
        <v>9</v>
      </c>
      <c r="AG80" s="229">
        <f>((11.3*1)+(22.7*3))/4</f>
        <v>19.849999999999998</v>
      </c>
      <c r="AH80" s="233"/>
      <c r="AI80" s="233"/>
      <c r="AJ80" s="472"/>
      <c r="AK80" s="1007"/>
      <c r="AL80" s="1002"/>
      <c r="AM80" s="941"/>
      <c r="AN80" s="855"/>
      <c r="AO80" s="118"/>
      <c r="AP80" s="875"/>
      <c r="AQ80" s="305">
        <v>4</v>
      </c>
      <c r="AR80" s="305">
        <f>((12*1)+(10*3))/4</f>
        <v>10.5</v>
      </c>
      <c r="AS80" s="305">
        <f>((27*1)+(59*3))/4</f>
        <v>51</v>
      </c>
      <c r="AT80" s="305">
        <v>4</v>
      </c>
      <c r="AU80" s="305">
        <f>((12*1)+(10*3))/4</f>
        <v>10.5</v>
      </c>
      <c r="AV80" s="305">
        <f>((11.3*1)+(20.1*3))/4</f>
        <v>17.900000000000002</v>
      </c>
      <c r="AW80" s="305">
        <v>4</v>
      </c>
      <c r="AX80" s="305">
        <f>((12*3)+(8*1))/4</f>
        <v>11</v>
      </c>
      <c r="AY80" s="306">
        <f>((15.9*1)+(31.8*2)+(34*1))/4</f>
        <v>28.375</v>
      </c>
      <c r="AZ80" s="305">
        <v>4</v>
      </c>
      <c r="BA80" s="305">
        <f>((12*1)+(16*3))/4</f>
        <v>15</v>
      </c>
      <c r="BB80" s="305">
        <f>((15.9*1)+(34*3))/4</f>
        <v>29.475000000000001</v>
      </c>
      <c r="BC80" s="305">
        <v>2</v>
      </c>
      <c r="BD80" s="306">
        <f>((12*1)+(8*1))/4</f>
        <v>5</v>
      </c>
      <c r="BE80" s="306">
        <f>((10*1)+(17.5*1))/2</f>
        <v>13.75</v>
      </c>
      <c r="BF80" s="233"/>
      <c r="BG80" s="233"/>
      <c r="BH80" s="472"/>
      <c r="BI80" s="1007"/>
      <c r="BJ80" s="1003"/>
      <c r="BK80" s="941"/>
      <c r="BL80" s="1016"/>
      <c r="BM80" s="118"/>
      <c r="BN80" s="875"/>
      <c r="BO80" s="305">
        <v>4</v>
      </c>
      <c r="BP80" s="305">
        <f>((12*1)+(8*3))/4</f>
        <v>9</v>
      </c>
      <c r="BQ80" s="305">
        <f>((32*1)+(63*3))/4</f>
        <v>55.25</v>
      </c>
      <c r="BR80" s="305">
        <v>4</v>
      </c>
      <c r="BS80" s="306">
        <f>((12*1)+(8*3))/4</f>
        <v>9</v>
      </c>
      <c r="BT80" s="305">
        <f>((11.3*1)+(22.7*3))/4</f>
        <v>19.849999999999998</v>
      </c>
      <c r="BU80" s="305">
        <v>4</v>
      </c>
      <c r="BV80" s="305">
        <f>((12*1)+(16*3))/4</f>
        <v>15</v>
      </c>
      <c r="BW80" s="305">
        <f>((15.9*1)+(34*3))/4</f>
        <v>29.475000000000001</v>
      </c>
      <c r="BX80" s="229">
        <v>4</v>
      </c>
      <c r="BY80" s="229">
        <f>((12*4))/4</f>
        <v>12</v>
      </c>
      <c r="BZ80" s="229">
        <f>((15.9*1)+(34*3))/4</f>
        <v>29.475000000000001</v>
      </c>
      <c r="CA80" s="305">
        <v>4</v>
      </c>
      <c r="CB80" s="305">
        <f>((12*2)+(10*2))/4</f>
        <v>11</v>
      </c>
      <c r="CC80" s="305">
        <f>((10*1)+(17.5*3))/4</f>
        <v>15.625</v>
      </c>
      <c r="CD80" s="233"/>
      <c r="CE80" s="233"/>
      <c r="CF80" s="477"/>
      <c r="CG80" s="1007"/>
      <c r="CH80" s="1006"/>
      <c r="CI80" s="941"/>
      <c r="CJ80" s="1016"/>
      <c r="CL80" s="1063"/>
      <c r="CM80" s="462"/>
      <c r="CN80" s="462"/>
      <c r="CO80" s="462"/>
      <c r="CP80" s="462"/>
      <c r="CQ80" s="462"/>
      <c r="CR80" s="462"/>
      <c r="CS80" s="462"/>
      <c r="CT80" s="462"/>
      <c r="CU80" s="462"/>
      <c r="CV80" s="462"/>
      <c r="CW80" s="462"/>
      <c r="CX80" s="462"/>
      <c r="CY80" s="462"/>
      <c r="CZ80" s="462"/>
      <c r="DA80" s="462"/>
      <c r="DB80" s="462"/>
      <c r="DC80" s="462"/>
      <c r="DD80" s="474"/>
      <c r="DE80" s="1007"/>
      <c r="DF80" s="1006"/>
      <c r="DG80" s="941"/>
      <c r="DH80" s="1016"/>
      <c r="DJ80" s="1076"/>
      <c r="DK80" s="462"/>
      <c r="DL80" s="462"/>
      <c r="DM80" s="462"/>
      <c r="DN80" s="462"/>
      <c r="DO80" s="462"/>
      <c r="DP80" s="462"/>
      <c r="DQ80" s="462"/>
      <c r="DR80" s="462"/>
      <c r="DS80" s="462"/>
      <c r="DT80" s="462"/>
      <c r="DU80" s="462"/>
      <c r="DV80" s="462"/>
      <c r="DW80" s="462"/>
      <c r="DX80" s="462"/>
      <c r="DY80" s="462"/>
      <c r="DZ80" s="462"/>
      <c r="EA80" s="462"/>
      <c r="EB80" s="474"/>
      <c r="EC80" s="1007"/>
      <c r="ED80" s="1006"/>
      <c r="EE80" s="941"/>
      <c r="EF80" s="1016"/>
      <c r="EH80" s="1050"/>
      <c r="EI80" s="462"/>
      <c r="EJ80" s="462"/>
      <c r="EK80" s="462"/>
      <c r="EL80" s="462"/>
      <c r="EM80" s="462"/>
      <c r="EN80" s="462"/>
      <c r="EO80" s="462"/>
      <c r="EP80" s="462"/>
      <c r="EQ80" s="462"/>
      <c r="ER80" s="462"/>
      <c r="ES80" s="462"/>
      <c r="ET80" s="462"/>
      <c r="EU80" s="462"/>
      <c r="EV80" s="462"/>
      <c r="EW80" s="462"/>
      <c r="EX80" s="462"/>
      <c r="EY80" s="462"/>
      <c r="EZ80" s="474"/>
      <c r="FA80" s="1007"/>
      <c r="FB80" s="1006"/>
      <c r="FC80" s="941"/>
      <c r="FD80" s="1016"/>
      <c r="FF80" s="1063"/>
      <c r="FG80" s="462"/>
      <c r="FH80" s="462"/>
      <c r="FI80" s="462"/>
      <c r="FJ80" s="462"/>
      <c r="FK80" s="462"/>
      <c r="FL80" s="462"/>
      <c r="FM80" s="462"/>
      <c r="FN80" s="462"/>
      <c r="FO80" s="462"/>
      <c r="FP80" s="462"/>
      <c r="FQ80" s="462"/>
      <c r="FR80" s="462"/>
      <c r="FS80" s="462"/>
      <c r="FT80" s="462"/>
      <c r="FU80" s="462"/>
      <c r="FV80" s="462"/>
      <c r="FW80" s="462"/>
      <c r="FX80" s="474"/>
      <c r="FY80" s="1007"/>
      <c r="FZ80" s="1006"/>
      <c r="GA80" s="941"/>
      <c r="GB80" s="1016"/>
      <c r="GD80" s="1040"/>
      <c r="GE80" s="462"/>
      <c r="GF80" s="462"/>
      <c r="GG80" s="462"/>
      <c r="GH80" s="462"/>
      <c r="GI80" s="462"/>
      <c r="GJ80" s="462"/>
      <c r="GK80" s="462"/>
      <c r="GL80" s="462"/>
      <c r="GM80" s="462"/>
      <c r="GN80" s="462"/>
      <c r="GO80" s="462"/>
      <c r="GP80" s="462"/>
      <c r="GQ80" s="462"/>
      <c r="GR80" s="462"/>
      <c r="GS80" s="462"/>
      <c r="GT80" s="462"/>
      <c r="GU80" s="462"/>
      <c r="GV80" s="474"/>
      <c r="GW80" s="1007"/>
      <c r="GX80" s="1006"/>
      <c r="GY80" s="941"/>
      <c r="GZ80" s="1016"/>
      <c r="HB80" s="1053"/>
      <c r="HC80" s="494"/>
      <c r="HD80" s="494"/>
      <c r="HE80" s="494"/>
      <c r="HF80" s="494"/>
      <c r="HG80" s="494"/>
      <c r="HH80" s="494"/>
      <c r="HI80" s="494"/>
      <c r="HJ80" s="494"/>
      <c r="HK80" s="494"/>
      <c r="HL80" s="494"/>
      <c r="HM80" s="494"/>
      <c r="HN80" s="494"/>
      <c r="HO80" s="494"/>
      <c r="HP80" s="494"/>
      <c r="HQ80" s="494"/>
      <c r="HR80" s="494"/>
      <c r="HS80" s="494"/>
      <c r="HT80" s="495"/>
      <c r="HU80" s="1081"/>
      <c r="HV80" s="1073"/>
      <c r="HW80" s="1069"/>
      <c r="HX80" s="1070"/>
      <c r="HZ80" s="1066"/>
      <c r="IA80" s="462"/>
      <c r="IB80" s="462"/>
      <c r="IC80" s="462"/>
      <c r="ID80" s="462"/>
      <c r="IE80" s="462"/>
      <c r="IF80" s="462"/>
      <c r="IG80" s="462"/>
      <c r="IH80" s="462"/>
      <c r="II80" s="462"/>
      <c r="IJ80" s="462"/>
      <c r="IK80" s="462"/>
      <c r="IL80" s="462"/>
      <c r="IM80" s="462"/>
      <c r="IN80" s="462"/>
      <c r="IO80" s="462"/>
      <c r="IP80" s="462"/>
      <c r="IQ80" s="462"/>
      <c r="IR80" s="474"/>
      <c r="IS80" s="1007"/>
      <c r="IT80" s="1006"/>
      <c r="IU80" s="941"/>
      <c r="IV80" s="1016"/>
      <c r="IX80" s="1043"/>
      <c r="IY80" s="462"/>
      <c r="IZ80" s="462"/>
      <c r="JA80" s="462"/>
      <c r="JB80" s="462"/>
      <c r="JC80" s="462"/>
      <c r="JD80" s="462"/>
      <c r="JE80" s="462"/>
      <c r="JF80" s="462"/>
      <c r="JG80" s="462"/>
      <c r="JH80" s="462"/>
      <c r="JI80" s="462"/>
      <c r="JJ80" s="462"/>
      <c r="JK80" s="462"/>
      <c r="JL80" s="462"/>
      <c r="JM80" s="462"/>
      <c r="JN80" s="462"/>
      <c r="JO80" s="462"/>
      <c r="JP80" s="474"/>
      <c r="JQ80" s="1007"/>
      <c r="JR80" s="1006"/>
      <c r="JS80" s="941"/>
      <c r="JT80" s="1016"/>
      <c r="JV80" s="1053"/>
      <c r="JW80" s="494"/>
      <c r="JX80" s="494"/>
      <c r="JY80" s="494"/>
      <c r="JZ80" s="494"/>
      <c r="KA80" s="494"/>
      <c r="KB80" s="494"/>
      <c r="KC80" s="494"/>
      <c r="KD80" s="494"/>
      <c r="KE80" s="494"/>
      <c r="KF80" s="494"/>
      <c r="KG80" s="494"/>
      <c r="KH80" s="494"/>
      <c r="KI80" s="494"/>
      <c r="KJ80" s="494"/>
      <c r="KK80" s="494"/>
      <c r="KL80" s="494"/>
      <c r="KM80" s="494"/>
      <c r="KN80" s="495"/>
      <c r="KO80" s="1081"/>
      <c r="KP80" s="1073"/>
      <c r="KQ80" s="1069"/>
      <c r="KR80" s="1070"/>
      <c r="KT80" s="1076"/>
      <c r="KU80" s="462"/>
      <c r="KV80" s="462"/>
      <c r="KW80" s="462"/>
      <c r="KX80" s="462"/>
      <c r="KY80" s="462"/>
      <c r="KZ80" s="462"/>
      <c r="LA80" s="462"/>
      <c r="LB80" s="462"/>
      <c r="LC80" s="462"/>
      <c r="LD80" s="462"/>
      <c r="LE80" s="462"/>
      <c r="LF80" s="462"/>
      <c r="LG80" s="462"/>
      <c r="LH80" s="462"/>
      <c r="LI80" s="462"/>
      <c r="LJ80" s="462"/>
      <c r="LK80" s="462"/>
      <c r="LL80" s="474"/>
      <c r="LM80" s="1007"/>
      <c r="LN80" s="1006"/>
      <c r="LO80" s="941"/>
      <c r="LP80" s="1016"/>
    </row>
    <row r="81" spans="18:328" ht="15">
      <c r="R81" s="856">
        <v>46049</v>
      </c>
      <c r="S81" s="848" t="s">
        <v>70</v>
      </c>
      <c r="T81" s="848"/>
      <c r="U81" s="848"/>
      <c r="V81" s="859"/>
      <c r="W81" s="859"/>
      <c r="X81" s="859"/>
      <c r="Y81" s="834"/>
      <c r="Z81" s="835"/>
      <c r="AA81" s="836"/>
      <c r="AB81" s="867"/>
      <c r="AC81" s="868"/>
      <c r="AD81" s="869"/>
      <c r="AE81" s="834"/>
      <c r="AF81" s="835"/>
      <c r="AG81" s="836"/>
      <c r="AH81" s="834"/>
      <c r="AI81" s="835"/>
      <c r="AJ81" s="835"/>
      <c r="AK81" s="459" t="s">
        <v>425</v>
      </c>
      <c r="AL81" s="1">
        <f t="shared" ref="AL81" si="118">COUNTA(S81:AJ81)</f>
        <v>1</v>
      </c>
      <c r="AM81" s="939"/>
      <c r="AN81" s="855">
        <v>77.2</v>
      </c>
      <c r="AO81" s="118"/>
      <c r="AP81" s="876">
        <v>46080</v>
      </c>
      <c r="AQ81" s="965" t="s">
        <v>379</v>
      </c>
      <c r="AR81" s="965"/>
      <c r="AS81" s="965"/>
      <c r="AT81" s="848" t="s">
        <v>68</v>
      </c>
      <c r="AU81" s="848"/>
      <c r="AV81" s="848"/>
      <c r="AW81" s="848" t="s">
        <v>380</v>
      </c>
      <c r="AX81" s="848"/>
      <c r="AY81" s="848"/>
      <c r="AZ81" s="848" t="s">
        <v>391</v>
      </c>
      <c r="BA81" s="848"/>
      <c r="BB81" s="848"/>
      <c r="BC81" s="897" t="s">
        <v>617</v>
      </c>
      <c r="BD81" s="898"/>
      <c r="BE81" s="899"/>
      <c r="BF81" s="834"/>
      <c r="BG81" s="835"/>
      <c r="BH81" s="835"/>
      <c r="BI81" s="459" t="s">
        <v>425</v>
      </c>
      <c r="BJ81" s="482">
        <f t="shared" si="97"/>
        <v>5</v>
      </c>
      <c r="BK81" s="939"/>
      <c r="BL81" s="1016">
        <v>78.7</v>
      </c>
      <c r="BM81" s="118"/>
      <c r="BN81" s="876">
        <v>46108</v>
      </c>
      <c r="BO81" s="890" t="s">
        <v>379</v>
      </c>
      <c r="BP81" s="890"/>
      <c r="BQ81" s="890"/>
      <c r="BR81" s="848" t="s">
        <v>68</v>
      </c>
      <c r="BS81" s="848"/>
      <c r="BT81" s="848"/>
      <c r="BU81" s="890" t="s">
        <v>789</v>
      </c>
      <c r="BV81" s="890"/>
      <c r="BW81" s="890"/>
      <c r="BX81" s="882" t="s">
        <v>391</v>
      </c>
      <c r="BY81" s="883"/>
      <c r="BZ81" s="884"/>
      <c r="CA81" s="897" t="s">
        <v>617</v>
      </c>
      <c r="CB81" s="898"/>
      <c r="CC81" s="899"/>
      <c r="CD81" s="834"/>
      <c r="CE81" s="835"/>
      <c r="CF81" s="835"/>
      <c r="CG81" s="459" t="s">
        <v>425</v>
      </c>
      <c r="CH81" s="482">
        <f t="shared" ref="CH81" si="119">COUNTA(BO81:CF81)</f>
        <v>5</v>
      </c>
      <c r="CI81" s="939">
        <v>7</v>
      </c>
      <c r="CJ81" s="1016">
        <v>78.3</v>
      </c>
      <c r="CL81" s="1064">
        <v>46139</v>
      </c>
      <c r="CM81" s="960"/>
      <c r="CN81" s="960"/>
      <c r="CO81" s="960"/>
      <c r="CP81" s="960"/>
      <c r="CQ81" s="960"/>
      <c r="CR81" s="960"/>
      <c r="CS81" s="960"/>
      <c r="CT81" s="960"/>
      <c r="CU81" s="960"/>
      <c r="CV81" s="960"/>
      <c r="CW81" s="960"/>
      <c r="CX81" s="960"/>
      <c r="CY81" s="961"/>
      <c r="CZ81" s="962"/>
      <c r="DA81" s="963"/>
      <c r="DB81" s="961"/>
      <c r="DC81" s="962"/>
      <c r="DD81" s="962"/>
      <c r="DE81" s="459" t="s">
        <v>425</v>
      </c>
      <c r="DF81" s="482">
        <f>COUNTA(CM81:DD81)</f>
        <v>0</v>
      </c>
      <c r="DG81" s="939"/>
      <c r="DH81" s="1016"/>
      <c r="DJ81" s="1038">
        <v>46169</v>
      </c>
      <c r="DK81" s="960"/>
      <c r="DL81" s="960"/>
      <c r="DM81" s="960"/>
      <c r="DN81" s="960"/>
      <c r="DO81" s="960"/>
      <c r="DP81" s="960"/>
      <c r="DQ81" s="960"/>
      <c r="DR81" s="960"/>
      <c r="DS81" s="960"/>
      <c r="DT81" s="960"/>
      <c r="DU81" s="960"/>
      <c r="DV81" s="960"/>
      <c r="DW81" s="961"/>
      <c r="DX81" s="962"/>
      <c r="DY81" s="963"/>
      <c r="DZ81" s="961"/>
      <c r="EA81" s="962"/>
      <c r="EB81" s="962"/>
      <c r="EC81" s="459" t="s">
        <v>425</v>
      </c>
      <c r="ED81" s="482">
        <f>COUNTA(DK81:EB81)</f>
        <v>0</v>
      </c>
      <c r="EE81" s="939"/>
      <c r="EF81" s="1016"/>
      <c r="EH81" s="1051">
        <v>46200</v>
      </c>
      <c r="EI81" s="1023"/>
      <c r="EJ81" s="1023"/>
      <c r="EK81" s="1023"/>
      <c r="EL81" s="1023"/>
      <c r="EM81" s="1023"/>
      <c r="EN81" s="1023"/>
      <c r="EO81" s="1023"/>
      <c r="EP81" s="1023"/>
      <c r="EQ81" s="1023"/>
      <c r="ER81" s="1023"/>
      <c r="ES81" s="1023"/>
      <c r="ET81" s="1023"/>
      <c r="EU81" s="1021"/>
      <c r="EV81" s="1022"/>
      <c r="EW81" s="1024"/>
      <c r="EX81" s="1021"/>
      <c r="EY81" s="1022"/>
      <c r="EZ81" s="1022"/>
      <c r="FA81" s="489" t="s">
        <v>425</v>
      </c>
      <c r="FB81" s="496">
        <f>COUNTA(EI81:EZ81)</f>
        <v>0</v>
      </c>
      <c r="FC81" s="1067"/>
      <c r="FD81" s="1070"/>
      <c r="FF81" s="1064">
        <v>46230</v>
      </c>
      <c r="FG81" s="960"/>
      <c r="FH81" s="960"/>
      <c r="FI81" s="960"/>
      <c r="FJ81" s="960"/>
      <c r="FK81" s="960"/>
      <c r="FL81" s="960"/>
      <c r="FM81" s="960"/>
      <c r="FN81" s="960"/>
      <c r="FO81" s="960"/>
      <c r="FP81" s="960"/>
      <c r="FQ81" s="960"/>
      <c r="FR81" s="960"/>
      <c r="FS81" s="961"/>
      <c r="FT81" s="962"/>
      <c r="FU81" s="963"/>
      <c r="FV81" s="961"/>
      <c r="FW81" s="962"/>
      <c r="FX81" s="962"/>
      <c r="FY81" s="459" t="s">
        <v>425</v>
      </c>
      <c r="FZ81" s="482">
        <f>COUNTA(FG81:FX81)</f>
        <v>0</v>
      </c>
      <c r="GA81" s="939"/>
      <c r="GB81" s="1016"/>
      <c r="GD81" s="1041">
        <v>46261</v>
      </c>
      <c r="GE81" s="960"/>
      <c r="GF81" s="960"/>
      <c r="GG81" s="960"/>
      <c r="GH81" s="960"/>
      <c r="GI81" s="960"/>
      <c r="GJ81" s="960"/>
      <c r="GK81" s="960"/>
      <c r="GL81" s="960"/>
      <c r="GM81" s="960"/>
      <c r="GN81" s="960"/>
      <c r="GO81" s="960"/>
      <c r="GP81" s="960"/>
      <c r="GQ81" s="961"/>
      <c r="GR81" s="962"/>
      <c r="GS81" s="963"/>
      <c r="GT81" s="961"/>
      <c r="GU81" s="962"/>
      <c r="GV81" s="962"/>
      <c r="GW81" s="459" t="s">
        <v>425</v>
      </c>
      <c r="GX81" s="482">
        <f>COUNTA(GE81:GV81)</f>
        <v>0</v>
      </c>
      <c r="GY81" s="939"/>
      <c r="GZ81" s="1016"/>
      <c r="HB81" s="1061">
        <v>46292</v>
      </c>
      <c r="HC81" s="960"/>
      <c r="HD81" s="960"/>
      <c r="HE81" s="960"/>
      <c r="HF81" s="960"/>
      <c r="HG81" s="960"/>
      <c r="HH81" s="960"/>
      <c r="HI81" s="960"/>
      <c r="HJ81" s="960"/>
      <c r="HK81" s="960"/>
      <c r="HL81" s="960"/>
      <c r="HM81" s="960"/>
      <c r="HN81" s="960"/>
      <c r="HO81" s="961"/>
      <c r="HP81" s="962"/>
      <c r="HQ81" s="963"/>
      <c r="HR81" s="961"/>
      <c r="HS81" s="962"/>
      <c r="HT81" s="962"/>
      <c r="HU81" s="459" t="s">
        <v>425</v>
      </c>
      <c r="HV81" s="482">
        <f>COUNTA(HC81:HT81)</f>
        <v>0</v>
      </c>
      <c r="HW81" s="939"/>
      <c r="HX81" s="1016"/>
      <c r="HZ81" s="1074">
        <v>46322</v>
      </c>
      <c r="IA81" s="960"/>
      <c r="IB81" s="960"/>
      <c r="IC81" s="960"/>
      <c r="ID81" s="960"/>
      <c r="IE81" s="960"/>
      <c r="IF81" s="960"/>
      <c r="IG81" s="960"/>
      <c r="IH81" s="960"/>
      <c r="II81" s="960"/>
      <c r="IJ81" s="960"/>
      <c r="IK81" s="960"/>
      <c r="IL81" s="960"/>
      <c r="IM81" s="961"/>
      <c r="IN81" s="962"/>
      <c r="IO81" s="963"/>
      <c r="IP81" s="961"/>
      <c r="IQ81" s="962"/>
      <c r="IR81" s="962"/>
      <c r="IS81" s="459" t="s">
        <v>425</v>
      </c>
      <c r="IT81" s="482">
        <f>COUNTA(IA81:IR81)</f>
        <v>0</v>
      </c>
      <c r="IU81" s="939"/>
      <c r="IV81" s="1016"/>
      <c r="IX81" s="1048">
        <v>46353</v>
      </c>
      <c r="IY81" s="960"/>
      <c r="IZ81" s="960"/>
      <c r="JA81" s="960"/>
      <c r="JB81" s="960"/>
      <c r="JC81" s="960"/>
      <c r="JD81" s="960"/>
      <c r="JE81" s="960"/>
      <c r="JF81" s="960"/>
      <c r="JG81" s="960"/>
      <c r="JH81" s="960"/>
      <c r="JI81" s="960"/>
      <c r="JJ81" s="960"/>
      <c r="JK81" s="961"/>
      <c r="JL81" s="962"/>
      <c r="JM81" s="963"/>
      <c r="JN81" s="961"/>
      <c r="JO81" s="962"/>
      <c r="JP81" s="962"/>
      <c r="JQ81" s="459" t="s">
        <v>425</v>
      </c>
      <c r="JR81" s="482">
        <f>COUNTA(IY81:JP81)</f>
        <v>0</v>
      </c>
      <c r="JS81" s="939"/>
      <c r="JT81" s="1016"/>
      <c r="JV81" s="1061">
        <v>46383</v>
      </c>
      <c r="JW81" s="960"/>
      <c r="JX81" s="960"/>
      <c r="JY81" s="960"/>
      <c r="JZ81" s="960"/>
      <c r="KA81" s="960"/>
      <c r="KB81" s="960"/>
      <c r="KC81" s="960"/>
      <c r="KD81" s="960"/>
      <c r="KE81" s="960"/>
      <c r="KF81" s="960"/>
      <c r="KG81" s="960"/>
      <c r="KH81" s="960"/>
      <c r="KI81" s="961"/>
      <c r="KJ81" s="962"/>
      <c r="KK81" s="963"/>
      <c r="KL81" s="961"/>
      <c r="KM81" s="962"/>
      <c r="KN81" s="962"/>
      <c r="KO81" s="459" t="s">
        <v>425</v>
      </c>
      <c r="KP81" s="482">
        <f>COUNTA(JW81:KN81)</f>
        <v>0</v>
      </c>
      <c r="KQ81" s="939"/>
      <c r="KR81" s="1016"/>
      <c r="KT81" s="1038">
        <v>46414</v>
      </c>
      <c r="KU81" s="960"/>
      <c r="KV81" s="960"/>
      <c r="KW81" s="960"/>
      <c r="KX81" s="960"/>
      <c r="KY81" s="960"/>
      <c r="KZ81" s="960"/>
      <c r="LA81" s="960"/>
      <c r="LB81" s="960"/>
      <c r="LC81" s="960"/>
      <c r="LD81" s="960"/>
      <c r="LE81" s="960"/>
      <c r="LF81" s="960"/>
      <c r="LG81" s="961"/>
      <c r="LH81" s="962"/>
      <c r="LI81" s="963"/>
      <c r="LJ81" s="961"/>
      <c r="LK81" s="962"/>
      <c r="LL81" s="962"/>
      <c r="LM81" s="459" t="s">
        <v>425</v>
      </c>
      <c r="LN81" s="482">
        <f>COUNTA(KU81:LL81)</f>
        <v>0</v>
      </c>
      <c r="LO81" s="939"/>
      <c r="LP81" s="1016"/>
    </row>
    <row r="82" spans="18:328" ht="15">
      <c r="R82" s="857"/>
      <c r="S82" s="231" t="s">
        <v>59</v>
      </c>
      <c r="T82" s="231" t="s">
        <v>73</v>
      </c>
      <c r="U82" s="102" t="s">
        <v>4</v>
      </c>
      <c r="V82" s="107" t="s">
        <v>59</v>
      </c>
      <c r="W82" s="107" t="s">
        <v>73</v>
      </c>
      <c r="X82" s="108" t="s">
        <v>4</v>
      </c>
      <c r="Y82" s="107" t="s">
        <v>59</v>
      </c>
      <c r="Z82" s="107" t="s">
        <v>73</v>
      </c>
      <c r="AA82" s="108" t="s">
        <v>4</v>
      </c>
      <c r="AB82" s="107" t="s">
        <v>59</v>
      </c>
      <c r="AC82" s="107" t="s">
        <v>73</v>
      </c>
      <c r="AD82" s="108" t="s">
        <v>4</v>
      </c>
      <c r="AE82" s="107" t="s">
        <v>59</v>
      </c>
      <c r="AF82" s="107" t="s">
        <v>73</v>
      </c>
      <c r="AG82" s="108" t="s">
        <v>4</v>
      </c>
      <c r="AH82" s="107" t="s">
        <v>59</v>
      </c>
      <c r="AI82" s="107" t="s">
        <v>73</v>
      </c>
      <c r="AJ82" s="471" t="s">
        <v>4</v>
      </c>
      <c r="AK82" s="1004">
        <v>45</v>
      </c>
      <c r="AL82" s="1002">
        <f t="shared" ref="AL82" si="120">(S83*T83*U83)+(V83*W83*X83)+(Y83*Z83*AA83)+(AB83*AC83*AD83)+(AE83*AF83*AG83)+(AH83*AI83*AJ83)</f>
        <v>3474</v>
      </c>
      <c r="AM82" s="940"/>
      <c r="AN82" s="855"/>
      <c r="AO82" s="118"/>
      <c r="AP82" s="877"/>
      <c r="AQ82" s="231" t="s">
        <v>59</v>
      </c>
      <c r="AR82" s="231" t="s">
        <v>73</v>
      </c>
      <c r="AS82" s="102" t="s">
        <v>4</v>
      </c>
      <c r="AT82" s="231" t="s">
        <v>59</v>
      </c>
      <c r="AU82" s="231" t="s">
        <v>73</v>
      </c>
      <c r="AV82" s="102" t="s">
        <v>4</v>
      </c>
      <c r="AW82" s="231" t="s">
        <v>59</v>
      </c>
      <c r="AX82" s="231" t="s">
        <v>73</v>
      </c>
      <c r="AY82" s="102" t="s">
        <v>4</v>
      </c>
      <c r="AZ82" s="231" t="s">
        <v>59</v>
      </c>
      <c r="BA82" s="231" t="s">
        <v>73</v>
      </c>
      <c r="BB82" s="102" t="s">
        <v>4</v>
      </c>
      <c r="BC82" s="231" t="s">
        <v>59</v>
      </c>
      <c r="BD82" s="231" t="s">
        <v>73</v>
      </c>
      <c r="BE82" s="102" t="s">
        <v>4</v>
      </c>
      <c r="BF82" s="107" t="s">
        <v>59</v>
      </c>
      <c r="BG82" s="107" t="s">
        <v>73</v>
      </c>
      <c r="BH82" s="471" t="s">
        <v>4</v>
      </c>
      <c r="BI82" s="1004">
        <v>57</v>
      </c>
      <c r="BJ82" s="1003">
        <f t="shared" si="100"/>
        <v>6832.2888888888892</v>
      </c>
      <c r="BK82" s="940"/>
      <c r="BL82" s="1016"/>
      <c r="BM82" s="118"/>
      <c r="BN82" s="877"/>
      <c r="BO82" s="231" t="s">
        <v>59</v>
      </c>
      <c r="BP82" s="231" t="s">
        <v>73</v>
      </c>
      <c r="BQ82" s="102" t="s">
        <v>4</v>
      </c>
      <c r="BR82" s="231" t="s">
        <v>59</v>
      </c>
      <c r="BS82" s="231" t="s">
        <v>73</v>
      </c>
      <c r="BT82" s="102" t="s">
        <v>4</v>
      </c>
      <c r="BU82" s="231" t="s">
        <v>59</v>
      </c>
      <c r="BV82" s="231" t="s">
        <v>73</v>
      </c>
      <c r="BW82" s="102" t="s">
        <v>4</v>
      </c>
      <c r="BX82" s="231" t="s">
        <v>59</v>
      </c>
      <c r="BY82" s="231" t="s">
        <v>73</v>
      </c>
      <c r="BZ82" s="102" t="s">
        <v>4</v>
      </c>
      <c r="CA82" s="231" t="s">
        <v>59</v>
      </c>
      <c r="CB82" s="231" t="s">
        <v>73</v>
      </c>
      <c r="CC82" s="102" t="s">
        <v>4</v>
      </c>
      <c r="CD82" s="107" t="s">
        <v>59</v>
      </c>
      <c r="CE82" s="107" t="s">
        <v>73</v>
      </c>
      <c r="CF82" s="471" t="s">
        <v>4</v>
      </c>
      <c r="CG82" s="1004">
        <f>42+30</f>
        <v>72</v>
      </c>
      <c r="CH82" s="1005">
        <f t="shared" ref="CH82" si="121">(BO83*BP83*BQ83)+(BR83*BS83*BT83)+(BU83*BV83*BW83)+(BX83*BY83*BZ83)+(CA83*CB83*CC83)+(CD83*CE83*CF83)</f>
        <v>6446.55</v>
      </c>
      <c r="CI82" s="940"/>
      <c r="CJ82" s="1016"/>
      <c r="CL82" s="1065"/>
      <c r="CM82" s="460" t="s">
        <v>59</v>
      </c>
      <c r="CN82" s="460" t="s">
        <v>73</v>
      </c>
      <c r="CO82" s="461" t="s">
        <v>4</v>
      </c>
      <c r="CP82" s="460" t="s">
        <v>59</v>
      </c>
      <c r="CQ82" s="460" t="s">
        <v>73</v>
      </c>
      <c r="CR82" s="461" t="s">
        <v>4</v>
      </c>
      <c r="CS82" s="460" t="s">
        <v>59</v>
      </c>
      <c r="CT82" s="460" t="s">
        <v>73</v>
      </c>
      <c r="CU82" s="461" t="s">
        <v>4</v>
      </c>
      <c r="CV82" s="460" t="s">
        <v>59</v>
      </c>
      <c r="CW82" s="460" t="s">
        <v>73</v>
      </c>
      <c r="CX82" s="461" t="s">
        <v>4</v>
      </c>
      <c r="CY82" s="460" t="s">
        <v>59</v>
      </c>
      <c r="CZ82" s="460" t="s">
        <v>73</v>
      </c>
      <c r="DA82" s="461" t="s">
        <v>4</v>
      </c>
      <c r="DB82" s="460" t="s">
        <v>59</v>
      </c>
      <c r="DC82" s="460" t="s">
        <v>73</v>
      </c>
      <c r="DD82" s="473" t="s">
        <v>4</v>
      </c>
      <c r="DE82" s="1004"/>
      <c r="DF82" s="1005">
        <f>(CM83*CN83*CO83)+(CP83*CQ83*CR83)+(CS83*CT83*CU83)+(CV83*CW83*CX83)+(CY83*CZ83*DA83)+(DB83*DC83*DD83)</f>
        <v>0</v>
      </c>
      <c r="DG82" s="940"/>
      <c r="DH82" s="1016"/>
      <c r="DJ82" s="1039"/>
      <c r="DK82" s="460" t="s">
        <v>59</v>
      </c>
      <c r="DL82" s="460" t="s">
        <v>73</v>
      </c>
      <c r="DM82" s="461" t="s">
        <v>4</v>
      </c>
      <c r="DN82" s="460" t="s">
        <v>59</v>
      </c>
      <c r="DO82" s="460" t="s">
        <v>73</v>
      </c>
      <c r="DP82" s="461" t="s">
        <v>4</v>
      </c>
      <c r="DQ82" s="460" t="s">
        <v>59</v>
      </c>
      <c r="DR82" s="460" t="s">
        <v>73</v>
      </c>
      <c r="DS82" s="461" t="s">
        <v>4</v>
      </c>
      <c r="DT82" s="460" t="s">
        <v>59</v>
      </c>
      <c r="DU82" s="460" t="s">
        <v>73</v>
      </c>
      <c r="DV82" s="461" t="s">
        <v>4</v>
      </c>
      <c r="DW82" s="460" t="s">
        <v>59</v>
      </c>
      <c r="DX82" s="460" t="s">
        <v>73</v>
      </c>
      <c r="DY82" s="461" t="s">
        <v>4</v>
      </c>
      <c r="DZ82" s="460" t="s">
        <v>59</v>
      </c>
      <c r="EA82" s="460" t="s">
        <v>73</v>
      </c>
      <c r="EB82" s="473" t="s">
        <v>4</v>
      </c>
      <c r="EC82" s="1004"/>
      <c r="ED82" s="1005">
        <f>(DK83*DL83*DM83)+(DN83*DO83*DP83)+(DQ83*DR83*DS83)+(DT83*DU83*DV83)+(DW83*DX83*DY83)+(DZ83*EA83*EB83)</f>
        <v>0</v>
      </c>
      <c r="EE82" s="940"/>
      <c r="EF82" s="1016"/>
      <c r="EH82" s="1052"/>
      <c r="EI82" s="491" t="s">
        <v>59</v>
      </c>
      <c r="EJ82" s="491" t="s">
        <v>73</v>
      </c>
      <c r="EK82" s="492" t="s">
        <v>4</v>
      </c>
      <c r="EL82" s="491" t="s">
        <v>59</v>
      </c>
      <c r="EM82" s="491" t="s">
        <v>73</v>
      </c>
      <c r="EN82" s="492" t="s">
        <v>4</v>
      </c>
      <c r="EO82" s="491" t="s">
        <v>59</v>
      </c>
      <c r="EP82" s="491" t="s">
        <v>73</v>
      </c>
      <c r="EQ82" s="492" t="s">
        <v>4</v>
      </c>
      <c r="ER82" s="491" t="s">
        <v>59</v>
      </c>
      <c r="ES82" s="491" t="s">
        <v>73</v>
      </c>
      <c r="ET82" s="492" t="s">
        <v>4</v>
      </c>
      <c r="EU82" s="491" t="s">
        <v>59</v>
      </c>
      <c r="EV82" s="491" t="s">
        <v>73</v>
      </c>
      <c r="EW82" s="492" t="s">
        <v>4</v>
      </c>
      <c r="EX82" s="491" t="s">
        <v>59</v>
      </c>
      <c r="EY82" s="491" t="s">
        <v>73</v>
      </c>
      <c r="EZ82" s="493" t="s">
        <v>4</v>
      </c>
      <c r="FA82" s="1071"/>
      <c r="FB82" s="1072">
        <f>(EI83*EJ83*EK83)+(EL83*EM83*EN83)+(EO83*EP83*EQ83)+(ER83*ES83*ET83)+(EU83*EV83*EW83)+(EX83*EY83*EZ83)</f>
        <v>0</v>
      </c>
      <c r="FC82" s="1068"/>
      <c r="FD82" s="1070"/>
      <c r="FF82" s="1065"/>
      <c r="FG82" s="460" t="s">
        <v>59</v>
      </c>
      <c r="FH82" s="460" t="s">
        <v>73</v>
      </c>
      <c r="FI82" s="461" t="s">
        <v>4</v>
      </c>
      <c r="FJ82" s="460" t="s">
        <v>59</v>
      </c>
      <c r="FK82" s="460" t="s">
        <v>73</v>
      </c>
      <c r="FL82" s="461" t="s">
        <v>4</v>
      </c>
      <c r="FM82" s="460" t="s">
        <v>59</v>
      </c>
      <c r="FN82" s="460" t="s">
        <v>73</v>
      </c>
      <c r="FO82" s="461" t="s">
        <v>4</v>
      </c>
      <c r="FP82" s="460" t="s">
        <v>59</v>
      </c>
      <c r="FQ82" s="460" t="s">
        <v>73</v>
      </c>
      <c r="FR82" s="461" t="s">
        <v>4</v>
      </c>
      <c r="FS82" s="460" t="s">
        <v>59</v>
      </c>
      <c r="FT82" s="460" t="s">
        <v>73</v>
      </c>
      <c r="FU82" s="461" t="s">
        <v>4</v>
      </c>
      <c r="FV82" s="460" t="s">
        <v>59</v>
      </c>
      <c r="FW82" s="460" t="s">
        <v>73</v>
      </c>
      <c r="FX82" s="473" t="s">
        <v>4</v>
      </c>
      <c r="FY82" s="1004"/>
      <c r="FZ82" s="1005">
        <f>(FG83*FH83*FI83)+(FJ83*FK83*FL83)+(FM83*FN83*FO83)+(FP83*FQ83*FR83)+(FS83*FT83*FU83)+(FV83*FW83*FX83)</f>
        <v>0</v>
      </c>
      <c r="GA82" s="940"/>
      <c r="GB82" s="1016"/>
      <c r="GD82" s="1042"/>
      <c r="GE82" s="460" t="s">
        <v>59</v>
      </c>
      <c r="GF82" s="460" t="s">
        <v>73</v>
      </c>
      <c r="GG82" s="461" t="s">
        <v>4</v>
      </c>
      <c r="GH82" s="460" t="s">
        <v>59</v>
      </c>
      <c r="GI82" s="460" t="s">
        <v>73</v>
      </c>
      <c r="GJ82" s="461" t="s">
        <v>4</v>
      </c>
      <c r="GK82" s="460" t="s">
        <v>59</v>
      </c>
      <c r="GL82" s="460" t="s">
        <v>73</v>
      </c>
      <c r="GM82" s="461" t="s">
        <v>4</v>
      </c>
      <c r="GN82" s="460" t="s">
        <v>59</v>
      </c>
      <c r="GO82" s="460" t="s">
        <v>73</v>
      </c>
      <c r="GP82" s="461" t="s">
        <v>4</v>
      </c>
      <c r="GQ82" s="460" t="s">
        <v>59</v>
      </c>
      <c r="GR82" s="460" t="s">
        <v>73</v>
      </c>
      <c r="GS82" s="461" t="s">
        <v>4</v>
      </c>
      <c r="GT82" s="460" t="s">
        <v>59</v>
      </c>
      <c r="GU82" s="460" t="s">
        <v>73</v>
      </c>
      <c r="GV82" s="473" t="s">
        <v>4</v>
      </c>
      <c r="GW82" s="1004"/>
      <c r="GX82" s="1005">
        <f>(GE83*GF83*GG83)+(GH83*GI83*GJ83)+(GK83*GL83*GM83)+(GN83*GO83*GP83)+(GQ83*GR83*GS83)+(GT83*GU83*GV83)</f>
        <v>0</v>
      </c>
      <c r="GY82" s="940"/>
      <c r="GZ82" s="1016"/>
      <c r="HB82" s="1062"/>
      <c r="HC82" s="460" t="s">
        <v>59</v>
      </c>
      <c r="HD82" s="460" t="s">
        <v>73</v>
      </c>
      <c r="HE82" s="461" t="s">
        <v>4</v>
      </c>
      <c r="HF82" s="460" t="s">
        <v>59</v>
      </c>
      <c r="HG82" s="460" t="s">
        <v>73</v>
      </c>
      <c r="HH82" s="461" t="s">
        <v>4</v>
      </c>
      <c r="HI82" s="460" t="s">
        <v>59</v>
      </c>
      <c r="HJ82" s="460" t="s">
        <v>73</v>
      </c>
      <c r="HK82" s="461" t="s">
        <v>4</v>
      </c>
      <c r="HL82" s="460" t="s">
        <v>59</v>
      </c>
      <c r="HM82" s="460" t="s">
        <v>73</v>
      </c>
      <c r="HN82" s="461" t="s">
        <v>4</v>
      </c>
      <c r="HO82" s="460" t="s">
        <v>59</v>
      </c>
      <c r="HP82" s="460" t="s">
        <v>73</v>
      </c>
      <c r="HQ82" s="461" t="s">
        <v>4</v>
      </c>
      <c r="HR82" s="460" t="s">
        <v>59</v>
      </c>
      <c r="HS82" s="460" t="s">
        <v>73</v>
      </c>
      <c r="HT82" s="473" t="s">
        <v>4</v>
      </c>
      <c r="HU82" s="1004"/>
      <c r="HV82" s="1005">
        <f>(HC83*HD83*HE83)+(HF83*HG83*HH83)+(HI83*HJ83*HK83)+(HL83*HM83*HN83)+(HO83*HP83*HQ83)+(HR83*HS83*HT83)</f>
        <v>0</v>
      </c>
      <c r="HW82" s="940"/>
      <c r="HX82" s="1016"/>
      <c r="HZ82" s="1075"/>
      <c r="IA82" s="460" t="s">
        <v>59</v>
      </c>
      <c r="IB82" s="460" t="s">
        <v>73</v>
      </c>
      <c r="IC82" s="461" t="s">
        <v>4</v>
      </c>
      <c r="ID82" s="460" t="s">
        <v>59</v>
      </c>
      <c r="IE82" s="460" t="s">
        <v>73</v>
      </c>
      <c r="IF82" s="461" t="s">
        <v>4</v>
      </c>
      <c r="IG82" s="460" t="s">
        <v>59</v>
      </c>
      <c r="IH82" s="460" t="s">
        <v>73</v>
      </c>
      <c r="II82" s="461" t="s">
        <v>4</v>
      </c>
      <c r="IJ82" s="460" t="s">
        <v>59</v>
      </c>
      <c r="IK82" s="460" t="s">
        <v>73</v>
      </c>
      <c r="IL82" s="461" t="s">
        <v>4</v>
      </c>
      <c r="IM82" s="460" t="s">
        <v>59</v>
      </c>
      <c r="IN82" s="460" t="s">
        <v>73</v>
      </c>
      <c r="IO82" s="461" t="s">
        <v>4</v>
      </c>
      <c r="IP82" s="460" t="s">
        <v>59</v>
      </c>
      <c r="IQ82" s="460" t="s">
        <v>73</v>
      </c>
      <c r="IR82" s="473" t="s">
        <v>4</v>
      </c>
      <c r="IS82" s="1004"/>
      <c r="IT82" s="1005">
        <f>(IA83*IB83*IC83)+(ID83*IE83*IF83)+(IG83*IH83*II83)+(IJ83*IK83*IL83)+(IM83*IN83*IO83)+(IP83*IQ83*IR83)</f>
        <v>0</v>
      </c>
      <c r="IU82" s="940"/>
      <c r="IV82" s="1016"/>
      <c r="IX82" s="1049"/>
      <c r="IY82" s="460" t="s">
        <v>59</v>
      </c>
      <c r="IZ82" s="460" t="s">
        <v>73</v>
      </c>
      <c r="JA82" s="461" t="s">
        <v>4</v>
      </c>
      <c r="JB82" s="460" t="s">
        <v>59</v>
      </c>
      <c r="JC82" s="460" t="s">
        <v>73</v>
      </c>
      <c r="JD82" s="461" t="s">
        <v>4</v>
      </c>
      <c r="JE82" s="460" t="s">
        <v>59</v>
      </c>
      <c r="JF82" s="460" t="s">
        <v>73</v>
      </c>
      <c r="JG82" s="461" t="s">
        <v>4</v>
      </c>
      <c r="JH82" s="460" t="s">
        <v>59</v>
      </c>
      <c r="JI82" s="460" t="s">
        <v>73</v>
      </c>
      <c r="JJ82" s="461" t="s">
        <v>4</v>
      </c>
      <c r="JK82" s="460" t="s">
        <v>59</v>
      </c>
      <c r="JL82" s="460" t="s">
        <v>73</v>
      </c>
      <c r="JM82" s="461" t="s">
        <v>4</v>
      </c>
      <c r="JN82" s="460" t="s">
        <v>59</v>
      </c>
      <c r="JO82" s="460" t="s">
        <v>73</v>
      </c>
      <c r="JP82" s="473" t="s">
        <v>4</v>
      </c>
      <c r="JQ82" s="1004"/>
      <c r="JR82" s="1005">
        <f>(IY83*IZ83*JA83)+(JB83*JC83*JD83)+(JE83*JF83*JG83)+(JH83*JI83*JJ83)+(JK83*JL83*JM83)+(JN83*JO83*JP83)</f>
        <v>0</v>
      </c>
      <c r="JS82" s="940"/>
      <c r="JT82" s="1016"/>
      <c r="JV82" s="1062"/>
      <c r="JW82" s="460" t="s">
        <v>59</v>
      </c>
      <c r="JX82" s="460" t="s">
        <v>73</v>
      </c>
      <c r="JY82" s="461" t="s">
        <v>4</v>
      </c>
      <c r="JZ82" s="460" t="s">
        <v>59</v>
      </c>
      <c r="KA82" s="460" t="s">
        <v>73</v>
      </c>
      <c r="KB82" s="461" t="s">
        <v>4</v>
      </c>
      <c r="KC82" s="460" t="s">
        <v>59</v>
      </c>
      <c r="KD82" s="460" t="s">
        <v>73</v>
      </c>
      <c r="KE82" s="461" t="s">
        <v>4</v>
      </c>
      <c r="KF82" s="460" t="s">
        <v>59</v>
      </c>
      <c r="KG82" s="460" t="s">
        <v>73</v>
      </c>
      <c r="KH82" s="461" t="s">
        <v>4</v>
      </c>
      <c r="KI82" s="460" t="s">
        <v>59</v>
      </c>
      <c r="KJ82" s="460" t="s">
        <v>73</v>
      </c>
      <c r="KK82" s="461" t="s">
        <v>4</v>
      </c>
      <c r="KL82" s="460" t="s">
        <v>59</v>
      </c>
      <c r="KM82" s="460" t="s">
        <v>73</v>
      </c>
      <c r="KN82" s="473" t="s">
        <v>4</v>
      </c>
      <c r="KO82" s="1004"/>
      <c r="KP82" s="1005">
        <f>(JW83*JX83*JY83)+(JZ83*KA83*KB83)+(KC83*KD83*KE83)+(KF83*KG83*KH83)+(KI83*KJ83*KK83)+(KL83*KM83*KN83)</f>
        <v>0</v>
      </c>
      <c r="KQ82" s="940"/>
      <c r="KR82" s="1016"/>
      <c r="KT82" s="1039"/>
      <c r="KU82" s="460" t="s">
        <v>59</v>
      </c>
      <c r="KV82" s="460" t="s">
        <v>73</v>
      </c>
      <c r="KW82" s="461" t="s">
        <v>4</v>
      </c>
      <c r="KX82" s="460" t="s">
        <v>59</v>
      </c>
      <c r="KY82" s="460" t="s">
        <v>73</v>
      </c>
      <c r="KZ82" s="461" t="s">
        <v>4</v>
      </c>
      <c r="LA82" s="460" t="s">
        <v>59</v>
      </c>
      <c r="LB82" s="460" t="s">
        <v>73</v>
      </c>
      <c r="LC82" s="461" t="s">
        <v>4</v>
      </c>
      <c r="LD82" s="460" t="s">
        <v>59</v>
      </c>
      <c r="LE82" s="460" t="s">
        <v>73</v>
      </c>
      <c r="LF82" s="461" t="s">
        <v>4</v>
      </c>
      <c r="LG82" s="460" t="s">
        <v>59</v>
      </c>
      <c r="LH82" s="460" t="s">
        <v>73</v>
      </c>
      <c r="LI82" s="461" t="s">
        <v>4</v>
      </c>
      <c r="LJ82" s="460" t="s">
        <v>59</v>
      </c>
      <c r="LK82" s="460" t="s">
        <v>73</v>
      </c>
      <c r="LL82" s="473" t="s">
        <v>4</v>
      </c>
      <c r="LM82" s="1004"/>
      <c r="LN82" s="1005">
        <f>(KU83*KV83*KW83)+(KX83*KY83*KZ83)+(LA83*LB83*LC83)+(LD83*LE83*LF83)+(LG83*LH83*LI83)+(LJ83*LK83*LL83)</f>
        <v>0</v>
      </c>
      <c r="LO82" s="940"/>
      <c r="LP82" s="1016"/>
    </row>
    <row r="83" spans="18:328" ht="15">
      <c r="R83" s="858"/>
      <c r="S83" s="229">
        <v>1</v>
      </c>
      <c r="T83" s="229">
        <v>45</v>
      </c>
      <c r="U83" s="229">
        <f>AN81</f>
        <v>77.2</v>
      </c>
      <c r="V83" s="233"/>
      <c r="W83" s="233"/>
      <c r="X83" s="233"/>
      <c r="Y83" s="233"/>
      <c r="Z83" s="233"/>
      <c r="AA83" s="233"/>
      <c r="AB83" s="233"/>
      <c r="AC83" s="233"/>
      <c r="AD83" s="233"/>
      <c r="AE83" s="233"/>
      <c r="AF83" s="233"/>
      <c r="AG83" s="233"/>
      <c r="AH83" s="233"/>
      <c r="AI83" s="233"/>
      <c r="AJ83" s="472"/>
      <c r="AK83" s="1007"/>
      <c r="AL83" s="1002"/>
      <c r="AM83" s="941"/>
      <c r="AN83" s="855"/>
      <c r="AO83" s="118"/>
      <c r="AP83" s="878"/>
      <c r="AQ83" s="229">
        <v>4</v>
      </c>
      <c r="AR83" s="126">
        <f>((12*2)+(8*1)+(10*1))/4</f>
        <v>10.5</v>
      </c>
      <c r="AS83" s="126">
        <f>((12.5*1)+(40*1)+(45*2))/4</f>
        <v>35.625</v>
      </c>
      <c r="AT83" s="229">
        <v>4</v>
      </c>
      <c r="AU83" s="126">
        <f>((12*1)+(10*3))/4</f>
        <v>10.5</v>
      </c>
      <c r="AV83" s="229">
        <f>((36*1)+(72*3))/4</f>
        <v>63</v>
      </c>
      <c r="AW83" s="229">
        <v>4</v>
      </c>
      <c r="AX83" s="229">
        <f>((12*1)+(16*3))/4</f>
        <v>15</v>
      </c>
      <c r="AY83" s="229">
        <f>((18.1*1)+(34*3))/4</f>
        <v>30.024999999999999</v>
      </c>
      <c r="AZ83" s="229">
        <v>4</v>
      </c>
      <c r="BA83" s="229">
        <f>((((0.38/0.3)*0.5)*1)+(((1.15/1)*1)*3))/4</f>
        <v>1.0208333333333333</v>
      </c>
      <c r="BB83" s="229">
        <f>BL81*(2/3)</f>
        <v>52.466666666666669</v>
      </c>
      <c r="BC83" s="229">
        <v>4</v>
      </c>
      <c r="BD83" s="126">
        <f>((12*3)+(8*1))/4</f>
        <v>11</v>
      </c>
      <c r="BE83" s="126">
        <f>((9.1*2)+(13.6*2)+(15.9*1))/4</f>
        <v>15.324999999999999</v>
      </c>
      <c r="BF83" s="233"/>
      <c r="BG83" s="233"/>
      <c r="BH83" s="472"/>
      <c r="BI83" s="1007"/>
      <c r="BJ83" s="1003"/>
      <c r="BK83" s="941"/>
      <c r="BL83" s="1016"/>
      <c r="BM83" s="118"/>
      <c r="BN83" s="878"/>
      <c r="BO83" s="229">
        <v>4</v>
      </c>
      <c r="BP83" s="126">
        <f>((12*1)+(8*3))/4</f>
        <v>9</v>
      </c>
      <c r="BQ83" s="229">
        <f>((25*1)+(50*3))/4</f>
        <v>43.75</v>
      </c>
      <c r="BR83" s="229">
        <v>4</v>
      </c>
      <c r="BS83" s="229">
        <f>((12*4))/4</f>
        <v>12</v>
      </c>
      <c r="BT83" s="229">
        <f>((36*1)+(72*3))/4</f>
        <v>63</v>
      </c>
      <c r="BU83" s="229">
        <v>4</v>
      </c>
      <c r="BV83" s="229">
        <f>((12*4))/4</f>
        <v>12</v>
      </c>
      <c r="BW83" s="229">
        <f>((11.3*1)+(22.7*3))/4</f>
        <v>19.849999999999998</v>
      </c>
      <c r="BX83" s="229">
        <v>4</v>
      </c>
      <c r="BY83" s="229">
        <f>((((0.38/0.3)*0.5)*1)+(((1.15/1)*1)*3))/4</f>
        <v>1.0208333333333333</v>
      </c>
      <c r="BZ83" s="229">
        <f>CJ81*(2/3)</f>
        <v>52.199999999999996</v>
      </c>
      <c r="CA83" s="229">
        <v>4</v>
      </c>
      <c r="CB83" s="229">
        <f>((12*4))/4</f>
        <v>12</v>
      </c>
      <c r="CC83" s="229">
        <f>((9.1*1)+(15.9*3))/4</f>
        <v>14.200000000000001</v>
      </c>
      <c r="CD83" s="233"/>
      <c r="CE83" s="233"/>
      <c r="CF83" s="472"/>
      <c r="CG83" s="1007"/>
      <c r="CH83" s="1006"/>
      <c r="CI83" s="941"/>
      <c r="CJ83" s="1016"/>
      <c r="CL83" s="1066"/>
      <c r="CM83" s="462"/>
      <c r="CN83" s="462"/>
      <c r="CO83" s="462"/>
      <c r="CP83" s="462"/>
      <c r="CQ83" s="462"/>
      <c r="CR83" s="462"/>
      <c r="CS83" s="462"/>
      <c r="CT83" s="462"/>
      <c r="CU83" s="462"/>
      <c r="CV83" s="462"/>
      <c r="CW83" s="462"/>
      <c r="CX83" s="462"/>
      <c r="CY83" s="462"/>
      <c r="CZ83" s="462"/>
      <c r="DA83" s="462"/>
      <c r="DB83" s="462"/>
      <c r="DC83" s="462"/>
      <c r="DD83" s="475"/>
      <c r="DE83" s="1007"/>
      <c r="DF83" s="1006"/>
      <c r="DG83" s="941"/>
      <c r="DH83" s="1016"/>
      <c r="DJ83" s="1040"/>
      <c r="DK83" s="462"/>
      <c r="DL83" s="462"/>
      <c r="DM83" s="462"/>
      <c r="DN83" s="462"/>
      <c r="DO83" s="462"/>
      <c r="DP83" s="462"/>
      <c r="DQ83" s="462"/>
      <c r="DR83" s="462"/>
      <c r="DS83" s="462"/>
      <c r="DT83" s="462"/>
      <c r="DU83" s="462"/>
      <c r="DV83" s="462"/>
      <c r="DW83" s="462"/>
      <c r="DX83" s="462"/>
      <c r="DY83" s="462"/>
      <c r="DZ83" s="462"/>
      <c r="EA83" s="462"/>
      <c r="EB83" s="475"/>
      <c r="EC83" s="1007"/>
      <c r="ED83" s="1006"/>
      <c r="EE83" s="941"/>
      <c r="EF83" s="1016"/>
      <c r="EH83" s="1053"/>
      <c r="EI83" s="494"/>
      <c r="EJ83" s="494"/>
      <c r="EK83" s="494"/>
      <c r="EL83" s="494"/>
      <c r="EM83" s="494"/>
      <c r="EN83" s="494"/>
      <c r="EO83" s="494"/>
      <c r="EP83" s="494"/>
      <c r="EQ83" s="494"/>
      <c r="ER83" s="494"/>
      <c r="ES83" s="494"/>
      <c r="ET83" s="494"/>
      <c r="EU83" s="494"/>
      <c r="EV83" s="494"/>
      <c r="EW83" s="494"/>
      <c r="EX83" s="494"/>
      <c r="EY83" s="494"/>
      <c r="EZ83" s="497"/>
      <c r="FA83" s="1081"/>
      <c r="FB83" s="1073"/>
      <c r="FC83" s="1069"/>
      <c r="FD83" s="1070"/>
      <c r="FF83" s="1066"/>
      <c r="FG83" s="462"/>
      <c r="FH83" s="462"/>
      <c r="FI83" s="462"/>
      <c r="FJ83" s="462"/>
      <c r="FK83" s="462"/>
      <c r="FL83" s="462"/>
      <c r="FM83" s="462"/>
      <c r="FN83" s="462"/>
      <c r="FO83" s="462"/>
      <c r="FP83" s="462"/>
      <c r="FQ83" s="462"/>
      <c r="FR83" s="462"/>
      <c r="FS83" s="462"/>
      <c r="FT83" s="462"/>
      <c r="FU83" s="462"/>
      <c r="FV83" s="462"/>
      <c r="FW83" s="462"/>
      <c r="FX83" s="475"/>
      <c r="FY83" s="1007"/>
      <c r="FZ83" s="1006"/>
      <c r="GA83" s="941"/>
      <c r="GB83" s="1016"/>
      <c r="GD83" s="1043"/>
      <c r="GE83" s="462"/>
      <c r="GF83" s="462"/>
      <c r="GG83" s="462"/>
      <c r="GH83" s="462"/>
      <c r="GI83" s="462"/>
      <c r="GJ83" s="462"/>
      <c r="GK83" s="462"/>
      <c r="GL83" s="462"/>
      <c r="GM83" s="462"/>
      <c r="GN83" s="462"/>
      <c r="GO83" s="462"/>
      <c r="GP83" s="462"/>
      <c r="GQ83" s="462"/>
      <c r="GR83" s="462"/>
      <c r="GS83" s="462"/>
      <c r="GT83" s="462"/>
      <c r="GU83" s="462"/>
      <c r="GV83" s="475"/>
      <c r="GW83" s="1007"/>
      <c r="GX83" s="1006"/>
      <c r="GY83" s="941"/>
      <c r="GZ83" s="1016"/>
      <c r="HB83" s="1063"/>
      <c r="HC83" s="462"/>
      <c r="HD83" s="462"/>
      <c r="HE83" s="462"/>
      <c r="HF83" s="462"/>
      <c r="HG83" s="462"/>
      <c r="HH83" s="462"/>
      <c r="HI83" s="462"/>
      <c r="HJ83" s="462"/>
      <c r="HK83" s="462"/>
      <c r="HL83" s="462"/>
      <c r="HM83" s="462"/>
      <c r="HN83" s="462"/>
      <c r="HO83" s="462"/>
      <c r="HP83" s="462"/>
      <c r="HQ83" s="462"/>
      <c r="HR83" s="462"/>
      <c r="HS83" s="462"/>
      <c r="HT83" s="475"/>
      <c r="HU83" s="1007"/>
      <c r="HV83" s="1006"/>
      <c r="HW83" s="941"/>
      <c r="HX83" s="1016"/>
      <c r="HZ83" s="1076"/>
      <c r="IA83" s="462"/>
      <c r="IB83" s="462"/>
      <c r="IC83" s="462"/>
      <c r="ID83" s="462"/>
      <c r="IE83" s="462"/>
      <c r="IF83" s="462"/>
      <c r="IG83" s="462"/>
      <c r="IH83" s="462"/>
      <c r="II83" s="462"/>
      <c r="IJ83" s="462"/>
      <c r="IK83" s="462"/>
      <c r="IL83" s="462"/>
      <c r="IM83" s="462"/>
      <c r="IN83" s="462"/>
      <c r="IO83" s="462"/>
      <c r="IP83" s="462"/>
      <c r="IQ83" s="462"/>
      <c r="IR83" s="475"/>
      <c r="IS83" s="1007"/>
      <c r="IT83" s="1006"/>
      <c r="IU83" s="941"/>
      <c r="IV83" s="1016"/>
      <c r="IX83" s="1050"/>
      <c r="IY83" s="462"/>
      <c r="IZ83" s="462"/>
      <c r="JA83" s="462"/>
      <c r="JB83" s="462"/>
      <c r="JC83" s="462"/>
      <c r="JD83" s="462"/>
      <c r="JE83" s="462"/>
      <c r="JF83" s="462"/>
      <c r="JG83" s="462"/>
      <c r="JH83" s="462"/>
      <c r="JI83" s="462"/>
      <c r="JJ83" s="462"/>
      <c r="JK83" s="462"/>
      <c r="JL83" s="462"/>
      <c r="JM83" s="462"/>
      <c r="JN83" s="462"/>
      <c r="JO83" s="462"/>
      <c r="JP83" s="475"/>
      <c r="JQ83" s="1007"/>
      <c r="JR83" s="1006"/>
      <c r="JS83" s="941"/>
      <c r="JT83" s="1016"/>
      <c r="JV83" s="1063"/>
      <c r="JW83" s="462"/>
      <c r="JX83" s="462"/>
      <c r="JY83" s="462"/>
      <c r="JZ83" s="462"/>
      <c r="KA83" s="462"/>
      <c r="KB83" s="462"/>
      <c r="KC83" s="462"/>
      <c r="KD83" s="462"/>
      <c r="KE83" s="462"/>
      <c r="KF83" s="462"/>
      <c r="KG83" s="462"/>
      <c r="KH83" s="462"/>
      <c r="KI83" s="462"/>
      <c r="KJ83" s="462"/>
      <c r="KK83" s="462"/>
      <c r="KL83" s="462"/>
      <c r="KM83" s="462"/>
      <c r="KN83" s="475"/>
      <c r="KO83" s="1007"/>
      <c r="KP83" s="1006"/>
      <c r="KQ83" s="941"/>
      <c r="KR83" s="1016"/>
      <c r="KT83" s="1040"/>
      <c r="KU83" s="462"/>
      <c r="KV83" s="462"/>
      <c r="KW83" s="462"/>
      <c r="KX83" s="462"/>
      <c r="KY83" s="462"/>
      <c r="KZ83" s="462"/>
      <c r="LA83" s="462"/>
      <c r="LB83" s="462"/>
      <c r="LC83" s="462"/>
      <c r="LD83" s="462"/>
      <c r="LE83" s="462"/>
      <c r="LF83" s="462"/>
      <c r="LG83" s="462"/>
      <c r="LH83" s="462"/>
      <c r="LI83" s="462"/>
      <c r="LJ83" s="462"/>
      <c r="LK83" s="462"/>
      <c r="LL83" s="475"/>
      <c r="LM83" s="1007"/>
      <c r="LN83" s="1006"/>
      <c r="LO83" s="941"/>
      <c r="LP83" s="1016"/>
    </row>
    <row r="84" spans="18:328" ht="15">
      <c r="R84" s="845">
        <v>46050</v>
      </c>
      <c r="S84" s="849" t="s">
        <v>156</v>
      </c>
      <c r="T84" s="849"/>
      <c r="U84" s="849"/>
      <c r="V84" s="848" t="s">
        <v>103</v>
      </c>
      <c r="W84" s="848"/>
      <c r="X84" s="848"/>
      <c r="Y84" s="848" t="s">
        <v>68</v>
      </c>
      <c r="Z84" s="848"/>
      <c r="AA84" s="848"/>
      <c r="AB84" s="848" t="s">
        <v>417</v>
      </c>
      <c r="AC84" s="848"/>
      <c r="AD84" s="848"/>
      <c r="AE84" s="834"/>
      <c r="AF84" s="835"/>
      <c r="AG84" s="836"/>
      <c r="AH84" s="834"/>
      <c r="AI84" s="835"/>
      <c r="AJ84" s="835"/>
      <c r="AK84" s="459" t="s">
        <v>425</v>
      </c>
      <c r="AL84" s="1">
        <f t="shared" ref="AL84" si="122">COUNTA(S84:AJ84)</f>
        <v>4</v>
      </c>
      <c r="AM84" s="939"/>
      <c r="AN84" s="855">
        <v>77.3</v>
      </c>
      <c r="AO84" s="118"/>
      <c r="AP84" s="840">
        <v>46081</v>
      </c>
      <c r="AQ84" s="1023"/>
      <c r="AR84" s="1023"/>
      <c r="AS84" s="1023"/>
      <c r="AT84" s="1023"/>
      <c r="AU84" s="1023"/>
      <c r="AV84" s="1023"/>
      <c r="AW84" s="1023"/>
      <c r="AX84" s="1023"/>
      <c r="AY84" s="1023"/>
      <c r="AZ84" s="1023"/>
      <c r="BA84" s="1023"/>
      <c r="BB84" s="1023"/>
      <c r="BC84" s="1021"/>
      <c r="BD84" s="1022"/>
      <c r="BE84" s="1024"/>
      <c r="BF84" s="1021"/>
      <c r="BG84" s="1022"/>
      <c r="BH84" s="1022"/>
      <c r="BI84" s="459" t="s">
        <v>425</v>
      </c>
      <c r="BJ84" s="482">
        <f t="shared" si="97"/>
        <v>0</v>
      </c>
      <c r="BK84" s="939"/>
      <c r="BL84" s="1016">
        <f>BL81</f>
        <v>78.7</v>
      </c>
      <c r="BM84" s="118"/>
      <c r="BN84" s="840">
        <v>46109</v>
      </c>
      <c r="BO84" s="1023"/>
      <c r="BP84" s="1023"/>
      <c r="BQ84" s="1023"/>
      <c r="BR84" s="1023"/>
      <c r="BS84" s="1023"/>
      <c r="BT84" s="1023"/>
      <c r="BU84" s="1023"/>
      <c r="BV84" s="1023"/>
      <c r="BW84" s="1023"/>
      <c r="BX84" s="1023"/>
      <c r="BY84" s="1023"/>
      <c r="BZ84" s="1023"/>
      <c r="CA84" s="1021"/>
      <c r="CB84" s="1022"/>
      <c r="CC84" s="1024"/>
      <c r="CD84" s="1021"/>
      <c r="CE84" s="1022"/>
      <c r="CF84" s="1022"/>
      <c r="CG84" s="459" t="s">
        <v>425</v>
      </c>
      <c r="CH84" s="482">
        <f>COUNTA(BO84:CF84)</f>
        <v>0</v>
      </c>
      <c r="CI84" s="939">
        <v>0</v>
      </c>
      <c r="CJ84" s="1016">
        <f>CJ81</f>
        <v>78.3</v>
      </c>
      <c r="CL84" s="1074">
        <v>46140</v>
      </c>
      <c r="CM84" s="960"/>
      <c r="CN84" s="960"/>
      <c r="CO84" s="960"/>
      <c r="CP84" s="960"/>
      <c r="CQ84" s="960"/>
      <c r="CR84" s="960"/>
      <c r="CS84" s="960"/>
      <c r="CT84" s="960"/>
      <c r="CU84" s="960"/>
      <c r="CV84" s="960"/>
      <c r="CW84" s="960"/>
      <c r="CX84" s="960"/>
      <c r="CY84" s="961"/>
      <c r="CZ84" s="962"/>
      <c r="DA84" s="963"/>
      <c r="DB84" s="961"/>
      <c r="DC84" s="962"/>
      <c r="DD84" s="962"/>
      <c r="DE84" s="459" t="s">
        <v>425</v>
      </c>
      <c r="DF84" s="482">
        <f>COUNTA(CM84:DD84)</f>
        <v>0</v>
      </c>
      <c r="DG84" s="939"/>
      <c r="DH84" s="1016"/>
      <c r="DJ84" s="1041">
        <v>46170</v>
      </c>
      <c r="DK84" s="960"/>
      <c r="DL84" s="960"/>
      <c r="DM84" s="960"/>
      <c r="DN84" s="960"/>
      <c r="DO84" s="960"/>
      <c r="DP84" s="960"/>
      <c r="DQ84" s="960"/>
      <c r="DR84" s="960"/>
      <c r="DS84" s="960"/>
      <c r="DT84" s="960"/>
      <c r="DU84" s="960"/>
      <c r="DV84" s="960"/>
      <c r="DW84" s="961"/>
      <c r="DX84" s="962"/>
      <c r="DY84" s="963"/>
      <c r="DZ84" s="961"/>
      <c r="EA84" s="962"/>
      <c r="EB84" s="962"/>
      <c r="EC84" s="459" t="s">
        <v>425</v>
      </c>
      <c r="ED84" s="482">
        <f>COUNTA(DK84:EB84)</f>
        <v>0</v>
      </c>
      <c r="EE84" s="939"/>
      <c r="EF84" s="1016"/>
      <c r="EH84" s="1061">
        <v>46201</v>
      </c>
      <c r="EI84" s="960"/>
      <c r="EJ84" s="960"/>
      <c r="EK84" s="960"/>
      <c r="EL84" s="960"/>
      <c r="EM84" s="960"/>
      <c r="EN84" s="960"/>
      <c r="EO84" s="960"/>
      <c r="EP84" s="960"/>
      <c r="EQ84" s="960"/>
      <c r="ER84" s="960"/>
      <c r="ES84" s="960"/>
      <c r="ET84" s="960"/>
      <c r="EU84" s="961"/>
      <c r="EV84" s="962"/>
      <c r="EW84" s="963"/>
      <c r="EX84" s="961"/>
      <c r="EY84" s="962"/>
      <c r="EZ84" s="962"/>
      <c r="FA84" s="459" t="s">
        <v>425</v>
      </c>
      <c r="FB84" s="482">
        <f>COUNTA(EI84:EZ84)</f>
        <v>0</v>
      </c>
      <c r="FC84" s="939"/>
      <c r="FD84" s="1016"/>
      <c r="FF84" s="1074">
        <v>46231</v>
      </c>
      <c r="FG84" s="960"/>
      <c r="FH84" s="960"/>
      <c r="FI84" s="960"/>
      <c r="FJ84" s="960"/>
      <c r="FK84" s="960"/>
      <c r="FL84" s="960"/>
      <c r="FM84" s="960"/>
      <c r="FN84" s="960"/>
      <c r="FO84" s="960"/>
      <c r="FP84" s="960"/>
      <c r="FQ84" s="960"/>
      <c r="FR84" s="960"/>
      <c r="FS84" s="961"/>
      <c r="FT84" s="962"/>
      <c r="FU84" s="963"/>
      <c r="FV84" s="961"/>
      <c r="FW84" s="962"/>
      <c r="FX84" s="962"/>
      <c r="FY84" s="459" t="s">
        <v>425</v>
      </c>
      <c r="FZ84" s="482">
        <f>COUNTA(FG84:FX84)</f>
        <v>0</v>
      </c>
      <c r="GA84" s="939"/>
      <c r="GB84" s="1016"/>
      <c r="GD84" s="1048">
        <v>46262</v>
      </c>
      <c r="GE84" s="960"/>
      <c r="GF84" s="960"/>
      <c r="GG84" s="960"/>
      <c r="GH84" s="960"/>
      <c r="GI84" s="960"/>
      <c r="GJ84" s="960"/>
      <c r="GK84" s="960"/>
      <c r="GL84" s="960"/>
      <c r="GM84" s="960"/>
      <c r="GN84" s="960"/>
      <c r="GO84" s="960"/>
      <c r="GP84" s="960"/>
      <c r="GQ84" s="961"/>
      <c r="GR84" s="962"/>
      <c r="GS84" s="963"/>
      <c r="GT84" s="961"/>
      <c r="GU84" s="962"/>
      <c r="GV84" s="962"/>
      <c r="GW84" s="459" t="s">
        <v>425</v>
      </c>
      <c r="GX84" s="482">
        <f>COUNTA(GE84:GV84)</f>
        <v>0</v>
      </c>
      <c r="GY84" s="939"/>
      <c r="GZ84" s="1016"/>
      <c r="HB84" s="1064">
        <v>46293</v>
      </c>
      <c r="HC84" s="960"/>
      <c r="HD84" s="960"/>
      <c r="HE84" s="960"/>
      <c r="HF84" s="960"/>
      <c r="HG84" s="960"/>
      <c r="HH84" s="960"/>
      <c r="HI84" s="960"/>
      <c r="HJ84" s="960"/>
      <c r="HK84" s="960"/>
      <c r="HL84" s="960"/>
      <c r="HM84" s="960"/>
      <c r="HN84" s="960"/>
      <c r="HO84" s="961"/>
      <c r="HP84" s="962"/>
      <c r="HQ84" s="963"/>
      <c r="HR84" s="961"/>
      <c r="HS84" s="962"/>
      <c r="HT84" s="962"/>
      <c r="HU84" s="459" t="s">
        <v>425</v>
      </c>
      <c r="HV84" s="482">
        <f>COUNTA(HC84:HT84)</f>
        <v>0</v>
      </c>
      <c r="HW84" s="939"/>
      <c r="HX84" s="1016"/>
      <c r="HZ84" s="1038">
        <v>46323</v>
      </c>
      <c r="IA84" s="960"/>
      <c r="IB84" s="960"/>
      <c r="IC84" s="960"/>
      <c r="ID84" s="960"/>
      <c r="IE84" s="960"/>
      <c r="IF84" s="960"/>
      <c r="IG84" s="960"/>
      <c r="IH84" s="960"/>
      <c r="II84" s="960"/>
      <c r="IJ84" s="960"/>
      <c r="IK84" s="960"/>
      <c r="IL84" s="960"/>
      <c r="IM84" s="961"/>
      <c r="IN84" s="962"/>
      <c r="IO84" s="963"/>
      <c r="IP84" s="961"/>
      <c r="IQ84" s="962"/>
      <c r="IR84" s="962"/>
      <c r="IS84" s="459" t="s">
        <v>425</v>
      </c>
      <c r="IT84" s="482">
        <f>COUNTA(IA84:IR84)</f>
        <v>0</v>
      </c>
      <c r="IU84" s="939"/>
      <c r="IV84" s="1016"/>
      <c r="IX84" s="1051">
        <v>46354</v>
      </c>
      <c r="IY84" s="1023"/>
      <c r="IZ84" s="1023"/>
      <c r="JA84" s="1023"/>
      <c r="JB84" s="1023"/>
      <c r="JC84" s="1023"/>
      <c r="JD84" s="1023"/>
      <c r="JE84" s="1023"/>
      <c r="JF84" s="1023"/>
      <c r="JG84" s="1023"/>
      <c r="JH84" s="1023"/>
      <c r="JI84" s="1023"/>
      <c r="JJ84" s="1023"/>
      <c r="JK84" s="1021"/>
      <c r="JL84" s="1022"/>
      <c r="JM84" s="1024"/>
      <c r="JN84" s="1021"/>
      <c r="JO84" s="1022"/>
      <c r="JP84" s="1022"/>
      <c r="JQ84" s="489" t="s">
        <v>425</v>
      </c>
      <c r="JR84" s="496">
        <f>COUNTA(IY84:JP84)</f>
        <v>0</v>
      </c>
      <c r="JS84" s="1067"/>
      <c r="JT84" s="1070"/>
      <c r="JV84" s="1064">
        <v>46384</v>
      </c>
      <c r="JW84" s="960"/>
      <c r="JX84" s="960"/>
      <c r="JY84" s="960"/>
      <c r="JZ84" s="960"/>
      <c r="KA84" s="960"/>
      <c r="KB84" s="960"/>
      <c r="KC84" s="960"/>
      <c r="KD84" s="960"/>
      <c r="KE84" s="960"/>
      <c r="KF84" s="960"/>
      <c r="KG84" s="960"/>
      <c r="KH84" s="960"/>
      <c r="KI84" s="961"/>
      <c r="KJ84" s="962"/>
      <c r="KK84" s="963"/>
      <c r="KL84" s="961"/>
      <c r="KM84" s="962"/>
      <c r="KN84" s="962"/>
      <c r="KO84" s="459" t="s">
        <v>425</v>
      </c>
      <c r="KP84" s="482">
        <f>COUNTA(JW84:KN84)</f>
        <v>0</v>
      </c>
      <c r="KQ84" s="939"/>
      <c r="KR84" s="1016"/>
      <c r="KT84" s="1041">
        <v>46415</v>
      </c>
      <c r="KU84" s="960"/>
      <c r="KV84" s="960"/>
      <c r="KW84" s="960"/>
      <c r="KX84" s="960"/>
      <c r="KY84" s="960"/>
      <c r="KZ84" s="960"/>
      <c r="LA84" s="960"/>
      <c r="LB84" s="960"/>
      <c r="LC84" s="960"/>
      <c r="LD84" s="960"/>
      <c r="LE84" s="960"/>
      <c r="LF84" s="960"/>
      <c r="LG84" s="961"/>
      <c r="LH84" s="962"/>
      <c r="LI84" s="963"/>
      <c r="LJ84" s="961"/>
      <c r="LK84" s="962"/>
      <c r="LL84" s="962"/>
      <c r="LM84" s="459" t="s">
        <v>425</v>
      </c>
      <c r="LN84" s="482">
        <f>COUNTA(KU84:LL84)</f>
        <v>0</v>
      </c>
      <c r="LO84" s="939"/>
      <c r="LP84" s="1016"/>
    </row>
    <row r="85" spans="18:328" ht="15">
      <c r="R85" s="846"/>
      <c r="S85" s="231" t="s">
        <v>59</v>
      </c>
      <c r="T85" s="231" t="s">
        <v>73</v>
      </c>
      <c r="U85" s="102" t="s">
        <v>4</v>
      </c>
      <c r="V85" s="231" t="s">
        <v>59</v>
      </c>
      <c r="W85" s="231" t="s">
        <v>73</v>
      </c>
      <c r="X85" s="102" t="s">
        <v>4</v>
      </c>
      <c r="Y85" s="231" t="s">
        <v>59</v>
      </c>
      <c r="Z85" s="231" t="s">
        <v>73</v>
      </c>
      <c r="AA85" s="102" t="s">
        <v>4</v>
      </c>
      <c r="AB85" s="231" t="s">
        <v>59</v>
      </c>
      <c r="AC85" s="231" t="s">
        <v>73</v>
      </c>
      <c r="AD85" s="102" t="s">
        <v>4</v>
      </c>
      <c r="AE85" s="107" t="s">
        <v>59</v>
      </c>
      <c r="AF85" s="107" t="s">
        <v>73</v>
      </c>
      <c r="AG85" s="108" t="s">
        <v>4</v>
      </c>
      <c r="AH85" s="107" t="s">
        <v>59</v>
      </c>
      <c r="AI85" s="107" t="s">
        <v>73</v>
      </c>
      <c r="AJ85" s="471" t="s">
        <v>4</v>
      </c>
      <c r="AK85" s="1004">
        <v>49</v>
      </c>
      <c r="AL85" s="1002">
        <f t="shared" ref="AL85" si="123">(S86*T86*U86)+(V86*W86*X86)+(Y86*Z86*AA86)+(AB86*AC86*AD86)+(AE86*AF86*AG86)+(AH86*AI86*AJ86)</f>
        <v>6233.1666666666661</v>
      </c>
      <c r="AM85" s="940"/>
      <c r="AN85" s="855"/>
      <c r="AO85" s="118"/>
      <c r="AP85" s="841"/>
      <c r="AQ85" s="491" t="s">
        <v>59</v>
      </c>
      <c r="AR85" s="491" t="s">
        <v>73</v>
      </c>
      <c r="AS85" s="492" t="s">
        <v>4</v>
      </c>
      <c r="AT85" s="491" t="s">
        <v>59</v>
      </c>
      <c r="AU85" s="491" t="s">
        <v>73</v>
      </c>
      <c r="AV85" s="492" t="s">
        <v>4</v>
      </c>
      <c r="AW85" s="491" t="s">
        <v>59</v>
      </c>
      <c r="AX85" s="491" t="s">
        <v>73</v>
      </c>
      <c r="AY85" s="492" t="s">
        <v>4</v>
      </c>
      <c r="AZ85" s="491" t="s">
        <v>59</v>
      </c>
      <c r="BA85" s="491" t="s">
        <v>73</v>
      </c>
      <c r="BB85" s="492" t="s">
        <v>4</v>
      </c>
      <c r="BC85" s="491" t="s">
        <v>59</v>
      </c>
      <c r="BD85" s="491" t="s">
        <v>73</v>
      </c>
      <c r="BE85" s="492" t="s">
        <v>4</v>
      </c>
      <c r="BF85" s="491" t="s">
        <v>59</v>
      </c>
      <c r="BG85" s="491" t="s">
        <v>73</v>
      </c>
      <c r="BH85" s="493" t="s">
        <v>4</v>
      </c>
      <c r="BI85" s="1004">
        <v>0</v>
      </c>
      <c r="BJ85" s="1003">
        <f t="shared" si="100"/>
        <v>0</v>
      </c>
      <c r="BK85" s="940"/>
      <c r="BL85" s="1016"/>
      <c r="BM85" s="118"/>
      <c r="BN85" s="841"/>
      <c r="BO85" s="491" t="s">
        <v>59</v>
      </c>
      <c r="BP85" s="491" t="s">
        <v>73</v>
      </c>
      <c r="BQ85" s="492" t="s">
        <v>4</v>
      </c>
      <c r="BR85" s="491" t="s">
        <v>59</v>
      </c>
      <c r="BS85" s="491" t="s">
        <v>73</v>
      </c>
      <c r="BT85" s="492" t="s">
        <v>4</v>
      </c>
      <c r="BU85" s="491" t="s">
        <v>59</v>
      </c>
      <c r="BV85" s="491" t="s">
        <v>73</v>
      </c>
      <c r="BW85" s="492" t="s">
        <v>4</v>
      </c>
      <c r="BX85" s="491" t="s">
        <v>59</v>
      </c>
      <c r="BY85" s="491" t="s">
        <v>73</v>
      </c>
      <c r="BZ85" s="492" t="s">
        <v>4</v>
      </c>
      <c r="CA85" s="491" t="s">
        <v>59</v>
      </c>
      <c r="CB85" s="491" t="s">
        <v>73</v>
      </c>
      <c r="CC85" s="492" t="s">
        <v>4</v>
      </c>
      <c r="CD85" s="491" t="s">
        <v>59</v>
      </c>
      <c r="CE85" s="491" t="s">
        <v>73</v>
      </c>
      <c r="CF85" s="493" t="s">
        <v>4</v>
      </c>
      <c r="CG85" s="1004">
        <v>0</v>
      </c>
      <c r="CH85" s="1005">
        <f>(BO86*BP86*BQ86)+(BR86*BS86*BT86)+(BU86*BV86*BW86)+(BX86*BY86*BZ86)+(CA86*CB86*CC86)+(CD86*CE86*CF86)</f>
        <v>0</v>
      </c>
      <c r="CI85" s="940"/>
      <c r="CJ85" s="1016"/>
      <c r="CL85" s="1075"/>
      <c r="CM85" s="460" t="s">
        <v>59</v>
      </c>
      <c r="CN85" s="460" t="s">
        <v>73</v>
      </c>
      <c r="CO85" s="461" t="s">
        <v>4</v>
      </c>
      <c r="CP85" s="460" t="s">
        <v>59</v>
      </c>
      <c r="CQ85" s="460" t="s">
        <v>73</v>
      </c>
      <c r="CR85" s="461" t="s">
        <v>4</v>
      </c>
      <c r="CS85" s="460" t="s">
        <v>59</v>
      </c>
      <c r="CT85" s="460" t="s">
        <v>73</v>
      </c>
      <c r="CU85" s="461" t="s">
        <v>4</v>
      </c>
      <c r="CV85" s="460" t="s">
        <v>59</v>
      </c>
      <c r="CW85" s="460" t="s">
        <v>73</v>
      </c>
      <c r="CX85" s="461" t="s">
        <v>4</v>
      </c>
      <c r="CY85" s="460" t="s">
        <v>59</v>
      </c>
      <c r="CZ85" s="460" t="s">
        <v>73</v>
      </c>
      <c r="DA85" s="461" t="s">
        <v>4</v>
      </c>
      <c r="DB85" s="460" t="s">
        <v>59</v>
      </c>
      <c r="DC85" s="460" t="s">
        <v>73</v>
      </c>
      <c r="DD85" s="473" t="s">
        <v>4</v>
      </c>
      <c r="DE85" s="1004"/>
      <c r="DF85" s="1005">
        <f>(CM86*CN86*CO86)+(CP86*CQ86*CR86)+(CS86*CT86*CU86)+(CV86*CW86*CX86)+(CY86*CZ86*DA86)+(DB86*DC86*DD86)</f>
        <v>0</v>
      </c>
      <c r="DG85" s="940"/>
      <c r="DH85" s="1016"/>
      <c r="DJ85" s="1042"/>
      <c r="DK85" s="460" t="s">
        <v>59</v>
      </c>
      <c r="DL85" s="460" t="s">
        <v>73</v>
      </c>
      <c r="DM85" s="461" t="s">
        <v>4</v>
      </c>
      <c r="DN85" s="460" t="s">
        <v>59</v>
      </c>
      <c r="DO85" s="460" t="s">
        <v>73</v>
      </c>
      <c r="DP85" s="461" t="s">
        <v>4</v>
      </c>
      <c r="DQ85" s="460" t="s">
        <v>59</v>
      </c>
      <c r="DR85" s="460" t="s">
        <v>73</v>
      </c>
      <c r="DS85" s="461" t="s">
        <v>4</v>
      </c>
      <c r="DT85" s="460" t="s">
        <v>59</v>
      </c>
      <c r="DU85" s="460" t="s">
        <v>73</v>
      </c>
      <c r="DV85" s="461" t="s">
        <v>4</v>
      </c>
      <c r="DW85" s="460" t="s">
        <v>59</v>
      </c>
      <c r="DX85" s="460" t="s">
        <v>73</v>
      </c>
      <c r="DY85" s="461" t="s">
        <v>4</v>
      </c>
      <c r="DZ85" s="460" t="s">
        <v>59</v>
      </c>
      <c r="EA85" s="460" t="s">
        <v>73</v>
      </c>
      <c r="EB85" s="473" t="s">
        <v>4</v>
      </c>
      <c r="EC85" s="1004"/>
      <c r="ED85" s="1005">
        <f>(DK86*DL86*DM86)+(DN86*DO86*DP86)+(DQ86*DR86*DS86)+(DT86*DU86*DV86)+(DW86*DX86*DY86)+(DZ86*EA86*EB86)</f>
        <v>0</v>
      </c>
      <c r="EE85" s="940"/>
      <c r="EF85" s="1016"/>
      <c r="EH85" s="1062"/>
      <c r="EI85" s="460" t="s">
        <v>59</v>
      </c>
      <c r="EJ85" s="460" t="s">
        <v>73</v>
      </c>
      <c r="EK85" s="461" t="s">
        <v>4</v>
      </c>
      <c r="EL85" s="460" t="s">
        <v>59</v>
      </c>
      <c r="EM85" s="460" t="s">
        <v>73</v>
      </c>
      <c r="EN85" s="461" t="s">
        <v>4</v>
      </c>
      <c r="EO85" s="460" t="s">
        <v>59</v>
      </c>
      <c r="EP85" s="460" t="s">
        <v>73</v>
      </c>
      <c r="EQ85" s="461" t="s">
        <v>4</v>
      </c>
      <c r="ER85" s="460" t="s">
        <v>59</v>
      </c>
      <c r="ES85" s="460" t="s">
        <v>73</v>
      </c>
      <c r="ET85" s="461" t="s">
        <v>4</v>
      </c>
      <c r="EU85" s="460" t="s">
        <v>59</v>
      </c>
      <c r="EV85" s="460" t="s">
        <v>73</v>
      </c>
      <c r="EW85" s="461" t="s">
        <v>4</v>
      </c>
      <c r="EX85" s="460" t="s">
        <v>59</v>
      </c>
      <c r="EY85" s="460" t="s">
        <v>73</v>
      </c>
      <c r="EZ85" s="473" t="s">
        <v>4</v>
      </c>
      <c r="FA85" s="1004"/>
      <c r="FB85" s="1005">
        <f>(EI86*EJ86*EK86)+(EL86*EM86*EN86)+(EO86*EP86*EQ86)+(ER86*ES86*ET86)+(EU86*EV86*EW86)+(EX86*EY86*EZ86)</f>
        <v>0</v>
      </c>
      <c r="FC85" s="940"/>
      <c r="FD85" s="1016"/>
      <c r="FF85" s="1075"/>
      <c r="FG85" s="460" t="s">
        <v>59</v>
      </c>
      <c r="FH85" s="460" t="s">
        <v>73</v>
      </c>
      <c r="FI85" s="461" t="s">
        <v>4</v>
      </c>
      <c r="FJ85" s="460" t="s">
        <v>59</v>
      </c>
      <c r="FK85" s="460" t="s">
        <v>73</v>
      </c>
      <c r="FL85" s="461" t="s">
        <v>4</v>
      </c>
      <c r="FM85" s="460" t="s">
        <v>59</v>
      </c>
      <c r="FN85" s="460" t="s">
        <v>73</v>
      </c>
      <c r="FO85" s="461" t="s">
        <v>4</v>
      </c>
      <c r="FP85" s="460" t="s">
        <v>59</v>
      </c>
      <c r="FQ85" s="460" t="s">
        <v>73</v>
      </c>
      <c r="FR85" s="461" t="s">
        <v>4</v>
      </c>
      <c r="FS85" s="460" t="s">
        <v>59</v>
      </c>
      <c r="FT85" s="460" t="s">
        <v>73</v>
      </c>
      <c r="FU85" s="461" t="s">
        <v>4</v>
      </c>
      <c r="FV85" s="460" t="s">
        <v>59</v>
      </c>
      <c r="FW85" s="460" t="s">
        <v>73</v>
      </c>
      <c r="FX85" s="473" t="s">
        <v>4</v>
      </c>
      <c r="FY85" s="1004"/>
      <c r="FZ85" s="1005">
        <f>(FG86*FH86*FI86)+(FJ86*FK86*FL86)+(FM86*FN86*FO86)+(FP86*FQ86*FR86)+(FS86*FT86*FU86)+(FV86*FW86*FX86)</f>
        <v>0</v>
      </c>
      <c r="GA85" s="940"/>
      <c r="GB85" s="1016"/>
      <c r="GD85" s="1049"/>
      <c r="GE85" s="460" t="s">
        <v>59</v>
      </c>
      <c r="GF85" s="460" t="s">
        <v>73</v>
      </c>
      <c r="GG85" s="461" t="s">
        <v>4</v>
      </c>
      <c r="GH85" s="460" t="s">
        <v>59</v>
      </c>
      <c r="GI85" s="460" t="s">
        <v>73</v>
      </c>
      <c r="GJ85" s="461" t="s">
        <v>4</v>
      </c>
      <c r="GK85" s="460" t="s">
        <v>59</v>
      </c>
      <c r="GL85" s="460" t="s">
        <v>73</v>
      </c>
      <c r="GM85" s="461" t="s">
        <v>4</v>
      </c>
      <c r="GN85" s="460" t="s">
        <v>59</v>
      </c>
      <c r="GO85" s="460" t="s">
        <v>73</v>
      </c>
      <c r="GP85" s="461" t="s">
        <v>4</v>
      </c>
      <c r="GQ85" s="460" t="s">
        <v>59</v>
      </c>
      <c r="GR85" s="460" t="s">
        <v>73</v>
      </c>
      <c r="GS85" s="461" t="s">
        <v>4</v>
      </c>
      <c r="GT85" s="460" t="s">
        <v>59</v>
      </c>
      <c r="GU85" s="460" t="s">
        <v>73</v>
      </c>
      <c r="GV85" s="473" t="s">
        <v>4</v>
      </c>
      <c r="GW85" s="1004"/>
      <c r="GX85" s="1005">
        <f>(GE86*GF86*GG86)+(GH86*GI86*GJ86)+(GK86*GL86*GM86)+(GN86*GO86*GP86)+(GQ86*GR86*GS86)+(GT86*GU86*GV86)</f>
        <v>0</v>
      </c>
      <c r="GY85" s="940"/>
      <c r="GZ85" s="1016"/>
      <c r="HB85" s="1065"/>
      <c r="HC85" s="460" t="s">
        <v>59</v>
      </c>
      <c r="HD85" s="460" t="s">
        <v>73</v>
      </c>
      <c r="HE85" s="461" t="s">
        <v>4</v>
      </c>
      <c r="HF85" s="460" t="s">
        <v>59</v>
      </c>
      <c r="HG85" s="460" t="s">
        <v>73</v>
      </c>
      <c r="HH85" s="461" t="s">
        <v>4</v>
      </c>
      <c r="HI85" s="460" t="s">
        <v>59</v>
      </c>
      <c r="HJ85" s="460" t="s">
        <v>73</v>
      </c>
      <c r="HK85" s="461" t="s">
        <v>4</v>
      </c>
      <c r="HL85" s="460" t="s">
        <v>59</v>
      </c>
      <c r="HM85" s="460" t="s">
        <v>73</v>
      </c>
      <c r="HN85" s="461" t="s">
        <v>4</v>
      </c>
      <c r="HO85" s="460" t="s">
        <v>59</v>
      </c>
      <c r="HP85" s="460" t="s">
        <v>73</v>
      </c>
      <c r="HQ85" s="461" t="s">
        <v>4</v>
      </c>
      <c r="HR85" s="460" t="s">
        <v>59</v>
      </c>
      <c r="HS85" s="460" t="s">
        <v>73</v>
      </c>
      <c r="HT85" s="473" t="s">
        <v>4</v>
      </c>
      <c r="HU85" s="1004"/>
      <c r="HV85" s="1005">
        <f>(HC86*HD86*HE86)+(HF86*HG86*HH86)+(HI86*HJ86*HK86)+(HL86*HM86*HN86)+(HO86*HP86*HQ86)+(HR86*HS86*HT86)</f>
        <v>0</v>
      </c>
      <c r="HW85" s="940"/>
      <c r="HX85" s="1016"/>
      <c r="HZ85" s="1039"/>
      <c r="IA85" s="460" t="s">
        <v>59</v>
      </c>
      <c r="IB85" s="460" t="s">
        <v>73</v>
      </c>
      <c r="IC85" s="461" t="s">
        <v>4</v>
      </c>
      <c r="ID85" s="460" t="s">
        <v>59</v>
      </c>
      <c r="IE85" s="460" t="s">
        <v>73</v>
      </c>
      <c r="IF85" s="461" t="s">
        <v>4</v>
      </c>
      <c r="IG85" s="460" t="s">
        <v>59</v>
      </c>
      <c r="IH85" s="460" t="s">
        <v>73</v>
      </c>
      <c r="II85" s="461" t="s">
        <v>4</v>
      </c>
      <c r="IJ85" s="460" t="s">
        <v>59</v>
      </c>
      <c r="IK85" s="460" t="s">
        <v>73</v>
      </c>
      <c r="IL85" s="461" t="s">
        <v>4</v>
      </c>
      <c r="IM85" s="460" t="s">
        <v>59</v>
      </c>
      <c r="IN85" s="460" t="s">
        <v>73</v>
      </c>
      <c r="IO85" s="461" t="s">
        <v>4</v>
      </c>
      <c r="IP85" s="460" t="s">
        <v>59</v>
      </c>
      <c r="IQ85" s="460" t="s">
        <v>73</v>
      </c>
      <c r="IR85" s="473" t="s">
        <v>4</v>
      </c>
      <c r="IS85" s="1004"/>
      <c r="IT85" s="1005">
        <f>(IA86*IB86*IC86)+(ID86*IE86*IF86)+(IG86*IH86*II86)+(IJ86*IK86*IL86)+(IM86*IN86*IO86)+(IP86*IQ86*IR86)</f>
        <v>0</v>
      </c>
      <c r="IU85" s="940"/>
      <c r="IV85" s="1016"/>
      <c r="IX85" s="1052"/>
      <c r="IY85" s="491" t="s">
        <v>59</v>
      </c>
      <c r="IZ85" s="491" t="s">
        <v>73</v>
      </c>
      <c r="JA85" s="492" t="s">
        <v>4</v>
      </c>
      <c r="JB85" s="491" t="s">
        <v>59</v>
      </c>
      <c r="JC85" s="491" t="s">
        <v>73</v>
      </c>
      <c r="JD85" s="492" t="s">
        <v>4</v>
      </c>
      <c r="JE85" s="491" t="s">
        <v>59</v>
      </c>
      <c r="JF85" s="491" t="s">
        <v>73</v>
      </c>
      <c r="JG85" s="492" t="s">
        <v>4</v>
      </c>
      <c r="JH85" s="491" t="s">
        <v>59</v>
      </c>
      <c r="JI85" s="491" t="s">
        <v>73</v>
      </c>
      <c r="JJ85" s="492" t="s">
        <v>4</v>
      </c>
      <c r="JK85" s="491" t="s">
        <v>59</v>
      </c>
      <c r="JL85" s="491" t="s">
        <v>73</v>
      </c>
      <c r="JM85" s="492" t="s">
        <v>4</v>
      </c>
      <c r="JN85" s="491" t="s">
        <v>59</v>
      </c>
      <c r="JO85" s="491" t="s">
        <v>73</v>
      </c>
      <c r="JP85" s="493" t="s">
        <v>4</v>
      </c>
      <c r="JQ85" s="1071"/>
      <c r="JR85" s="1072">
        <f>(IY86*IZ86*JA86)+(JB86*JC86*JD86)+(JE86*JF86*JG86)+(JH86*JI86*JJ86)+(JK86*JL86*JM86)+(JN86*JO86*JP86)</f>
        <v>0</v>
      </c>
      <c r="JS85" s="1068"/>
      <c r="JT85" s="1070"/>
      <c r="JV85" s="1065"/>
      <c r="JW85" s="460" t="s">
        <v>59</v>
      </c>
      <c r="JX85" s="460" t="s">
        <v>73</v>
      </c>
      <c r="JY85" s="461" t="s">
        <v>4</v>
      </c>
      <c r="JZ85" s="460" t="s">
        <v>59</v>
      </c>
      <c r="KA85" s="460" t="s">
        <v>73</v>
      </c>
      <c r="KB85" s="461" t="s">
        <v>4</v>
      </c>
      <c r="KC85" s="460" t="s">
        <v>59</v>
      </c>
      <c r="KD85" s="460" t="s">
        <v>73</v>
      </c>
      <c r="KE85" s="461" t="s">
        <v>4</v>
      </c>
      <c r="KF85" s="460" t="s">
        <v>59</v>
      </c>
      <c r="KG85" s="460" t="s">
        <v>73</v>
      </c>
      <c r="KH85" s="461" t="s">
        <v>4</v>
      </c>
      <c r="KI85" s="460" t="s">
        <v>59</v>
      </c>
      <c r="KJ85" s="460" t="s">
        <v>73</v>
      </c>
      <c r="KK85" s="461" t="s">
        <v>4</v>
      </c>
      <c r="KL85" s="460" t="s">
        <v>59</v>
      </c>
      <c r="KM85" s="460" t="s">
        <v>73</v>
      </c>
      <c r="KN85" s="473" t="s">
        <v>4</v>
      </c>
      <c r="KO85" s="1004"/>
      <c r="KP85" s="1005">
        <f>(JW86*JX86*JY86)+(JZ86*KA86*KB86)+(KC86*KD86*KE86)+(KF86*KG86*KH86)+(KI86*KJ86*KK86)+(KL86*KM86*KN86)</f>
        <v>0</v>
      </c>
      <c r="KQ85" s="940"/>
      <c r="KR85" s="1016"/>
      <c r="KT85" s="1042"/>
      <c r="KU85" s="460" t="s">
        <v>59</v>
      </c>
      <c r="KV85" s="460" t="s">
        <v>73</v>
      </c>
      <c r="KW85" s="461" t="s">
        <v>4</v>
      </c>
      <c r="KX85" s="460" t="s">
        <v>59</v>
      </c>
      <c r="KY85" s="460" t="s">
        <v>73</v>
      </c>
      <c r="KZ85" s="461" t="s">
        <v>4</v>
      </c>
      <c r="LA85" s="460" t="s">
        <v>59</v>
      </c>
      <c r="LB85" s="460" t="s">
        <v>73</v>
      </c>
      <c r="LC85" s="461" t="s">
        <v>4</v>
      </c>
      <c r="LD85" s="460" t="s">
        <v>59</v>
      </c>
      <c r="LE85" s="460" t="s">
        <v>73</v>
      </c>
      <c r="LF85" s="461" t="s">
        <v>4</v>
      </c>
      <c r="LG85" s="460" t="s">
        <v>59</v>
      </c>
      <c r="LH85" s="460" t="s">
        <v>73</v>
      </c>
      <c r="LI85" s="461" t="s">
        <v>4</v>
      </c>
      <c r="LJ85" s="460" t="s">
        <v>59</v>
      </c>
      <c r="LK85" s="460" t="s">
        <v>73</v>
      </c>
      <c r="LL85" s="473" t="s">
        <v>4</v>
      </c>
      <c r="LM85" s="1004"/>
      <c r="LN85" s="1005">
        <f>(KU86*KV86*KW86)+(KX86*KY86*KZ86)+(LA86*LB86*LC86)+(LD86*LE86*LF86)+(LG86*LH86*LI86)+(LJ86*LK86*LL86)</f>
        <v>0</v>
      </c>
      <c r="LO85" s="940"/>
      <c r="LP85" s="1016"/>
    </row>
    <row r="86" spans="18:328" ht="15">
      <c r="R86" s="847"/>
      <c r="S86" s="229">
        <v>4</v>
      </c>
      <c r="T86" s="229">
        <f>((12*2)+(10*2))/4</f>
        <v>11</v>
      </c>
      <c r="U86" s="229">
        <f>((7.25*1)+(14.75*3))/4</f>
        <v>12.875</v>
      </c>
      <c r="V86" s="229">
        <v>4</v>
      </c>
      <c r="W86" s="126">
        <f>((12*2)+(10*2))/4</f>
        <v>11</v>
      </c>
      <c r="X86" s="229">
        <f>((15*1)+(35*3))/4</f>
        <v>30</v>
      </c>
      <c r="Y86" s="229">
        <v>4</v>
      </c>
      <c r="Z86" s="229">
        <f>((12*2)+(8*2))/4</f>
        <v>10</v>
      </c>
      <c r="AA86" s="229">
        <f>((23*1)+(50*2)+(54*1))/4</f>
        <v>44.25</v>
      </c>
      <c r="AB86" s="229">
        <v>4</v>
      </c>
      <c r="AC86" s="229">
        <f>((20*3)+(40*1))/4</f>
        <v>25</v>
      </c>
      <c r="AD86" s="229">
        <f>(1/3)*AN84</f>
        <v>25.766666666666666</v>
      </c>
      <c r="AE86" s="233"/>
      <c r="AF86" s="233"/>
      <c r="AG86" s="233"/>
      <c r="AH86" s="233"/>
      <c r="AI86" s="233"/>
      <c r="AJ86" s="472"/>
      <c r="AK86" s="1007"/>
      <c r="AL86" s="1002"/>
      <c r="AM86" s="941"/>
      <c r="AN86" s="855"/>
      <c r="AO86" s="118"/>
      <c r="AP86" s="842"/>
      <c r="AQ86" s="494"/>
      <c r="AR86" s="494"/>
      <c r="AS86" s="494"/>
      <c r="AT86" s="494"/>
      <c r="AU86" s="494"/>
      <c r="AV86" s="494"/>
      <c r="AW86" s="494"/>
      <c r="AX86" s="494"/>
      <c r="AY86" s="494"/>
      <c r="AZ86" s="494"/>
      <c r="BA86" s="494"/>
      <c r="BB86" s="494"/>
      <c r="BC86" s="494"/>
      <c r="BD86" s="494"/>
      <c r="BE86" s="494"/>
      <c r="BF86" s="494"/>
      <c r="BG86" s="494"/>
      <c r="BH86" s="497"/>
      <c r="BI86" s="1007"/>
      <c r="BJ86" s="1003"/>
      <c r="BK86" s="941"/>
      <c r="BL86" s="1016"/>
      <c r="BM86" s="118"/>
      <c r="BN86" s="842"/>
      <c r="BO86" s="494"/>
      <c r="BP86" s="494"/>
      <c r="BQ86" s="494"/>
      <c r="BR86" s="494"/>
      <c r="BS86" s="494"/>
      <c r="BT86" s="494"/>
      <c r="BU86" s="494"/>
      <c r="BV86" s="494"/>
      <c r="BW86" s="494"/>
      <c r="BX86" s="494"/>
      <c r="BY86" s="494"/>
      <c r="BZ86" s="494"/>
      <c r="CA86" s="494"/>
      <c r="CB86" s="494"/>
      <c r="CC86" s="494"/>
      <c r="CD86" s="494"/>
      <c r="CE86" s="494"/>
      <c r="CF86" s="495"/>
      <c r="CG86" s="1007"/>
      <c r="CH86" s="1006"/>
      <c r="CI86" s="941"/>
      <c r="CJ86" s="1016"/>
      <c r="CL86" s="1076"/>
      <c r="CM86" s="462"/>
      <c r="CN86" s="462"/>
      <c r="CO86" s="462"/>
      <c r="CP86" s="462"/>
      <c r="CQ86" s="462"/>
      <c r="CR86" s="462"/>
      <c r="CS86" s="462"/>
      <c r="CT86" s="462"/>
      <c r="CU86" s="462"/>
      <c r="CV86" s="462"/>
      <c r="CW86" s="462"/>
      <c r="CX86" s="462"/>
      <c r="CY86" s="462"/>
      <c r="CZ86" s="462"/>
      <c r="DA86" s="462"/>
      <c r="DB86" s="462"/>
      <c r="DC86" s="462"/>
      <c r="DD86" s="474"/>
      <c r="DE86" s="1007"/>
      <c r="DF86" s="1006"/>
      <c r="DG86" s="941"/>
      <c r="DH86" s="1016"/>
      <c r="DJ86" s="1043"/>
      <c r="DK86" s="462"/>
      <c r="DL86" s="462"/>
      <c r="DM86" s="462"/>
      <c r="DN86" s="462"/>
      <c r="DO86" s="462"/>
      <c r="DP86" s="462"/>
      <c r="DQ86" s="462"/>
      <c r="DR86" s="462"/>
      <c r="DS86" s="462"/>
      <c r="DT86" s="462"/>
      <c r="DU86" s="462"/>
      <c r="DV86" s="462"/>
      <c r="DW86" s="462"/>
      <c r="DX86" s="462"/>
      <c r="DY86" s="462"/>
      <c r="DZ86" s="462"/>
      <c r="EA86" s="462"/>
      <c r="EB86" s="474"/>
      <c r="EC86" s="1007"/>
      <c r="ED86" s="1006"/>
      <c r="EE86" s="941"/>
      <c r="EF86" s="1016"/>
      <c r="EH86" s="1063"/>
      <c r="EI86" s="462"/>
      <c r="EJ86" s="462"/>
      <c r="EK86" s="462"/>
      <c r="EL86" s="462"/>
      <c r="EM86" s="462"/>
      <c r="EN86" s="462"/>
      <c r="EO86" s="462"/>
      <c r="EP86" s="462"/>
      <c r="EQ86" s="462"/>
      <c r="ER86" s="462"/>
      <c r="ES86" s="462"/>
      <c r="ET86" s="462"/>
      <c r="EU86" s="462"/>
      <c r="EV86" s="462"/>
      <c r="EW86" s="462"/>
      <c r="EX86" s="462"/>
      <c r="EY86" s="462"/>
      <c r="EZ86" s="474"/>
      <c r="FA86" s="1007"/>
      <c r="FB86" s="1006"/>
      <c r="FC86" s="941"/>
      <c r="FD86" s="1016"/>
      <c r="FF86" s="1076"/>
      <c r="FG86" s="462"/>
      <c r="FH86" s="462"/>
      <c r="FI86" s="462"/>
      <c r="FJ86" s="462"/>
      <c r="FK86" s="462"/>
      <c r="FL86" s="462"/>
      <c r="FM86" s="462"/>
      <c r="FN86" s="462"/>
      <c r="FO86" s="462"/>
      <c r="FP86" s="462"/>
      <c r="FQ86" s="462"/>
      <c r="FR86" s="462"/>
      <c r="FS86" s="462"/>
      <c r="FT86" s="462"/>
      <c r="FU86" s="462"/>
      <c r="FV86" s="462"/>
      <c r="FW86" s="462"/>
      <c r="FX86" s="474"/>
      <c r="FY86" s="1007"/>
      <c r="FZ86" s="1006"/>
      <c r="GA86" s="941"/>
      <c r="GB86" s="1016"/>
      <c r="GD86" s="1050"/>
      <c r="GE86" s="462"/>
      <c r="GF86" s="462"/>
      <c r="GG86" s="462"/>
      <c r="GH86" s="462"/>
      <c r="GI86" s="462"/>
      <c r="GJ86" s="462"/>
      <c r="GK86" s="462"/>
      <c r="GL86" s="462"/>
      <c r="GM86" s="462"/>
      <c r="GN86" s="462"/>
      <c r="GO86" s="462"/>
      <c r="GP86" s="462"/>
      <c r="GQ86" s="462"/>
      <c r="GR86" s="462"/>
      <c r="GS86" s="462"/>
      <c r="GT86" s="462"/>
      <c r="GU86" s="462"/>
      <c r="GV86" s="474"/>
      <c r="GW86" s="1007"/>
      <c r="GX86" s="1006"/>
      <c r="GY86" s="941"/>
      <c r="GZ86" s="1016"/>
      <c r="HB86" s="1066"/>
      <c r="HC86" s="462"/>
      <c r="HD86" s="462"/>
      <c r="HE86" s="462"/>
      <c r="HF86" s="462"/>
      <c r="HG86" s="462"/>
      <c r="HH86" s="462"/>
      <c r="HI86" s="462"/>
      <c r="HJ86" s="462"/>
      <c r="HK86" s="462"/>
      <c r="HL86" s="462"/>
      <c r="HM86" s="462"/>
      <c r="HN86" s="462"/>
      <c r="HO86" s="462"/>
      <c r="HP86" s="462"/>
      <c r="HQ86" s="462"/>
      <c r="HR86" s="462"/>
      <c r="HS86" s="462"/>
      <c r="HT86" s="474"/>
      <c r="HU86" s="1007"/>
      <c r="HV86" s="1006"/>
      <c r="HW86" s="941"/>
      <c r="HX86" s="1016"/>
      <c r="HZ86" s="1040"/>
      <c r="IA86" s="462"/>
      <c r="IB86" s="462"/>
      <c r="IC86" s="462"/>
      <c r="ID86" s="462"/>
      <c r="IE86" s="462"/>
      <c r="IF86" s="462"/>
      <c r="IG86" s="462"/>
      <c r="IH86" s="462"/>
      <c r="II86" s="462"/>
      <c r="IJ86" s="462"/>
      <c r="IK86" s="462"/>
      <c r="IL86" s="462"/>
      <c r="IM86" s="462"/>
      <c r="IN86" s="462"/>
      <c r="IO86" s="462"/>
      <c r="IP86" s="462"/>
      <c r="IQ86" s="462"/>
      <c r="IR86" s="474"/>
      <c r="IS86" s="1007"/>
      <c r="IT86" s="1006"/>
      <c r="IU86" s="941"/>
      <c r="IV86" s="1016"/>
      <c r="IX86" s="1053"/>
      <c r="IY86" s="494"/>
      <c r="IZ86" s="494"/>
      <c r="JA86" s="494"/>
      <c r="JB86" s="494"/>
      <c r="JC86" s="494"/>
      <c r="JD86" s="494"/>
      <c r="JE86" s="494"/>
      <c r="JF86" s="494"/>
      <c r="JG86" s="494"/>
      <c r="JH86" s="494"/>
      <c r="JI86" s="494"/>
      <c r="JJ86" s="494"/>
      <c r="JK86" s="494"/>
      <c r="JL86" s="494"/>
      <c r="JM86" s="494"/>
      <c r="JN86" s="494"/>
      <c r="JO86" s="494"/>
      <c r="JP86" s="495"/>
      <c r="JQ86" s="1081"/>
      <c r="JR86" s="1073"/>
      <c r="JS86" s="1069"/>
      <c r="JT86" s="1070"/>
      <c r="JV86" s="1066"/>
      <c r="JW86" s="462"/>
      <c r="JX86" s="462"/>
      <c r="JY86" s="462"/>
      <c r="JZ86" s="462"/>
      <c r="KA86" s="462"/>
      <c r="KB86" s="462"/>
      <c r="KC86" s="462"/>
      <c r="KD86" s="462"/>
      <c r="KE86" s="462"/>
      <c r="KF86" s="462"/>
      <c r="KG86" s="462"/>
      <c r="KH86" s="462"/>
      <c r="KI86" s="462"/>
      <c r="KJ86" s="462"/>
      <c r="KK86" s="462"/>
      <c r="KL86" s="462"/>
      <c r="KM86" s="462"/>
      <c r="KN86" s="474"/>
      <c r="KO86" s="1007"/>
      <c r="KP86" s="1006"/>
      <c r="KQ86" s="941"/>
      <c r="KR86" s="1016"/>
      <c r="KT86" s="1043"/>
      <c r="KU86" s="462"/>
      <c r="KV86" s="462"/>
      <c r="KW86" s="462"/>
      <c r="KX86" s="462"/>
      <c r="KY86" s="462"/>
      <c r="KZ86" s="462"/>
      <c r="LA86" s="462"/>
      <c r="LB86" s="462"/>
      <c r="LC86" s="462"/>
      <c r="LD86" s="462"/>
      <c r="LE86" s="462"/>
      <c r="LF86" s="462"/>
      <c r="LG86" s="462"/>
      <c r="LH86" s="462"/>
      <c r="LI86" s="462"/>
      <c r="LJ86" s="462"/>
      <c r="LK86" s="462"/>
      <c r="LL86" s="474"/>
      <c r="LM86" s="1007"/>
      <c r="LN86" s="1006"/>
      <c r="LO86" s="941"/>
      <c r="LP86" s="1016"/>
    </row>
    <row r="87" spans="18:328" ht="15">
      <c r="R87" s="873">
        <v>46051</v>
      </c>
      <c r="S87" s="973" t="s">
        <v>72</v>
      </c>
      <c r="T87" s="973"/>
      <c r="U87" s="973"/>
      <c r="V87" s="977" t="s">
        <v>102</v>
      </c>
      <c r="W87" s="977"/>
      <c r="X87" s="977"/>
      <c r="Y87" s="977" t="s">
        <v>424</v>
      </c>
      <c r="Z87" s="977"/>
      <c r="AA87" s="977"/>
      <c r="AB87" s="977" t="s">
        <v>380</v>
      </c>
      <c r="AC87" s="977"/>
      <c r="AD87" s="977"/>
      <c r="AE87" s="978" t="s">
        <v>78</v>
      </c>
      <c r="AF87" s="979"/>
      <c r="AG87" s="980"/>
      <c r="AH87" s="834"/>
      <c r="AI87" s="835"/>
      <c r="AJ87" s="835"/>
      <c r="AK87" s="459" t="s">
        <v>425</v>
      </c>
      <c r="AL87" s="1">
        <f t="shared" ref="AL87" si="124">COUNTA(S87:AJ87)</f>
        <v>5</v>
      </c>
      <c r="AM87" s="939"/>
      <c r="AN87" s="855">
        <v>78.099999999999994</v>
      </c>
      <c r="AO87" s="118"/>
      <c r="AP87" s="974"/>
      <c r="AQ87" s="844"/>
      <c r="AR87" s="844"/>
      <c r="AS87" s="844"/>
      <c r="AT87" s="844"/>
      <c r="AU87" s="844"/>
      <c r="AV87" s="844"/>
      <c r="AW87" s="844"/>
      <c r="AX87" s="844"/>
      <c r="AY87" s="844"/>
      <c r="AZ87" s="844"/>
      <c r="BA87" s="844"/>
      <c r="BB87" s="844"/>
      <c r="BC87" s="834"/>
      <c r="BD87" s="835"/>
      <c r="BE87" s="836"/>
      <c r="BF87" s="834"/>
      <c r="BG87" s="835"/>
      <c r="BH87" s="835"/>
      <c r="BI87" s="484" t="s">
        <v>425</v>
      </c>
      <c r="BJ87" s="488">
        <f t="shared" si="97"/>
        <v>0</v>
      </c>
      <c r="BK87" s="1011"/>
      <c r="BL87" s="1020"/>
      <c r="BM87" s="118"/>
      <c r="BN87" s="864">
        <v>46110</v>
      </c>
      <c r="BO87" s="890" t="s">
        <v>131</v>
      </c>
      <c r="BP87" s="890"/>
      <c r="BQ87" s="890"/>
      <c r="BR87" s="849" t="s">
        <v>72</v>
      </c>
      <c r="BS87" s="849"/>
      <c r="BT87" s="849"/>
      <c r="BU87" s="977" t="s">
        <v>756</v>
      </c>
      <c r="BV87" s="977"/>
      <c r="BW87" s="977"/>
      <c r="BX87" s="897" t="s">
        <v>617</v>
      </c>
      <c r="BY87" s="898"/>
      <c r="BZ87" s="899"/>
      <c r="CA87" s="890" t="s">
        <v>779</v>
      </c>
      <c r="CB87" s="890"/>
      <c r="CC87" s="890"/>
      <c r="CD87" s="897" t="s">
        <v>106</v>
      </c>
      <c r="CE87" s="898"/>
      <c r="CF87" s="898"/>
      <c r="CG87" s="459" t="s">
        <v>425</v>
      </c>
      <c r="CH87" s="482">
        <f t="shared" ref="CH87" si="125">COUNTA(BO87:CF87)</f>
        <v>6</v>
      </c>
      <c r="CI87" s="939">
        <v>9.5</v>
      </c>
      <c r="CJ87" s="1016">
        <v>76.8</v>
      </c>
      <c r="CL87" s="1038">
        <v>46141</v>
      </c>
      <c r="CM87" s="960"/>
      <c r="CN87" s="960"/>
      <c r="CO87" s="960"/>
      <c r="CP87" s="960"/>
      <c r="CQ87" s="960"/>
      <c r="CR87" s="960"/>
      <c r="CS87" s="960"/>
      <c r="CT87" s="960"/>
      <c r="CU87" s="960"/>
      <c r="CV87" s="960"/>
      <c r="CW87" s="960"/>
      <c r="CX87" s="960"/>
      <c r="CY87" s="961"/>
      <c r="CZ87" s="962"/>
      <c r="DA87" s="963"/>
      <c r="DB87" s="961"/>
      <c r="DC87" s="962"/>
      <c r="DD87" s="962"/>
      <c r="DE87" s="459" t="s">
        <v>425</v>
      </c>
      <c r="DF87" s="482">
        <f>COUNTA(CM87:DD87)</f>
        <v>0</v>
      </c>
      <c r="DG87" s="939"/>
      <c r="DH87" s="1016"/>
      <c r="DJ87" s="1048">
        <v>46171</v>
      </c>
      <c r="DK87" s="960"/>
      <c r="DL87" s="960"/>
      <c r="DM87" s="960"/>
      <c r="DN87" s="960"/>
      <c r="DO87" s="960"/>
      <c r="DP87" s="960"/>
      <c r="DQ87" s="960"/>
      <c r="DR87" s="960"/>
      <c r="DS87" s="960"/>
      <c r="DT87" s="960"/>
      <c r="DU87" s="960"/>
      <c r="DV87" s="960"/>
      <c r="DW87" s="961"/>
      <c r="DX87" s="962"/>
      <c r="DY87" s="963"/>
      <c r="DZ87" s="961"/>
      <c r="EA87" s="962"/>
      <c r="EB87" s="962"/>
      <c r="EC87" s="459" t="s">
        <v>425</v>
      </c>
      <c r="ED87" s="482">
        <f>COUNTA(DK87:EB87)</f>
        <v>0</v>
      </c>
      <c r="EE87" s="939"/>
      <c r="EF87" s="1016"/>
      <c r="EH87" s="1064">
        <v>46202</v>
      </c>
      <c r="EI87" s="960"/>
      <c r="EJ87" s="960"/>
      <c r="EK87" s="960"/>
      <c r="EL87" s="960"/>
      <c r="EM87" s="960"/>
      <c r="EN87" s="960"/>
      <c r="EO87" s="960"/>
      <c r="EP87" s="960"/>
      <c r="EQ87" s="960"/>
      <c r="ER87" s="960"/>
      <c r="ES87" s="960"/>
      <c r="ET87" s="960"/>
      <c r="EU87" s="961"/>
      <c r="EV87" s="962"/>
      <c r="EW87" s="963"/>
      <c r="EX87" s="961"/>
      <c r="EY87" s="962"/>
      <c r="EZ87" s="962"/>
      <c r="FA87" s="459" t="s">
        <v>425</v>
      </c>
      <c r="FB87" s="482">
        <f>COUNTA(EI87:EZ87)</f>
        <v>0</v>
      </c>
      <c r="FC87" s="939"/>
      <c r="FD87" s="1016"/>
      <c r="FF87" s="1038">
        <v>46232</v>
      </c>
      <c r="FG87" s="960"/>
      <c r="FH87" s="960"/>
      <c r="FI87" s="960"/>
      <c r="FJ87" s="960"/>
      <c r="FK87" s="960"/>
      <c r="FL87" s="960"/>
      <c r="FM87" s="960"/>
      <c r="FN87" s="960"/>
      <c r="FO87" s="960"/>
      <c r="FP87" s="960"/>
      <c r="FQ87" s="960"/>
      <c r="FR87" s="960"/>
      <c r="FS87" s="961"/>
      <c r="FT87" s="962"/>
      <c r="FU87" s="963"/>
      <c r="FV87" s="961"/>
      <c r="FW87" s="962"/>
      <c r="FX87" s="962"/>
      <c r="FY87" s="459" t="s">
        <v>425</v>
      </c>
      <c r="FZ87" s="482">
        <f>COUNTA(FG87:FX87)</f>
        <v>0</v>
      </c>
      <c r="GA87" s="939"/>
      <c r="GB87" s="1016"/>
      <c r="GD87" s="1051">
        <v>46263</v>
      </c>
      <c r="GE87" s="1023"/>
      <c r="GF87" s="1023"/>
      <c r="GG87" s="1023"/>
      <c r="GH87" s="1023"/>
      <c r="GI87" s="1023"/>
      <c r="GJ87" s="1023"/>
      <c r="GK87" s="1023"/>
      <c r="GL87" s="1023"/>
      <c r="GM87" s="1023"/>
      <c r="GN87" s="1023"/>
      <c r="GO87" s="1023"/>
      <c r="GP87" s="1023"/>
      <c r="GQ87" s="1021"/>
      <c r="GR87" s="1022"/>
      <c r="GS87" s="1024"/>
      <c r="GT87" s="1021"/>
      <c r="GU87" s="1022"/>
      <c r="GV87" s="1022"/>
      <c r="GW87" s="489" t="s">
        <v>425</v>
      </c>
      <c r="GX87" s="496">
        <f>COUNTA(GE87:GV87)</f>
        <v>0</v>
      </c>
      <c r="GY87" s="1067"/>
      <c r="GZ87" s="1070"/>
      <c r="HB87" s="1074">
        <v>46294</v>
      </c>
      <c r="HC87" s="960"/>
      <c r="HD87" s="960"/>
      <c r="HE87" s="960"/>
      <c r="HF87" s="960"/>
      <c r="HG87" s="960"/>
      <c r="HH87" s="960"/>
      <c r="HI87" s="960"/>
      <c r="HJ87" s="960"/>
      <c r="HK87" s="960"/>
      <c r="HL87" s="960"/>
      <c r="HM87" s="960"/>
      <c r="HN87" s="960"/>
      <c r="HO87" s="961"/>
      <c r="HP87" s="962"/>
      <c r="HQ87" s="963"/>
      <c r="HR87" s="961"/>
      <c r="HS87" s="962"/>
      <c r="HT87" s="962"/>
      <c r="HU87" s="459" t="s">
        <v>425</v>
      </c>
      <c r="HV87" s="482">
        <f>COUNTA(HC87:HT87)</f>
        <v>0</v>
      </c>
      <c r="HW87" s="939"/>
      <c r="HX87" s="1016"/>
      <c r="HZ87" s="1041">
        <v>46324</v>
      </c>
      <c r="IA87" s="960"/>
      <c r="IB87" s="960"/>
      <c r="IC87" s="960"/>
      <c r="ID87" s="960"/>
      <c r="IE87" s="960"/>
      <c r="IF87" s="960"/>
      <c r="IG87" s="960"/>
      <c r="IH87" s="960"/>
      <c r="II87" s="960"/>
      <c r="IJ87" s="960"/>
      <c r="IK87" s="960"/>
      <c r="IL87" s="960"/>
      <c r="IM87" s="961"/>
      <c r="IN87" s="962"/>
      <c r="IO87" s="963"/>
      <c r="IP87" s="961"/>
      <c r="IQ87" s="962"/>
      <c r="IR87" s="962"/>
      <c r="IS87" s="459" t="s">
        <v>425</v>
      </c>
      <c r="IT87" s="482">
        <f>COUNTA(IA87:IR87)</f>
        <v>0</v>
      </c>
      <c r="IU87" s="939"/>
      <c r="IV87" s="1016"/>
      <c r="IX87" s="1061">
        <v>46355</v>
      </c>
      <c r="IY87" s="960"/>
      <c r="IZ87" s="960"/>
      <c r="JA87" s="960"/>
      <c r="JB87" s="960"/>
      <c r="JC87" s="960"/>
      <c r="JD87" s="960"/>
      <c r="JE87" s="960"/>
      <c r="JF87" s="960"/>
      <c r="JG87" s="960"/>
      <c r="JH87" s="960"/>
      <c r="JI87" s="960"/>
      <c r="JJ87" s="960"/>
      <c r="JK87" s="961"/>
      <c r="JL87" s="962"/>
      <c r="JM87" s="963"/>
      <c r="JN87" s="961"/>
      <c r="JO87" s="962"/>
      <c r="JP87" s="962"/>
      <c r="JQ87" s="459" t="s">
        <v>425</v>
      </c>
      <c r="JR87" s="482">
        <f>COUNTA(IY87:JP87)</f>
        <v>0</v>
      </c>
      <c r="JS87" s="939"/>
      <c r="JT87" s="1016"/>
      <c r="JV87" s="1074">
        <v>46385</v>
      </c>
      <c r="JW87" s="960"/>
      <c r="JX87" s="960"/>
      <c r="JY87" s="960"/>
      <c r="JZ87" s="960"/>
      <c r="KA87" s="960"/>
      <c r="KB87" s="960"/>
      <c r="KC87" s="960"/>
      <c r="KD87" s="960"/>
      <c r="KE87" s="960"/>
      <c r="KF87" s="960"/>
      <c r="KG87" s="960"/>
      <c r="KH87" s="960"/>
      <c r="KI87" s="961"/>
      <c r="KJ87" s="962"/>
      <c r="KK87" s="963"/>
      <c r="KL87" s="961"/>
      <c r="KM87" s="962"/>
      <c r="KN87" s="962"/>
      <c r="KO87" s="459" t="s">
        <v>425</v>
      </c>
      <c r="KP87" s="482">
        <f>COUNTA(JW87:KN87)</f>
        <v>0</v>
      </c>
      <c r="KQ87" s="939"/>
      <c r="KR87" s="1016"/>
      <c r="KT87" s="1048">
        <v>46416</v>
      </c>
      <c r="KU87" s="960"/>
      <c r="KV87" s="960"/>
      <c r="KW87" s="960"/>
      <c r="KX87" s="960"/>
      <c r="KY87" s="960"/>
      <c r="KZ87" s="960"/>
      <c r="LA87" s="960"/>
      <c r="LB87" s="960"/>
      <c r="LC87" s="960"/>
      <c r="LD87" s="960"/>
      <c r="LE87" s="960"/>
      <c r="LF87" s="960"/>
      <c r="LG87" s="961"/>
      <c r="LH87" s="962"/>
      <c r="LI87" s="963"/>
      <c r="LJ87" s="961"/>
      <c r="LK87" s="962"/>
      <c r="LL87" s="962"/>
      <c r="LM87" s="459" t="s">
        <v>425</v>
      </c>
      <c r="LN87" s="482">
        <f>COUNTA(KU87:LL87)</f>
        <v>0</v>
      </c>
      <c r="LO87" s="939"/>
      <c r="LP87" s="1016"/>
    </row>
    <row r="88" spans="18:328" ht="15">
      <c r="R88" s="874"/>
      <c r="S88" s="303" t="s">
        <v>59</v>
      </c>
      <c r="T88" s="303" t="s">
        <v>73</v>
      </c>
      <c r="U88" s="304" t="s">
        <v>4</v>
      </c>
      <c r="V88" s="303" t="s">
        <v>59</v>
      </c>
      <c r="W88" s="303" t="s">
        <v>73</v>
      </c>
      <c r="X88" s="304" t="s">
        <v>4</v>
      </c>
      <c r="Y88" s="303" t="s">
        <v>59</v>
      </c>
      <c r="Z88" s="303" t="s">
        <v>73</v>
      </c>
      <c r="AA88" s="304" t="s">
        <v>4</v>
      </c>
      <c r="AB88" s="303" t="s">
        <v>59</v>
      </c>
      <c r="AC88" s="303" t="s">
        <v>73</v>
      </c>
      <c r="AD88" s="304" t="s">
        <v>4</v>
      </c>
      <c r="AE88" s="303" t="s">
        <v>59</v>
      </c>
      <c r="AF88" s="303" t="s">
        <v>73</v>
      </c>
      <c r="AG88" s="304" t="s">
        <v>4</v>
      </c>
      <c r="AH88" s="107" t="s">
        <v>59</v>
      </c>
      <c r="AI88" s="107" t="s">
        <v>73</v>
      </c>
      <c r="AJ88" s="471" t="s">
        <v>4</v>
      </c>
      <c r="AK88" s="1004">
        <v>61</v>
      </c>
      <c r="AL88" s="1002">
        <f t="shared" ref="AL88" si="126">(S89*T89*U89)+(V89*W89*X89)+(Y89*Z89*AA89)+(AB89*AC89*AD89)+(AE89*AF89*AG89)+(AH89*AI89*AJ89)</f>
        <v>5055</v>
      </c>
      <c r="AM88" s="940"/>
      <c r="AN88" s="855"/>
      <c r="AO88" s="118"/>
      <c r="AP88" s="975"/>
      <c r="AQ88" s="107" t="s">
        <v>59</v>
      </c>
      <c r="AR88" s="107" t="s">
        <v>73</v>
      </c>
      <c r="AS88" s="108" t="s">
        <v>4</v>
      </c>
      <c r="AT88" s="107" t="s">
        <v>59</v>
      </c>
      <c r="AU88" s="107" t="s">
        <v>73</v>
      </c>
      <c r="AV88" s="108" t="s">
        <v>4</v>
      </c>
      <c r="AW88" s="107" t="s">
        <v>59</v>
      </c>
      <c r="AX88" s="107" t="s">
        <v>73</v>
      </c>
      <c r="AY88" s="108" t="s">
        <v>4</v>
      </c>
      <c r="AZ88" s="107" t="s">
        <v>59</v>
      </c>
      <c r="BA88" s="107" t="s">
        <v>73</v>
      </c>
      <c r="BB88" s="108" t="s">
        <v>4</v>
      </c>
      <c r="BC88" s="107" t="s">
        <v>59</v>
      </c>
      <c r="BD88" s="107" t="s">
        <v>73</v>
      </c>
      <c r="BE88" s="108" t="s">
        <v>4</v>
      </c>
      <c r="BF88" s="107" t="s">
        <v>59</v>
      </c>
      <c r="BG88" s="107" t="s">
        <v>73</v>
      </c>
      <c r="BH88" s="471" t="s">
        <v>4</v>
      </c>
      <c r="BI88" s="1017"/>
      <c r="BJ88" s="1019">
        <f t="shared" si="100"/>
        <v>0</v>
      </c>
      <c r="BK88" s="1012"/>
      <c r="BL88" s="1020"/>
      <c r="BM88" s="118"/>
      <c r="BN88" s="865"/>
      <c r="BO88" s="231" t="s">
        <v>59</v>
      </c>
      <c r="BP88" s="231" t="s">
        <v>73</v>
      </c>
      <c r="BQ88" s="102" t="s">
        <v>4</v>
      </c>
      <c r="BR88" s="231" t="s">
        <v>59</v>
      </c>
      <c r="BS88" s="231" t="s">
        <v>73</v>
      </c>
      <c r="BT88" s="102" t="s">
        <v>4</v>
      </c>
      <c r="BU88" s="231" t="s">
        <v>59</v>
      </c>
      <c r="BV88" s="231" t="s">
        <v>73</v>
      </c>
      <c r="BW88" s="102" t="s">
        <v>4</v>
      </c>
      <c r="BX88" s="231" t="s">
        <v>59</v>
      </c>
      <c r="BY88" s="231" t="s">
        <v>73</v>
      </c>
      <c r="BZ88" s="102" t="s">
        <v>4</v>
      </c>
      <c r="CA88" s="231" t="s">
        <v>59</v>
      </c>
      <c r="CB88" s="231" t="s">
        <v>73</v>
      </c>
      <c r="CC88" s="102" t="s">
        <v>4</v>
      </c>
      <c r="CD88" s="231" t="s">
        <v>59</v>
      </c>
      <c r="CE88" s="231" t="s">
        <v>73</v>
      </c>
      <c r="CF88" s="476" t="s">
        <v>4</v>
      </c>
      <c r="CG88" s="1004">
        <f>60+45</f>
        <v>105</v>
      </c>
      <c r="CH88" s="1005">
        <f t="shared" ref="CH88" si="127">(BO89*BP89*BQ89)+(BR89*BS89*BT89)+(BU89*BV89*BW89)+(BX89*BY89*BZ89)+(CA89*CB89*CC89)+(CD89*CE89*CF89)</f>
        <v>6651.6</v>
      </c>
      <c r="CI88" s="940"/>
      <c r="CJ88" s="1016"/>
      <c r="CL88" s="1039"/>
      <c r="CM88" s="460" t="s">
        <v>59</v>
      </c>
      <c r="CN88" s="460" t="s">
        <v>73</v>
      </c>
      <c r="CO88" s="461" t="s">
        <v>4</v>
      </c>
      <c r="CP88" s="460" t="s">
        <v>59</v>
      </c>
      <c r="CQ88" s="460" t="s">
        <v>73</v>
      </c>
      <c r="CR88" s="461" t="s">
        <v>4</v>
      </c>
      <c r="CS88" s="460" t="s">
        <v>59</v>
      </c>
      <c r="CT88" s="460" t="s">
        <v>73</v>
      </c>
      <c r="CU88" s="461" t="s">
        <v>4</v>
      </c>
      <c r="CV88" s="460" t="s">
        <v>59</v>
      </c>
      <c r="CW88" s="460" t="s">
        <v>73</v>
      </c>
      <c r="CX88" s="461" t="s">
        <v>4</v>
      </c>
      <c r="CY88" s="460" t="s">
        <v>59</v>
      </c>
      <c r="CZ88" s="460" t="s">
        <v>73</v>
      </c>
      <c r="DA88" s="461" t="s">
        <v>4</v>
      </c>
      <c r="DB88" s="460" t="s">
        <v>59</v>
      </c>
      <c r="DC88" s="460" t="s">
        <v>73</v>
      </c>
      <c r="DD88" s="473" t="s">
        <v>4</v>
      </c>
      <c r="DE88" s="1004"/>
      <c r="DF88" s="1005">
        <f>(CM89*CN89*CO89)+(CP89*CQ89*CR89)+(CS89*CT89*CU89)+(CV89*CW89*CX89)+(CY89*CZ89*DA89)+(DB89*DC89*DD89)</f>
        <v>0</v>
      </c>
      <c r="DG88" s="940"/>
      <c r="DH88" s="1016"/>
      <c r="DJ88" s="1049"/>
      <c r="DK88" s="460" t="s">
        <v>59</v>
      </c>
      <c r="DL88" s="460" t="s">
        <v>73</v>
      </c>
      <c r="DM88" s="461" t="s">
        <v>4</v>
      </c>
      <c r="DN88" s="460" t="s">
        <v>59</v>
      </c>
      <c r="DO88" s="460" t="s">
        <v>73</v>
      </c>
      <c r="DP88" s="461" t="s">
        <v>4</v>
      </c>
      <c r="DQ88" s="460" t="s">
        <v>59</v>
      </c>
      <c r="DR88" s="460" t="s">
        <v>73</v>
      </c>
      <c r="DS88" s="461" t="s">
        <v>4</v>
      </c>
      <c r="DT88" s="460" t="s">
        <v>59</v>
      </c>
      <c r="DU88" s="460" t="s">
        <v>73</v>
      </c>
      <c r="DV88" s="461" t="s">
        <v>4</v>
      </c>
      <c r="DW88" s="460" t="s">
        <v>59</v>
      </c>
      <c r="DX88" s="460" t="s">
        <v>73</v>
      </c>
      <c r="DY88" s="461" t="s">
        <v>4</v>
      </c>
      <c r="DZ88" s="460" t="s">
        <v>59</v>
      </c>
      <c r="EA88" s="460" t="s">
        <v>73</v>
      </c>
      <c r="EB88" s="473" t="s">
        <v>4</v>
      </c>
      <c r="EC88" s="1004"/>
      <c r="ED88" s="1005">
        <f>(DK89*DL89*DM89)+(DN89*DO89*DP89)+(DQ89*DR89*DS89)+(DT89*DU89*DV89)+(DW89*DX89*DY89)+(DZ89*EA89*EB89)</f>
        <v>0</v>
      </c>
      <c r="EE88" s="940"/>
      <c r="EF88" s="1016"/>
      <c r="EH88" s="1065"/>
      <c r="EI88" s="460" t="s">
        <v>59</v>
      </c>
      <c r="EJ88" s="460" t="s">
        <v>73</v>
      </c>
      <c r="EK88" s="461" t="s">
        <v>4</v>
      </c>
      <c r="EL88" s="460" t="s">
        <v>59</v>
      </c>
      <c r="EM88" s="460" t="s">
        <v>73</v>
      </c>
      <c r="EN88" s="461" t="s">
        <v>4</v>
      </c>
      <c r="EO88" s="460" t="s">
        <v>59</v>
      </c>
      <c r="EP88" s="460" t="s">
        <v>73</v>
      </c>
      <c r="EQ88" s="461" t="s">
        <v>4</v>
      </c>
      <c r="ER88" s="460" t="s">
        <v>59</v>
      </c>
      <c r="ES88" s="460" t="s">
        <v>73</v>
      </c>
      <c r="ET88" s="461" t="s">
        <v>4</v>
      </c>
      <c r="EU88" s="460" t="s">
        <v>59</v>
      </c>
      <c r="EV88" s="460" t="s">
        <v>73</v>
      </c>
      <c r="EW88" s="461" t="s">
        <v>4</v>
      </c>
      <c r="EX88" s="460" t="s">
        <v>59</v>
      </c>
      <c r="EY88" s="460" t="s">
        <v>73</v>
      </c>
      <c r="EZ88" s="473" t="s">
        <v>4</v>
      </c>
      <c r="FA88" s="1004"/>
      <c r="FB88" s="1005">
        <f>(EI89*EJ89*EK89)+(EL89*EM89*EN89)+(EO89*EP89*EQ89)+(ER89*ES89*ET89)+(EU89*EV89*EW89)+(EX89*EY89*EZ89)</f>
        <v>0</v>
      </c>
      <c r="FC88" s="940"/>
      <c r="FD88" s="1016"/>
      <c r="FF88" s="1039"/>
      <c r="FG88" s="460" t="s">
        <v>59</v>
      </c>
      <c r="FH88" s="460" t="s">
        <v>73</v>
      </c>
      <c r="FI88" s="461" t="s">
        <v>4</v>
      </c>
      <c r="FJ88" s="460" t="s">
        <v>59</v>
      </c>
      <c r="FK88" s="460" t="s">
        <v>73</v>
      </c>
      <c r="FL88" s="461" t="s">
        <v>4</v>
      </c>
      <c r="FM88" s="460" t="s">
        <v>59</v>
      </c>
      <c r="FN88" s="460" t="s">
        <v>73</v>
      </c>
      <c r="FO88" s="461" t="s">
        <v>4</v>
      </c>
      <c r="FP88" s="460" t="s">
        <v>59</v>
      </c>
      <c r="FQ88" s="460" t="s">
        <v>73</v>
      </c>
      <c r="FR88" s="461" t="s">
        <v>4</v>
      </c>
      <c r="FS88" s="460" t="s">
        <v>59</v>
      </c>
      <c r="FT88" s="460" t="s">
        <v>73</v>
      </c>
      <c r="FU88" s="461" t="s">
        <v>4</v>
      </c>
      <c r="FV88" s="460" t="s">
        <v>59</v>
      </c>
      <c r="FW88" s="460" t="s">
        <v>73</v>
      </c>
      <c r="FX88" s="473" t="s">
        <v>4</v>
      </c>
      <c r="FY88" s="1004"/>
      <c r="FZ88" s="1005">
        <f>(FG89*FH89*FI89)+(FJ89*FK89*FL89)+(FM89*FN89*FO89)+(FP89*FQ89*FR89)+(FS89*FT89*FU89)+(FV89*FW89*FX89)</f>
        <v>0</v>
      </c>
      <c r="GA88" s="940"/>
      <c r="GB88" s="1016"/>
      <c r="GD88" s="1052"/>
      <c r="GE88" s="491" t="s">
        <v>59</v>
      </c>
      <c r="GF88" s="491" t="s">
        <v>73</v>
      </c>
      <c r="GG88" s="492" t="s">
        <v>4</v>
      </c>
      <c r="GH88" s="491" t="s">
        <v>59</v>
      </c>
      <c r="GI88" s="491" t="s">
        <v>73</v>
      </c>
      <c r="GJ88" s="492" t="s">
        <v>4</v>
      </c>
      <c r="GK88" s="491" t="s">
        <v>59</v>
      </c>
      <c r="GL88" s="491" t="s">
        <v>73</v>
      </c>
      <c r="GM88" s="492" t="s">
        <v>4</v>
      </c>
      <c r="GN88" s="491" t="s">
        <v>59</v>
      </c>
      <c r="GO88" s="491" t="s">
        <v>73</v>
      </c>
      <c r="GP88" s="492" t="s">
        <v>4</v>
      </c>
      <c r="GQ88" s="491" t="s">
        <v>59</v>
      </c>
      <c r="GR88" s="491" t="s">
        <v>73</v>
      </c>
      <c r="GS88" s="492" t="s">
        <v>4</v>
      </c>
      <c r="GT88" s="491" t="s">
        <v>59</v>
      </c>
      <c r="GU88" s="491" t="s">
        <v>73</v>
      </c>
      <c r="GV88" s="493" t="s">
        <v>4</v>
      </c>
      <c r="GW88" s="1071"/>
      <c r="GX88" s="1072">
        <f>(GE89*GF89*GG89)+(GH89*GI89*GJ89)+(GK89*GL89*GM89)+(GN89*GO89*GP89)+(GQ89*GR89*GS89)+(GT89*GU89*GV89)</f>
        <v>0</v>
      </c>
      <c r="GY88" s="1068"/>
      <c r="GZ88" s="1070"/>
      <c r="HB88" s="1075"/>
      <c r="HC88" s="460" t="s">
        <v>59</v>
      </c>
      <c r="HD88" s="460" t="s">
        <v>73</v>
      </c>
      <c r="HE88" s="461" t="s">
        <v>4</v>
      </c>
      <c r="HF88" s="460" t="s">
        <v>59</v>
      </c>
      <c r="HG88" s="460" t="s">
        <v>73</v>
      </c>
      <c r="HH88" s="461" t="s">
        <v>4</v>
      </c>
      <c r="HI88" s="460" t="s">
        <v>59</v>
      </c>
      <c r="HJ88" s="460" t="s">
        <v>73</v>
      </c>
      <c r="HK88" s="461" t="s">
        <v>4</v>
      </c>
      <c r="HL88" s="460" t="s">
        <v>59</v>
      </c>
      <c r="HM88" s="460" t="s">
        <v>73</v>
      </c>
      <c r="HN88" s="461" t="s">
        <v>4</v>
      </c>
      <c r="HO88" s="460" t="s">
        <v>59</v>
      </c>
      <c r="HP88" s="460" t="s">
        <v>73</v>
      </c>
      <c r="HQ88" s="461" t="s">
        <v>4</v>
      </c>
      <c r="HR88" s="460" t="s">
        <v>59</v>
      </c>
      <c r="HS88" s="460" t="s">
        <v>73</v>
      </c>
      <c r="HT88" s="473" t="s">
        <v>4</v>
      </c>
      <c r="HU88" s="1004"/>
      <c r="HV88" s="1005">
        <f>(HC89*HD89*HE89)+(HF89*HG89*HH89)+(HI89*HJ89*HK89)+(HL89*HM89*HN89)+(HO89*HP89*HQ89)+(HR89*HS89*HT89)</f>
        <v>0</v>
      </c>
      <c r="HW88" s="940"/>
      <c r="HX88" s="1016"/>
      <c r="HZ88" s="1042"/>
      <c r="IA88" s="460" t="s">
        <v>59</v>
      </c>
      <c r="IB88" s="460" t="s">
        <v>73</v>
      </c>
      <c r="IC88" s="461" t="s">
        <v>4</v>
      </c>
      <c r="ID88" s="460" t="s">
        <v>59</v>
      </c>
      <c r="IE88" s="460" t="s">
        <v>73</v>
      </c>
      <c r="IF88" s="461" t="s">
        <v>4</v>
      </c>
      <c r="IG88" s="460" t="s">
        <v>59</v>
      </c>
      <c r="IH88" s="460" t="s">
        <v>73</v>
      </c>
      <c r="II88" s="461" t="s">
        <v>4</v>
      </c>
      <c r="IJ88" s="460" t="s">
        <v>59</v>
      </c>
      <c r="IK88" s="460" t="s">
        <v>73</v>
      </c>
      <c r="IL88" s="461" t="s">
        <v>4</v>
      </c>
      <c r="IM88" s="460" t="s">
        <v>59</v>
      </c>
      <c r="IN88" s="460" t="s">
        <v>73</v>
      </c>
      <c r="IO88" s="461" t="s">
        <v>4</v>
      </c>
      <c r="IP88" s="460" t="s">
        <v>59</v>
      </c>
      <c r="IQ88" s="460" t="s">
        <v>73</v>
      </c>
      <c r="IR88" s="473" t="s">
        <v>4</v>
      </c>
      <c r="IS88" s="1004"/>
      <c r="IT88" s="1005">
        <f>(IA89*IB89*IC89)+(ID89*IE89*IF89)+(IG89*IH89*II89)+(IJ89*IK89*IL89)+(IM89*IN89*IO89)+(IP89*IQ89*IR89)</f>
        <v>0</v>
      </c>
      <c r="IU88" s="940"/>
      <c r="IV88" s="1016"/>
      <c r="IX88" s="1062"/>
      <c r="IY88" s="460" t="s">
        <v>59</v>
      </c>
      <c r="IZ88" s="460" t="s">
        <v>73</v>
      </c>
      <c r="JA88" s="461" t="s">
        <v>4</v>
      </c>
      <c r="JB88" s="460" t="s">
        <v>59</v>
      </c>
      <c r="JC88" s="460" t="s">
        <v>73</v>
      </c>
      <c r="JD88" s="461" t="s">
        <v>4</v>
      </c>
      <c r="JE88" s="460" t="s">
        <v>59</v>
      </c>
      <c r="JF88" s="460" t="s">
        <v>73</v>
      </c>
      <c r="JG88" s="461" t="s">
        <v>4</v>
      </c>
      <c r="JH88" s="460" t="s">
        <v>59</v>
      </c>
      <c r="JI88" s="460" t="s">
        <v>73</v>
      </c>
      <c r="JJ88" s="461" t="s">
        <v>4</v>
      </c>
      <c r="JK88" s="460" t="s">
        <v>59</v>
      </c>
      <c r="JL88" s="460" t="s">
        <v>73</v>
      </c>
      <c r="JM88" s="461" t="s">
        <v>4</v>
      </c>
      <c r="JN88" s="460" t="s">
        <v>59</v>
      </c>
      <c r="JO88" s="460" t="s">
        <v>73</v>
      </c>
      <c r="JP88" s="473" t="s">
        <v>4</v>
      </c>
      <c r="JQ88" s="1004"/>
      <c r="JR88" s="1005">
        <f>(IY89*IZ89*JA89)+(JB89*JC89*JD89)+(JE89*JF89*JG89)+(JH89*JI89*JJ89)+(JK89*JL89*JM89)+(JN89*JO89*JP89)</f>
        <v>0</v>
      </c>
      <c r="JS88" s="940"/>
      <c r="JT88" s="1016"/>
      <c r="JV88" s="1075"/>
      <c r="JW88" s="460" t="s">
        <v>59</v>
      </c>
      <c r="JX88" s="460" t="s">
        <v>73</v>
      </c>
      <c r="JY88" s="461" t="s">
        <v>4</v>
      </c>
      <c r="JZ88" s="460" t="s">
        <v>59</v>
      </c>
      <c r="KA88" s="460" t="s">
        <v>73</v>
      </c>
      <c r="KB88" s="461" t="s">
        <v>4</v>
      </c>
      <c r="KC88" s="460" t="s">
        <v>59</v>
      </c>
      <c r="KD88" s="460" t="s">
        <v>73</v>
      </c>
      <c r="KE88" s="461" t="s">
        <v>4</v>
      </c>
      <c r="KF88" s="460" t="s">
        <v>59</v>
      </c>
      <c r="KG88" s="460" t="s">
        <v>73</v>
      </c>
      <c r="KH88" s="461" t="s">
        <v>4</v>
      </c>
      <c r="KI88" s="460" t="s">
        <v>59</v>
      </c>
      <c r="KJ88" s="460" t="s">
        <v>73</v>
      </c>
      <c r="KK88" s="461" t="s">
        <v>4</v>
      </c>
      <c r="KL88" s="460" t="s">
        <v>59</v>
      </c>
      <c r="KM88" s="460" t="s">
        <v>73</v>
      </c>
      <c r="KN88" s="473" t="s">
        <v>4</v>
      </c>
      <c r="KO88" s="1004"/>
      <c r="KP88" s="1005">
        <f>(JW89*JX89*JY89)+(JZ89*KA89*KB89)+(KC89*KD89*KE89)+(KF89*KG89*KH89)+(KI89*KJ89*KK89)+(KL89*KM89*KN89)</f>
        <v>0</v>
      </c>
      <c r="KQ88" s="940"/>
      <c r="KR88" s="1016"/>
      <c r="KT88" s="1049"/>
      <c r="KU88" s="460" t="s">
        <v>59</v>
      </c>
      <c r="KV88" s="460" t="s">
        <v>73</v>
      </c>
      <c r="KW88" s="461" t="s">
        <v>4</v>
      </c>
      <c r="KX88" s="460" t="s">
        <v>59</v>
      </c>
      <c r="KY88" s="460" t="s">
        <v>73</v>
      </c>
      <c r="KZ88" s="461" t="s">
        <v>4</v>
      </c>
      <c r="LA88" s="460" t="s">
        <v>59</v>
      </c>
      <c r="LB88" s="460" t="s">
        <v>73</v>
      </c>
      <c r="LC88" s="461" t="s">
        <v>4</v>
      </c>
      <c r="LD88" s="460" t="s">
        <v>59</v>
      </c>
      <c r="LE88" s="460" t="s">
        <v>73</v>
      </c>
      <c r="LF88" s="461" t="s">
        <v>4</v>
      </c>
      <c r="LG88" s="460" t="s">
        <v>59</v>
      </c>
      <c r="LH88" s="460" t="s">
        <v>73</v>
      </c>
      <c r="LI88" s="461" t="s">
        <v>4</v>
      </c>
      <c r="LJ88" s="460" t="s">
        <v>59</v>
      </c>
      <c r="LK88" s="460" t="s">
        <v>73</v>
      </c>
      <c r="LL88" s="473" t="s">
        <v>4</v>
      </c>
      <c r="LM88" s="1004"/>
      <c r="LN88" s="1005">
        <f>(KU89*KV89*KW89)+(KX89*KY89*KZ89)+(LA89*LB89*LC89)+(LD89*LE89*LF89)+(LG89*LH89*LI89)+(LJ89*LK89*LL89)</f>
        <v>0</v>
      </c>
      <c r="LO88" s="940"/>
      <c r="LP88" s="1016"/>
    </row>
    <row r="89" spans="18:328" ht="15">
      <c r="R89" s="875"/>
      <c r="S89" s="305">
        <v>4</v>
      </c>
      <c r="T89" s="305">
        <f>((12*2)+(8*1)+(10*1))/4</f>
        <v>10.5</v>
      </c>
      <c r="U89" s="305">
        <f>((23*1)+(50*3))/4</f>
        <v>43.25</v>
      </c>
      <c r="V89" s="305">
        <v>4</v>
      </c>
      <c r="W89" s="306">
        <f>((12*1)+(8*2)+(10*1))/4</f>
        <v>9.5</v>
      </c>
      <c r="X89" s="306">
        <f>((9.1*1)+(18.1*3))/4</f>
        <v>15.850000000000001</v>
      </c>
      <c r="Y89" s="305">
        <v>4</v>
      </c>
      <c r="Z89" s="306">
        <f>((12*3)+(10*1))/4</f>
        <v>11.5</v>
      </c>
      <c r="AA89" s="306">
        <f>((12.5*1)+(22.5*1)+(25*2))/4</f>
        <v>21.25</v>
      </c>
      <c r="AB89" s="305">
        <v>4</v>
      </c>
      <c r="AC89" s="305">
        <f>((12*2)+(8*1)+(10*1))/4</f>
        <v>10.5</v>
      </c>
      <c r="AD89" s="305">
        <f>((15.9*1)+(29.5*3))/4</f>
        <v>26.1</v>
      </c>
      <c r="AE89" s="305">
        <v>4</v>
      </c>
      <c r="AF89" s="305">
        <f>((12*1)+(8*3))/4</f>
        <v>9</v>
      </c>
      <c r="AG89" s="305">
        <f>((10*1)+(17.5*3))/4</f>
        <v>15.625</v>
      </c>
      <c r="AH89" s="233"/>
      <c r="AI89" s="233"/>
      <c r="AJ89" s="472"/>
      <c r="AK89" s="1007"/>
      <c r="AL89" s="1002"/>
      <c r="AM89" s="941"/>
      <c r="AN89" s="855"/>
      <c r="AO89" s="118"/>
      <c r="AP89" s="976"/>
      <c r="AQ89" s="233"/>
      <c r="AR89" s="233"/>
      <c r="AS89" s="233"/>
      <c r="AT89" s="233"/>
      <c r="AU89" s="233"/>
      <c r="AV89" s="233"/>
      <c r="AW89" s="233"/>
      <c r="AX89" s="233"/>
      <c r="AY89" s="233"/>
      <c r="AZ89" s="233"/>
      <c r="BA89" s="233"/>
      <c r="BB89" s="233"/>
      <c r="BC89" s="233"/>
      <c r="BD89" s="233"/>
      <c r="BE89" s="233"/>
      <c r="BF89" s="233"/>
      <c r="BG89" s="233"/>
      <c r="BH89" s="477"/>
      <c r="BI89" s="1025"/>
      <c r="BJ89" s="1019"/>
      <c r="BK89" s="1013"/>
      <c r="BL89" s="1020"/>
      <c r="BM89" s="118"/>
      <c r="BN89" s="866"/>
      <c r="BO89" s="229">
        <v>4</v>
      </c>
      <c r="BP89" s="229">
        <f>((12*1)+(10*2)+(9*1))/4</f>
        <v>10.25</v>
      </c>
      <c r="BQ89" s="229">
        <f>((20*1)+(45*3))/4</f>
        <v>38.75</v>
      </c>
      <c r="BR89" s="229">
        <v>4</v>
      </c>
      <c r="BS89" s="229">
        <f>((12*1)+(8*3))/4</f>
        <v>9</v>
      </c>
      <c r="BT89" s="229">
        <f>((27*1)+(63*3))/4</f>
        <v>54</v>
      </c>
      <c r="BU89" s="229">
        <v>4</v>
      </c>
      <c r="BV89" s="229">
        <f>((12*1)+(8*3))/4</f>
        <v>9</v>
      </c>
      <c r="BW89" s="229">
        <f>((12.5*1)+(27.5*3))/4</f>
        <v>23.75</v>
      </c>
      <c r="BX89" s="229">
        <v>4</v>
      </c>
      <c r="BY89" s="126">
        <f>((12*1)+(6*1)+(8*2))/4</f>
        <v>8.5</v>
      </c>
      <c r="BZ89" s="126">
        <f>((9.1*1)+(18*1*3))/4</f>
        <v>15.775</v>
      </c>
      <c r="CA89" s="229">
        <v>4</v>
      </c>
      <c r="CB89" s="229">
        <f>((12*1)+(9*1)+(10*2))/4</f>
        <v>10.25</v>
      </c>
      <c r="CC89" s="229">
        <f>((20*1)+(35*3))/4</f>
        <v>31.25</v>
      </c>
      <c r="CD89" s="229">
        <v>4</v>
      </c>
      <c r="CE89" s="229">
        <f>((12*1)+(6*1)+(8*2))/4</f>
        <v>8.5</v>
      </c>
      <c r="CF89" s="229">
        <f>((7.5*1)+(15*3))/4</f>
        <v>13.125</v>
      </c>
      <c r="CG89" s="1007"/>
      <c r="CH89" s="1006"/>
      <c r="CI89" s="941"/>
      <c r="CJ89" s="1016"/>
      <c r="CL89" s="1040"/>
      <c r="CM89" s="462"/>
      <c r="CN89" s="462"/>
      <c r="CO89" s="462"/>
      <c r="CP89" s="462"/>
      <c r="CQ89" s="462"/>
      <c r="CR89" s="462"/>
      <c r="CS89" s="462"/>
      <c r="CT89" s="462"/>
      <c r="CU89" s="462"/>
      <c r="CV89" s="462"/>
      <c r="CW89" s="462"/>
      <c r="CX89" s="462"/>
      <c r="CY89" s="462"/>
      <c r="CZ89" s="462"/>
      <c r="DA89" s="462"/>
      <c r="DB89" s="462"/>
      <c r="DC89" s="462"/>
      <c r="DD89" s="474"/>
      <c r="DE89" s="1007"/>
      <c r="DF89" s="1006"/>
      <c r="DG89" s="941"/>
      <c r="DH89" s="1016"/>
      <c r="DJ89" s="1050"/>
      <c r="DK89" s="462"/>
      <c r="DL89" s="462"/>
      <c r="DM89" s="462"/>
      <c r="DN89" s="462"/>
      <c r="DO89" s="462"/>
      <c r="DP89" s="462"/>
      <c r="DQ89" s="462"/>
      <c r="DR89" s="462"/>
      <c r="DS89" s="462"/>
      <c r="DT89" s="462"/>
      <c r="DU89" s="462"/>
      <c r="DV89" s="462"/>
      <c r="DW89" s="462"/>
      <c r="DX89" s="462"/>
      <c r="DY89" s="462"/>
      <c r="DZ89" s="462"/>
      <c r="EA89" s="462"/>
      <c r="EB89" s="474"/>
      <c r="EC89" s="1007"/>
      <c r="ED89" s="1006"/>
      <c r="EE89" s="941"/>
      <c r="EF89" s="1016"/>
      <c r="EH89" s="1066"/>
      <c r="EI89" s="462"/>
      <c r="EJ89" s="462"/>
      <c r="EK89" s="462"/>
      <c r="EL89" s="462"/>
      <c r="EM89" s="462"/>
      <c r="EN89" s="462"/>
      <c r="EO89" s="462"/>
      <c r="EP89" s="462"/>
      <c r="EQ89" s="462"/>
      <c r="ER89" s="462"/>
      <c r="ES89" s="462"/>
      <c r="ET89" s="462"/>
      <c r="EU89" s="462"/>
      <c r="EV89" s="462"/>
      <c r="EW89" s="462"/>
      <c r="EX89" s="462"/>
      <c r="EY89" s="462"/>
      <c r="EZ89" s="474"/>
      <c r="FA89" s="1007"/>
      <c r="FB89" s="1006"/>
      <c r="FC89" s="941"/>
      <c r="FD89" s="1016"/>
      <c r="FF89" s="1040"/>
      <c r="FG89" s="462"/>
      <c r="FH89" s="462"/>
      <c r="FI89" s="462"/>
      <c r="FJ89" s="462"/>
      <c r="FK89" s="462"/>
      <c r="FL89" s="462"/>
      <c r="FM89" s="462"/>
      <c r="FN89" s="462"/>
      <c r="FO89" s="462"/>
      <c r="FP89" s="462"/>
      <c r="FQ89" s="462"/>
      <c r="FR89" s="462"/>
      <c r="FS89" s="462"/>
      <c r="FT89" s="462"/>
      <c r="FU89" s="462"/>
      <c r="FV89" s="462"/>
      <c r="FW89" s="462"/>
      <c r="FX89" s="474"/>
      <c r="FY89" s="1007"/>
      <c r="FZ89" s="1006"/>
      <c r="GA89" s="941"/>
      <c r="GB89" s="1016"/>
      <c r="GD89" s="1053"/>
      <c r="GE89" s="494"/>
      <c r="GF89" s="494"/>
      <c r="GG89" s="494"/>
      <c r="GH89" s="494"/>
      <c r="GI89" s="494"/>
      <c r="GJ89" s="494"/>
      <c r="GK89" s="494"/>
      <c r="GL89" s="494"/>
      <c r="GM89" s="494"/>
      <c r="GN89" s="494"/>
      <c r="GO89" s="494"/>
      <c r="GP89" s="494"/>
      <c r="GQ89" s="494"/>
      <c r="GR89" s="494"/>
      <c r="GS89" s="494"/>
      <c r="GT89" s="494"/>
      <c r="GU89" s="494"/>
      <c r="GV89" s="495"/>
      <c r="GW89" s="1081"/>
      <c r="GX89" s="1073"/>
      <c r="GY89" s="1069"/>
      <c r="GZ89" s="1070"/>
      <c r="HB89" s="1076"/>
      <c r="HC89" s="462"/>
      <c r="HD89" s="462"/>
      <c r="HE89" s="462"/>
      <c r="HF89" s="462"/>
      <c r="HG89" s="462"/>
      <c r="HH89" s="462"/>
      <c r="HI89" s="462"/>
      <c r="HJ89" s="462"/>
      <c r="HK89" s="462"/>
      <c r="HL89" s="462"/>
      <c r="HM89" s="462"/>
      <c r="HN89" s="462"/>
      <c r="HO89" s="462"/>
      <c r="HP89" s="462"/>
      <c r="HQ89" s="462"/>
      <c r="HR89" s="462"/>
      <c r="HS89" s="462"/>
      <c r="HT89" s="474"/>
      <c r="HU89" s="1007"/>
      <c r="HV89" s="1006"/>
      <c r="HW89" s="941"/>
      <c r="HX89" s="1016"/>
      <c r="HZ89" s="1043"/>
      <c r="IA89" s="462"/>
      <c r="IB89" s="462"/>
      <c r="IC89" s="462"/>
      <c r="ID89" s="462"/>
      <c r="IE89" s="462"/>
      <c r="IF89" s="462"/>
      <c r="IG89" s="462"/>
      <c r="IH89" s="462"/>
      <c r="II89" s="462"/>
      <c r="IJ89" s="462"/>
      <c r="IK89" s="462"/>
      <c r="IL89" s="462"/>
      <c r="IM89" s="462"/>
      <c r="IN89" s="462"/>
      <c r="IO89" s="462"/>
      <c r="IP89" s="462"/>
      <c r="IQ89" s="462"/>
      <c r="IR89" s="474"/>
      <c r="IS89" s="1007"/>
      <c r="IT89" s="1006"/>
      <c r="IU89" s="941"/>
      <c r="IV89" s="1016"/>
      <c r="IX89" s="1063"/>
      <c r="IY89" s="462"/>
      <c r="IZ89" s="462"/>
      <c r="JA89" s="462"/>
      <c r="JB89" s="462"/>
      <c r="JC89" s="462"/>
      <c r="JD89" s="462"/>
      <c r="JE89" s="462"/>
      <c r="JF89" s="462"/>
      <c r="JG89" s="462"/>
      <c r="JH89" s="462"/>
      <c r="JI89" s="462"/>
      <c r="JJ89" s="462"/>
      <c r="JK89" s="462"/>
      <c r="JL89" s="462"/>
      <c r="JM89" s="462"/>
      <c r="JN89" s="462"/>
      <c r="JO89" s="462"/>
      <c r="JP89" s="474"/>
      <c r="JQ89" s="1007"/>
      <c r="JR89" s="1006"/>
      <c r="JS89" s="941"/>
      <c r="JT89" s="1016"/>
      <c r="JV89" s="1076"/>
      <c r="JW89" s="462"/>
      <c r="JX89" s="462"/>
      <c r="JY89" s="462"/>
      <c r="JZ89" s="462"/>
      <c r="KA89" s="462"/>
      <c r="KB89" s="462"/>
      <c r="KC89" s="462"/>
      <c r="KD89" s="462"/>
      <c r="KE89" s="462"/>
      <c r="KF89" s="462"/>
      <c r="KG89" s="462"/>
      <c r="KH89" s="462"/>
      <c r="KI89" s="462"/>
      <c r="KJ89" s="462"/>
      <c r="KK89" s="462"/>
      <c r="KL89" s="462"/>
      <c r="KM89" s="462"/>
      <c r="KN89" s="474"/>
      <c r="KO89" s="1007"/>
      <c r="KP89" s="1006"/>
      <c r="KQ89" s="941"/>
      <c r="KR89" s="1016"/>
      <c r="KT89" s="1050"/>
      <c r="KU89" s="462"/>
      <c r="KV89" s="462"/>
      <c r="KW89" s="462"/>
      <c r="KX89" s="462"/>
      <c r="KY89" s="462"/>
      <c r="KZ89" s="462"/>
      <c r="LA89" s="462"/>
      <c r="LB89" s="462"/>
      <c r="LC89" s="462"/>
      <c r="LD89" s="462"/>
      <c r="LE89" s="462"/>
      <c r="LF89" s="462"/>
      <c r="LG89" s="462"/>
      <c r="LH89" s="462"/>
      <c r="LI89" s="462"/>
      <c r="LJ89" s="462"/>
      <c r="LK89" s="462"/>
      <c r="LL89" s="474"/>
      <c r="LM89" s="1007"/>
      <c r="LN89" s="1006"/>
      <c r="LO89" s="941"/>
      <c r="LP89" s="1016"/>
    </row>
    <row r="90" spans="18:328" ht="15">
      <c r="R90" s="876">
        <v>46052</v>
      </c>
      <c r="S90" s="849" t="s">
        <v>434</v>
      </c>
      <c r="T90" s="849"/>
      <c r="U90" s="849"/>
      <c r="V90" s="848" t="s">
        <v>68</v>
      </c>
      <c r="W90" s="848"/>
      <c r="X90" s="848"/>
      <c r="Y90" s="848" t="s">
        <v>380</v>
      </c>
      <c r="Z90" s="848"/>
      <c r="AA90" s="848"/>
      <c r="AB90" s="848" t="s">
        <v>391</v>
      </c>
      <c r="AC90" s="848"/>
      <c r="AD90" s="848"/>
      <c r="AE90" s="834"/>
      <c r="AF90" s="835"/>
      <c r="AG90" s="836"/>
      <c r="AH90" s="834"/>
      <c r="AI90" s="835"/>
      <c r="AJ90" s="835"/>
      <c r="AK90" s="459" t="s">
        <v>425</v>
      </c>
      <c r="AL90" s="1">
        <f t="shared" ref="AL90" si="128">COUNTA(S90:AJ90)</f>
        <v>4</v>
      </c>
      <c r="AM90" s="939"/>
      <c r="AN90" s="855">
        <v>78.599999999999994</v>
      </c>
      <c r="AO90" s="118"/>
      <c r="AP90" s="894"/>
      <c r="AQ90" s="844"/>
      <c r="AR90" s="844"/>
      <c r="AS90" s="844"/>
      <c r="AT90" s="844"/>
      <c r="AU90" s="844"/>
      <c r="AV90" s="844"/>
      <c r="AW90" s="844"/>
      <c r="AX90" s="844"/>
      <c r="AY90" s="844"/>
      <c r="AZ90" s="844"/>
      <c r="BA90" s="844"/>
      <c r="BB90" s="844"/>
      <c r="BC90" s="834"/>
      <c r="BD90" s="835"/>
      <c r="BE90" s="836"/>
      <c r="BF90" s="834"/>
      <c r="BG90" s="835"/>
      <c r="BH90" s="835"/>
      <c r="BI90" s="484" t="s">
        <v>425</v>
      </c>
      <c r="BJ90" s="488">
        <f t="shared" si="97"/>
        <v>0</v>
      </c>
      <c r="BK90" s="1011"/>
      <c r="BL90" s="1020"/>
      <c r="BM90" s="118"/>
      <c r="BN90" s="870">
        <v>46111</v>
      </c>
      <c r="BO90" s="848" t="s">
        <v>70</v>
      </c>
      <c r="BP90" s="848"/>
      <c r="BQ90" s="848"/>
      <c r="BR90" s="859"/>
      <c r="BS90" s="859"/>
      <c r="BT90" s="859"/>
      <c r="BU90" s="834"/>
      <c r="BV90" s="835"/>
      <c r="BW90" s="836"/>
      <c r="BX90" s="867"/>
      <c r="BY90" s="868"/>
      <c r="BZ90" s="869"/>
      <c r="CA90" s="834"/>
      <c r="CB90" s="835"/>
      <c r="CC90" s="836"/>
      <c r="CD90" s="834"/>
      <c r="CE90" s="835"/>
      <c r="CF90" s="835"/>
      <c r="CG90" s="459" t="s">
        <v>425</v>
      </c>
      <c r="CH90" s="482">
        <f t="shared" ref="CH90" si="129">COUNTA(BO90:CF90)</f>
        <v>1</v>
      </c>
      <c r="CI90" s="939">
        <v>5</v>
      </c>
      <c r="CJ90" s="1016">
        <v>77.3</v>
      </c>
      <c r="CL90" s="1041">
        <v>46142</v>
      </c>
      <c r="CM90" s="960"/>
      <c r="CN90" s="960"/>
      <c r="CO90" s="960"/>
      <c r="CP90" s="960"/>
      <c r="CQ90" s="960"/>
      <c r="CR90" s="960"/>
      <c r="CS90" s="960"/>
      <c r="CT90" s="960"/>
      <c r="CU90" s="960"/>
      <c r="CV90" s="960"/>
      <c r="CW90" s="960"/>
      <c r="CX90" s="960"/>
      <c r="CY90" s="961"/>
      <c r="CZ90" s="962"/>
      <c r="DA90" s="963"/>
      <c r="DB90" s="961"/>
      <c r="DC90" s="962"/>
      <c r="DD90" s="962"/>
      <c r="DE90" s="459" t="s">
        <v>425</v>
      </c>
      <c r="DF90" s="482">
        <f>COUNTA(CM90:DD90)</f>
        <v>0</v>
      </c>
      <c r="DG90" s="939"/>
      <c r="DH90" s="1016"/>
      <c r="DJ90" s="1051">
        <v>46172</v>
      </c>
      <c r="DK90" s="1023"/>
      <c r="DL90" s="1023"/>
      <c r="DM90" s="1023"/>
      <c r="DN90" s="1023"/>
      <c r="DO90" s="1023"/>
      <c r="DP90" s="1023"/>
      <c r="DQ90" s="1023"/>
      <c r="DR90" s="1023"/>
      <c r="DS90" s="1023"/>
      <c r="DT90" s="1023"/>
      <c r="DU90" s="1023"/>
      <c r="DV90" s="1023"/>
      <c r="DW90" s="1021"/>
      <c r="DX90" s="1022"/>
      <c r="DY90" s="1024"/>
      <c r="DZ90" s="1021"/>
      <c r="EA90" s="1022"/>
      <c r="EB90" s="1022"/>
      <c r="EC90" s="489" t="s">
        <v>425</v>
      </c>
      <c r="ED90" s="496">
        <f>COUNTA(DK90:EB90)</f>
        <v>0</v>
      </c>
      <c r="EE90" s="1067"/>
      <c r="EF90" s="1070"/>
      <c r="EH90" s="1074">
        <v>46203</v>
      </c>
      <c r="EI90" s="960"/>
      <c r="EJ90" s="960"/>
      <c r="EK90" s="960"/>
      <c r="EL90" s="960"/>
      <c r="EM90" s="960"/>
      <c r="EN90" s="960"/>
      <c r="EO90" s="960"/>
      <c r="EP90" s="960"/>
      <c r="EQ90" s="960"/>
      <c r="ER90" s="960"/>
      <c r="ES90" s="960"/>
      <c r="ET90" s="960"/>
      <c r="EU90" s="961"/>
      <c r="EV90" s="962"/>
      <c r="EW90" s="963"/>
      <c r="EX90" s="961"/>
      <c r="EY90" s="962"/>
      <c r="EZ90" s="962"/>
      <c r="FA90" s="459" t="s">
        <v>425</v>
      </c>
      <c r="FB90" s="482">
        <f>COUNTA(EI90:EZ90)</f>
        <v>0</v>
      </c>
      <c r="FC90" s="939"/>
      <c r="FD90" s="1016"/>
      <c r="FF90" s="1041">
        <v>46233</v>
      </c>
      <c r="FG90" s="960"/>
      <c r="FH90" s="960"/>
      <c r="FI90" s="960"/>
      <c r="FJ90" s="960"/>
      <c r="FK90" s="960"/>
      <c r="FL90" s="960"/>
      <c r="FM90" s="960"/>
      <c r="FN90" s="960"/>
      <c r="FO90" s="960"/>
      <c r="FP90" s="960"/>
      <c r="FQ90" s="960"/>
      <c r="FR90" s="960"/>
      <c r="FS90" s="961"/>
      <c r="FT90" s="962"/>
      <c r="FU90" s="963"/>
      <c r="FV90" s="961"/>
      <c r="FW90" s="962"/>
      <c r="FX90" s="962"/>
      <c r="FY90" s="459" t="s">
        <v>425</v>
      </c>
      <c r="FZ90" s="482">
        <f>COUNTA(FG90:FX90)</f>
        <v>0</v>
      </c>
      <c r="GA90" s="939"/>
      <c r="GB90" s="1016"/>
      <c r="GD90" s="1061">
        <v>46264</v>
      </c>
      <c r="GE90" s="960"/>
      <c r="GF90" s="960"/>
      <c r="GG90" s="960"/>
      <c r="GH90" s="960"/>
      <c r="GI90" s="960"/>
      <c r="GJ90" s="960"/>
      <c r="GK90" s="960"/>
      <c r="GL90" s="960"/>
      <c r="GM90" s="960"/>
      <c r="GN90" s="960"/>
      <c r="GO90" s="960"/>
      <c r="GP90" s="960"/>
      <c r="GQ90" s="961"/>
      <c r="GR90" s="962"/>
      <c r="GS90" s="963"/>
      <c r="GT90" s="961"/>
      <c r="GU90" s="962"/>
      <c r="GV90" s="962"/>
      <c r="GW90" s="459" t="s">
        <v>425</v>
      </c>
      <c r="GX90" s="482">
        <f>COUNTA(GE90:GV90)</f>
        <v>0</v>
      </c>
      <c r="GY90" s="939"/>
      <c r="GZ90" s="1016"/>
      <c r="HB90" s="1038">
        <v>46295</v>
      </c>
      <c r="HC90" s="960"/>
      <c r="HD90" s="960"/>
      <c r="HE90" s="960"/>
      <c r="HF90" s="960"/>
      <c r="HG90" s="960"/>
      <c r="HH90" s="960"/>
      <c r="HI90" s="960"/>
      <c r="HJ90" s="960"/>
      <c r="HK90" s="960"/>
      <c r="HL90" s="960"/>
      <c r="HM90" s="960"/>
      <c r="HN90" s="960"/>
      <c r="HO90" s="961"/>
      <c r="HP90" s="962"/>
      <c r="HQ90" s="963"/>
      <c r="HR90" s="961"/>
      <c r="HS90" s="962"/>
      <c r="HT90" s="962"/>
      <c r="HU90" s="459" t="s">
        <v>425</v>
      </c>
      <c r="HV90" s="482">
        <f>COUNTA(HC90:HT90)</f>
        <v>0</v>
      </c>
      <c r="HW90" s="939"/>
      <c r="HX90" s="1016"/>
      <c r="HZ90" s="1048">
        <v>46325</v>
      </c>
      <c r="IA90" s="960"/>
      <c r="IB90" s="960"/>
      <c r="IC90" s="960"/>
      <c r="ID90" s="960"/>
      <c r="IE90" s="960"/>
      <c r="IF90" s="960"/>
      <c r="IG90" s="960"/>
      <c r="IH90" s="960"/>
      <c r="II90" s="960"/>
      <c r="IJ90" s="960"/>
      <c r="IK90" s="960"/>
      <c r="IL90" s="960"/>
      <c r="IM90" s="961"/>
      <c r="IN90" s="962"/>
      <c r="IO90" s="963"/>
      <c r="IP90" s="961"/>
      <c r="IQ90" s="962"/>
      <c r="IR90" s="962"/>
      <c r="IS90" s="459" t="s">
        <v>425</v>
      </c>
      <c r="IT90" s="482">
        <f>COUNTA(IA90:IR90)</f>
        <v>0</v>
      </c>
      <c r="IU90" s="939"/>
      <c r="IV90" s="1016"/>
      <c r="IX90" s="1064">
        <v>46356</v>
      </c>
      <c r="IY90" s="960"/>
      <c r="IZ90" s="960"/>
      <c r="JA90" s="960"/>
      <c r="JB90" s="960"/>
      <c r="JC90" s="960"/>
      <c r="JD90" s="960"/>
      <c r="JE90" s="960"/>
      <c r="JF90" s="960"/>
      <c r="JG90" s="960"/>
      <c r="JH90" s="960"/>
      <c r="JI90" s="960"/>
      <c r="JJ90" s="960"/>
      <c r="JK90" s="961"/>
      <c r="JL90" s="962"/>
      <c r="JM90" s="963"/>
      <c r="JN90" s="961"/>
      <c r="JO90" s="962"/>
      <c r="JP90" s="962"/>
      <c r="JQ90" s="459" t="s">
        <v>425</v>
      </c>
      <c r="JR90" s="482">
        <f>COUNTA(IY90:JP90)</f>
        <v>0</v>
      </c>
      <c r="JS90" s="939"/>
      <c r="JT90" s="1016"/>
      <c r="JV90" s="1038">
        <v>46386</v>
      </c>
      <c r="JW90" s="960"/>
      <c r="JX90" s="960"/>
      <c r="JY90" s="960"/>
      <c r="JZ90" s="960"/>
      <c r="KA90" s="960"/>
      <c r="KB90" s="960"/>
      <c r="KC90" s="960"/>
      <c r="KD90" s="960"/>
      <c r="KE90" s="960"/>
      <c r="KF90" s="960"/>
      <c r="KG90" s="960"/>
      <c r="KH90" s="960"/>
      <c r="KI90" s="961"/>
      <c r="KJ90" s="962"/>
      <c r="KK90" s="963"/>
      <c r="KL90" s="961"/>
      <c r="KM90" s="962"/>
      <c r="KN90" s="962"/>
      <c r="KO90" s="459" t="s">
        <v>425</v>
      </c>
      <c r="KP90" s="482">
        <f>COUNTA(JW90:KN90)</f>
        <v>0</v>
      </c>
      <c r="KQ90" s="939"/>
      <c r="KR90" s="1016"/>
      <c r="KT90" s="1051">
        <v>46417</v>
      </c>
      <c r="KU90" s="1023"/>
      <c r="KV90" s="1023"/>
      <c r="KW90" s="1023"/>
      <c r="KX90" s="1023"/>
      <c r="KY90" s="1023"/>
      <c r="KZ90" s="1023"/>
      <c r="LA90" s="1023"/>
      <c r="LB90" s="1023"/>
      <c r="LC90" s="1023"/>
      <c r="LD90" s="1023"/>
      <c r="LE90" s="1023"/>
      <c r="LF90" s="1023"/>
      <c r="LG90" s="1021"/>
      <c r="LH90" s="1022"/>
      <c r="LI90" s="1024"/>
      <c r="LJ90" s="1021"/>
      <c r="LK90" s="1022"/>
      <c r="LL90" s="1022"/>
      <c r="LM90" s="489" t="s">
        <v>425</v>
      </c>
      <c r="LN90" s="496">
        <f>COUNTA(KU90:LL90)</f>
        <v>0</v>
      </c>
      <c r="LO90" s="1067"/>
      <c r="LP90" s="1070"/>
    </row>
    <row r="91" spans="18:328" ht="15">
      <c r="R91" s="877"/>
      <c r="S91" s="231" t="s">
        <v>59</v>
      </c>
      <c r="T91" s="231" t="s">
        <v>73</v>
      </c>
      <c r="U91" s="102" t="s">
        <v>4</v>
      </c>
      <c r="V91" s="231" t="s">
        <v>59</v>
      </c>
      <c r="W91" s="231" t="s">
        <v>73</v>
      </c>
      <c r="X91" s="102" t="s">
        <v>4</v>
      </c>
      <c r="Y91" s="231" t="s">
        <v>59</v>
      </c>
      <c r="Z91" s="231" t="s">
        <v>73</v>
      </c>
      <c r="AA91" s="102" t="s">
        <v>4</v>
      </c>
      <c r="AB91" s="231" t="s">
        <v>59</v>
      </c>
      <c r="AC91" s="231" t="s">
        <v>73</v>
      </c>
      <c r="AD91" s="102" t="s">
        <v>4</v>
      </c>
      <c r="AE91" s="107" t="s">
        <v>59</v>
      </c>
      <c r="AF91" s="107" t="s">
        <v>73</v>
      </c>
      <c r="AG91" s="108" t="s">
        <v>4</v>
      </c>
      <c r="AH91" s="107" t="s">
        <v>59</v>
      </c>
      <c r="AI91" s="107" t="s">
        <v>73</v>
      </c>
      <c r="AJ91" s="471" t="s">
        <v>4</v>
      </c>
      <c r="AK91" s="1004">
        <v>49</v>
      </c>
      <c r="AL91" s="1002">
        <f t="shared" ref="AL91" si="130">(S92*T92*U92)+(V92*W92*X92)+(Y92*Z92*AA92)+(AB92*AC92*AD92)+(AE92*AF92*AG92)+(AH92*AI92*AJ92)</f>
        <v>4650.95</v>
      </c>
      <c r="AM91" s="940"/>
      <c r="AN91" s="855"/>
      <c r="AO91" s="118"/>
      <c r="AP91" s="895"/>
      <c r="AQ91" s="107" t="s">
        <v>59</v>
      </c>
      <c r="AR91" s="107" t="s">
        <v>73</v>
      </c>
      <c r="AS91" s="108" t="s">
        <v>4</v>
      </c>
      <c r="AT91" s="107" t="s">
        <v>59</v>
      </c>
      <c r="AU91" s="107" t="s">
        <v>73</v>
      </c>
      <c r="AV91" s="108" t="s">
        <v>4</v>
      </c>
      <c r="AW91" s="107" t="s">
        <v>59</v>
      </c>
      <c r="AX91" s="107" t="s">
        <v>73</v>
      </c>
      <c r="AY91" s="108" t="s">
        <v>4</v>
      </c>
      <c r="AZ91" s="107" t="s">
        <v>59</v>
      </c>
      <c r="BA91" s="107" t="s">
        <v>73</v>
      </c>
      <c r="BB91" s="108" t="s">
        <v>4</v>
      </c>
      <c r="BC91" s="107" t="s">
        <v>59</v>
      </c>
      <c r="BD91" s="107" t="s">
        <v>73</v>
      </c>
      <c r="BE91" s="108" t="s">
        <v>4</v>
      </c>
      <c r="BF91" s="107" t="s">
        <v>59</v>
      </c>
      <c r="BG91" s="107" t="s">
        <v>73</v>
      </c>
      <c r="BH91" s="471" t="s">
        <v>4</v>
      </c>
      <c r="BI91" s="1017"/>
      <c r="BJ91" s="1019">
        <f t="shared" si="100"/>
        <v>0</v>
      </c>
      <c r="BK91" s="1012"/>
      <c r="BL91" s="1020"/>
      <c r="BM91" s="118"/>
      <c r="BN91" s="871"/>
      <c r="BO91" s="231" t="s">
        <v>59</v>
      </c>
      <c r="BP91" s="231" t="s">
        <v>73</v>
      </c>
      <c r="BQ91" s="102" t="s">
        <v>4</v>
      </c>
      <c r="BR91" s="107" t="s">
        <v>59</v>
      </c>
      <c r="BS91" s="107" t="s">
        <v>73</v>
      </c>
      <c r="BT91" s="108" t="s">
        <v>4</v>
      </c>
      <c r="BU91" s="107" t="s">
        <v>59</v>
      </c>
      <c r="BV91" s="107" t="s">
        <v>73</v>
      </c>
      <c r="BW91" s="108" t="s">
        <v>4</v>
      </c>
      <c r="BX91" s="107" t="s">
        <v>59</v>
      </c>
      <c r="BY91" s="107" t="s">
        <v>73</v>
      </c>
      <c r="BZ91" s="108" t="s">
        <v>4</v>
      </c>
      <c r="CA91" s="107" t="s">
        <v>59</v>
      </c>
      <c r="CB91" s="107" t="s">
        <v>73</v>
      </c>
      <c r="CC91" s="108" t="s">
        <v>4</v>
      </c>
      <c r="CD91" s="107" t="s">
        <v>59</v>
      </c>
      <c r="CE91" s="107" t="s">
        <v>73</v>
      </c>
      <c r="CF91" s="471" t="s">
        <v>4</v>
      </c>
      <c r="CG91" s="1004">
        <v>48</v>
      </c>
      <c r="CH91" s="1005">
        <f t="shared" ref="CH91" si="131">(BO92*BP92*BQ92)+(BR92*BS92*BT92)+(BU92*BV92*BW92)+(BX92*BY92*BZ92)+(CA92*CB92*CC92)+(CD92*CE92*CF92)</f>
        <v>3710.3999999999996</v>
      </c>
      <c r="CI91" s="940"/>
      <c r="CJ91" s="1016"/>
      <c r="CL91" s="1042"/>
      <c r="CM91" s="460" t="s">
        <v>59</v>
      </c>
      <c r="CN91" s="460" t="s">
        <v>73</v>
      </c>
      <c r="CO91" s="461" t="s">
        <v>4</v>
      </c>
      <c r="CP91" s="460" t="s">
        <v>59</v>
      </c>
      <c r="CQ91" s="460" t="s">
        <v>73</v>
      </c>
      <c r="CR91" s="461" t="s">
        <v>4</v>
      </c>
      <c r="CS91" s="460" t="s">
        <v>59</v>
      </c>
      <c r="CT91" s="460" t="s">
        <v>73</v>
      </c>
      <c r="CU91" s="461" t="s">
        <v>4</v>
      </c>
      <c r="CV91" s="460" t="s">
        <v>59</v>
      </c>
      <c r="CW91" s="460" t="s">
        <v>73</v>
      </c>
      <c r="CX91" s="461" t="s">
        <v>4</v>
      </c>
      <c r="CY91" s="460" t="s">
        <v>59</v>
      </c>
      <c r="CZ91" s="460" t="s">
        <v>73</v>
      </c>
      <c r="DA91" s="461" t="s">
        <v>4</v>
      </c>
      <c r="DB91" s="460" t="s">
        <v>59</v>
      </c>
      <c r="DC91" s="460" t="s">
        <v>73</v>
      </c>
      <c r="DD91" s="473" t="s">
        <v>4</v>
      </c>
      <c r="DE91" s="1004"/>
      <c r="DF91" s="1005">
        <f>(CM92*CN92*CO92)+(CP92*CQ92*CR92)+(CS92*CT92*CU92)+(CV92*CW92*CX92)+(CY92*CZ92*DA92)+(DB92*DC92*DD92)</f>
        <v>0</v>
      </c>
      <c r="DG91" s="940"/>
      <c r="DH91" s="1016"/>
      <c r="DJ91" s="1052"/>
      <c r="DK91" s="491" t="s">
        <v>59</v>
      </c>
      <c r="DL91" s="491" t="s">
        <v>73</v>
      </c>
      <c r="DM91" s="492" t="s">
        <v>4</v>
      </c>
      <c r="DN91" s="491" t="s">
        <v>59</v>
      </c>
      <c r="DO91" s="491" t="s">
        <v>73</v>
      </c>
      <c r="DP91" s="492" t="s">
        <v>4</v>
      </c>
      <c r="DQ91" s="491" t="s">
        <v>59</v>
      </c>
      <c r="DR91" s="491" t="s">
        <v>73</v>
      </c>
      <c r="DS91" s="492" t="s">
        <v>4</v>
      </c>
      <c r="DT91" s="491" t="s">
        <v>59</v>
      </c>
      <c r="DU91" s="491" t="s">
        <v>73</v>
      </c>
      <c r="DV91" s="492" t="s">
        <v>4</v>
      </c>
      <c r="DW91" s="491" t="s">
        <v>59</v>
      </c>
      <c r="DX91" s="491" t="s">
        <v>73</v>
      </c>
      <c r="DY91" s="492" t="s">
        <v>4</v>
      </c>
      <c r="DZ91" s="491" t="s">
        <v>59</v>
      </c>
      <c r="EA91" s="491" t="s">
        <v>73</v>
      </c>
      <c r="EB91" s="493" t="s">
        <v>4</v>
      </c>
      <c r="EC91" s="1071"/>
      <c r="ED91" s="1072">
        <f>(DK92*DL92*DM92)+(DN92*DO92*DP92)+(DQ92*DR92*DS92)+(DT92*DU92*DV92)+(DW92*DX92*DY92)+(DZ92*EA92*EB92)</f>
        <v>0</v>
      </c>
      <c r="EE91" s="1068"/>
      <c r="EF91" s="1070"/>
      <c r="EH91" s="1075"/>
      <c r="EI91" s="460" t="s">
        <v>59</v>
      </c>
      <c r="EJ91" s="460" t="s">
        <v>73</v>
      </c>
      <c r="EK91" s="461" t="s">
        <v>4</v>
      </c>
      <c r="EL91" s="460" t="s">
        <v>59</v>
      </c>
      <c r="EM91" s="460" t="s">
        <v>73</v>
      </c>
      <c r="EN91" s="461" t="s">
        <v>4</v>
      </c>
      <c r="EO91" s="460" t="s">
        <v>59</v>
      </c>
      <c r="EP91" s="460" t="s">
        <v>73</v>
      </c>
      <c r="EQ91" s="461" t="s">
        <v>4</v>
      </c>
      <c r="ER91" s="460" t="s">
        <v>59</v>
      </c>
      <c r="ES91" s="460" t="s">
        <v>73</v>
      </c>
      <c r="ET91" s="461" t="s">
        <v>4</v>
      </c>
      <c r="EU91" s="460" t="s">
        <v>59</v>
      </c>
      <c r="EV91" s="460" t="s">
        <v>73</v>
      </c>
      <c r="EW91" s="461" t="s">
        <v>4</v>
      </c>
      <c r="EX91" s="460" t="s">
        <v>59</v>
      </c>
      <c r="EY91" s="460" t="s">
        <v>73</v>
      </c>
      <c r="EZ91" s="473" t="s">
        <v>4</v>
      </c>
      <c r="FA91" s="1004"/>
      <c r="FB91" s="1005">
        <f>(EI92*EJ92*EK92)+(EL92*EM92*EN92)+(EO92*EP92*EQ92)+(ER92*ES92*ET92)+(EU92*EV92*EW92)+(EX92*EY92*EZ92)</f>
        <v>0</v>
      </c>
      <c r="FC91" s="940"/>
      <c r="FD91" s="1016"/>
      <c r="FF91" s="1042"/>
      <c r="FG91" s="460" t="s">
        <v>59</v>
      </c>
      <c r="FH91" s="460" t="s">
        <v>73</v>
      </c>
      <c r="FI91" s="461" t="s">
        <v>4</v>
      </c>
      <c r="FJ91" s="460" t="s">
        <v>59</v>
      </c>
      <c r="FK91" s="460" t="s">
        <v>73</v>
      </c>
      <c r="FL91" s="461" t="s">
        <v>4</v>
      </c>
      <c r="FM91" s="460" t="s">
        <v>59</v>
      </c>
      <c r="FN91" s="460" t="s">
        <v>73</v>
      </c>
      <c r="FO91" s="461" t="s">
        <v>4</v>
      </c>
      <c r="FP91" s="460" t="s">
        <v>59</v>
      </c>
      <c r="FQ91" s="460" t="s">
        <v>73</v>
      </c>
      <c r="FR91" s="461" t="s">
        <v>4</v>
      </c>
      <c r="FS91" s="460" t="s">
        <v>59</v>
      </c>
      <c r="FT91" s="460" t="s">
        <v>73</v>
      </c>
      <c r="FU91" s="461" t="s">
        <v>4</v>
      </c>
      <c r="FV91" s="460" t="s">
        <v>59</v>
      </c>
      <c r="FW91" s="460" t="s">
        <v>73</v>
      </c>
      <c r="FX91" s="473" t="s">
        <v>4</v>
      </c>
      <c r="FY91" s="1004"/>
      <c r="FZ91" s="1005">
        <f>(FG92*FH92*FI92)+(FJ92*FK92*FL92)+(FM92*FN92*FO92)+(FP92*FQ92*FR92)+(FS92*FT92*FU92)+(FV92*FW92*FX92)</f>
        <v>0</v>
      </c>
      <c r="GA91" s="940"/>
      <c r="GB91" s="1016"/>
      <c r="GD91" s="1062"/>
      <c r="GE91" s="460" t="s">
        <v>59</v>
      </c>
      <c r="GF91" s="460" t="s">
        <v>73</v>
      </c>
      <c r="GG91" s="461" t="s">
        <v>4</v>
      </c>
      <c r="GH91" s="460" t="s">
        <v>59</v>
      </c>
      <c r="GI91" s="460" t="s">
        <v>73</v>
      </c>
      <c r="GJ91" s="461" t="s">
        <v>4</v>
      </c>
      <c r="GK91" s="460" t="s">
        <v>59</v>
      </c>
      <c r="GL91" s="460" t="s">
        <v>73</v>
      </c>
      <c r="GM91" s="461" t="s">
        <v>4</v>
      </c>
      <c r="GN91" s="460" t="s">
        <v>59</v>
      </c>
      <c r="GO91" s="460" t="s">
        <v>73</v>
      </c>
      <c r="GP91" s="461" t="s">
        <v>4</v>
      </c>
      <c r="GQ91" s="460" t="s">
        <v>59</v>
      </c>
      <c r="GR91" s="460" t="s">
        <v>73</v>
      </c>
      <c r="GS91" s="461" t="s">
        <v>4</v>
      </c>
      <c r="GT91" s="460" t="s">
        <v>59</v>
      </c>
      <c r="GU91" s="460" t="s">
        <v>73</v>
      </c>
      <c r="GV91" s="473" t="s">
        <v>4</v>
      </c>
      <c r="GW91" s="1004"/>
      <c r="GX91" s="1005">
        <f>(GE92*GF92*GG92)+(GH92*GI92*GJ92)+(GK92*GL92*GM92)+(GN92*GO92*GP92)+(GQ92*GR92*GS92)+(GT92*GU92*GV92)</f>
        <v>0</v>
      </c>
      <c r="GY91" s="940"/>
      <c r="GZ91" s="1016"/>
      <c r="HB91" s="1039"/>
      <c r="HC91" s="460" t="s">
        <v>59</v>
      </c>
      <c r="HD91" s="460" t="s">
        <v>73</v>
      </c>
      <c r="HE91" s="461" t="s">
        <v>4</v>
      </c>
      <c r="HF91" s="460" t="s">
        <v>59</v>
      </c>
      <c r="HG91" s="460" t="s">
        <v>73</v>
      </c>
      <c r="HH91" s="461" t="s">
        <v>4</v>
      </c>
      <c r="HI91" s="460" t="s">
        <v>59</v>
      </c>
      <c r="HJ91" s="460" t="s">
        <v>73</v>
      </c>
      <c r="HK91" s="461" t="s">
        <v>4</v>
      </c>
      <c r="HL91" s="460" t="s">
        <v>59</v>
      </c>
      <c r="HM91" s="460" t="s">
        <v>73</v>
      </c>
      <c r="HN91" s="461" t="s">
        <v>4</v>
      </c>
      <c r="HO91" s="460" t="s">
        <v>59</v>
      </c>
      <c r="HP91" s="460" t="s">
        <v>73</v>
      </c>
      <c r="HQ91" s="461" t="s">
        <v>4</v>
      </c>
      <c r="HR91" s="460" t="s">
        <v>59</v>
      </c>
      <c r="HS91" s="460" t="s">
        <v>73</v>
      </c>
      <c r="HT91" s="473" t="s">
        <v>4</v>
      </c>
      <c r="HU91" s="1004"/>
      <c r="HV91" s="1005">
        <f>(HC92*HD92*HE92)+(HF92*HG92*HH92)+(HI92*HJ92*HK92)+(HL92*HM92*HN92)+(HO92*HP92*HQ92)+(HR92*HS92*HT92)</f>
        <v>0</v>
      </c>
      <c r="HW91" s="940"/>
      <c r="HX91" s="1016"/>
      <c r="HZ91" s="1049"/>
      <c r="IA91" s="460" t="s">
        <v>59</v>
      </c>
      <c r="IB91" s="460" t="s">
        <v>73</v>
      </c>
      <c r="IC91" s="461" t="s">
        <v>4</v>
      </c>
      <c r="ID91" s="460" t="s">
        <v>59</v>
      </c>
      <c r="IE91" s="460" t="s">
        <v>73</v>
      </c>
      <c r="IF91" s="461" t="s">
        <v>4</v>
      </c>
      <c r="IG91" s="460" t="s">
        <v>59</v>
      </c>
      <c r="IH91" s="460" t="s">
        <v>73</v>
      </c>
      <c r="II91" s="461" t="s">
        <v>4</v>
      </c>
      <c r="IJ91" s="460" t="s">
        <v>59</v>
      </c>
      <c r="IK91" s="460" t="s">
        <v>73</v>
      </c>
      <c r="IL91" s="461" t="s">
        <v>4</v>
      </c>
      <c r="IM91" s="460" t="s">
        <v>59</v>
      </c>
      <c r="IN91" s="460" t="s">
        <v>73</v>
      </c>
      <c r="IO91" s="461" t="s">
        <v>4</v>
      </c>
      <c r="IP91" s="460" t="s">
        <v>59</v>
      </c>
      <c r="IQ91" s="460" t="s">
        <v>73</v>
      </c>
      <c r="IR91" s="473" t="s">
        <v>4</v>
      </c>
      <c r="IS91" s="1004"/>
      <c r="IT91" s="1005">
        <f>(IA92*IB92*IC92)+(ID92*IE92*IF92)+(IG92*IH92*II92)+(IJ92*IK92*IL92)+(IM92*IN92*IO92)+(IP92*IQ92*IR92)</f>
        <v>0</v>
      </c>
      <c r="IU91" s="940"/>
      <c r="IV91" s="1016"/>
      <c r="IX91" s="1065"/>
      <c r="IY91" s="460" t="s">
        <v>59</v>
      </c>
      <c r="IZ91" s="460" t="s">
        <v>73</v>
      </c>
      <c r="JA91" s="461" t="s">
        <v>4</v>
      </c>
      <c r="JB91" s="460" t="s">
        <v>59</v>
      </c>
      <c r="JC91" s="460" t="s">
        <v>73</v>
      </c>
      <c r="JD91" s="461" t="s">
        <v>4</v>
      </c>
      <c r="JE91" s="460" t="s">
        <v>59</v>
      </c>
      <c r="JF91" s="460" t="s">
        <v>73</v>
      </c>
      <c r="JG91" s="461" t="s">
        <v>4</v>
      </c>
      <c r="JH91" s="460" t="s">
        <v>59</v>
      </c>
      <c r="JI91" s="460" t="s">
        <v>73</v>
      </c>
      <c r="JJ91" s="461" t="s">
        <v>4</v>
      </c>
      <c r="JK91" s="460" t="s">
        <v>59</v>
      </c>
      <c r="JL91" s="460" t="s">
        <v>73</v>
      </c>
      <c r="JM91" s="461" t="s">
        <v>4</v>
      </c>
      <c r="JN91" s="460" t="s">
        <v>59</v>
      </c>
      <c r="JO91" s="460" t="s">
        <v>73</v>
      </c>
      <c r="JP91" s="473" t="s">
        <v>4</v>
      </c>
      <c r="JQ91" s="1004"/>
      <c r="JR91" s="1005">
        <f>(IY92*IZ92*JA92)+(JB92*JC92*JD92)+(JE92*JF92*JG92)+(JH92*JI92*JJ92)+(JK92*JL92*JM92)+(JN92*JO92*JP92)</f>
        <v>0</v>
      </c>
      <c r="JS91" s="940"/>
      <c r="JT91" s="1016"/>
      <c r="JV91" s="1039"/>
      <c r="JW91" s="460" t="s">
        <v>59</v>
      </c>
      <c r="JX91" s="460" t="s">
        <v>73</v>
      </c>
      <c r="JY91" s="461" t="s">
        <v>4</v>
      </c>
      <c r="JZ91" s="460" t="s">
        <v>59</v>
      </c>
      <c r="KA91" s="460" t="s">
        <v>73</v>
      </c>
      <c r="KB91" s="461" t="s">
        <v>4</v>
      </c>
      <c r="KC91" s="460" t="s">
        <v>59</v>
      </c>
      <c r="KD91" s="460" t="s">
        <v>73</v>
      </c>
      <c r="KE91" s="461" t="s">
        <v>4</v>
      </c>
      <c r="KF91" s="460" t="s">
        <v>59</v>
      </c>
      <c r="KG91" s="460" t="s">
        <v>73</v>
      </c>
      <c r="KH91" s="461" t="s">
        <v>4</v>
      </c>
      <c r="KI91" s="460" t="s">
        <v>59</v>
      </c>
      <c r="KJ91" s="460" t="s">
        <v>73</v>
      </c>
      <c r="KK91" s="461" t="s">
        <v>4</v>
      </c>
      <c r="KL91" s="460" t="s">
        <v>59</v>
      </c>
      <c r="KM91" s="460" t="s">
        <v>73</v>
      </c>
      <c r="KN91" s="473" t="s">
        <v>4</v>
      </c>
      <c r="KO91" s="1004"/>
      <c r="KP91" s="1005">
        <f>(JW92*JX92*JY92)+(JZ92*KA92*KB92)+(KC92*KD92*KE92)+(KF92*KG92*KH92)+(KI92*KJ92*KK92)+(KL92*KM92*KN92)</f>
        <v>0</v>
      </c>
      <c r="KQ91" s="940"/>
      <c r="KR91" s="1016"/>
      <c r="KT91" s="1052"/>
      <c r="KU91" s="491" t="s">
        <v>59</v>
      </c>
      <c r="KV91" s="491" t="s">
        <v>73</v>
      </c>
      <c r="KW91" s="492" t="s">
        <v>4</v>
      </c>
      <c r="KX91" s="491" t="s">
        <v>59</v>
      </c>
      <c r="KY91" s="491" t="s">
        <v>73</v>
      </c>
      <c r="KZ91" s="492" t="s">
        <v>4</v>
      </c>
      <c r="LA91" s="491" t="s">
        <v>59</v>
      </c>
      <c r="LB91" s="491" t="s">
        <v>73</v>
      </c>
      <c r="LC91" s="492" t="s">
        <v>4</v>
      </c>
      <c r="LD91" s="491" t="s">
        <v>59</v>
      </c>
      <c r="LE91" s="491" t="s">
        <v>73</v>
      </c>
      <c r="LF91" s="492" t="s">
        <v>4</v>
      </c>
      <c r="LG91" s="491" t="s">
        <v>59</v>
      </c>
      <c r="LH91" s="491" t="s">
        <v>73</v>
      </c>
      <c r="LI91" s="492" t="s">
        <v>4</v>
      </c>
      <c r="LJ91" s="491" t="s">
        <v>59</v>
      </c>
      <c r="LK91" s="491" t="s">
        <v>73</v>
      </c>
      <c r="LL91" s="493" t="s">
        <v>4</v>
      </c>
      <c r="LM91" s="1071"/>
      <c r="LN91" s="1072">
        <f>(KU92*KV92*KW92)+(KX92*KY92*KZ92)+(LA92*LB92*LC92)+(LD92*LE92*LF92)+(LG92*LH92*LI92)+(LJ92*LK92*LL92)</f>
        <v>0</v>
      </c>
      <c r="LO91" s="1068"/>
      <c r="LP91" s="1070"/>
    </row>
    <row r="92" spans="18:328" ht="15">
      <c r="R92" s="878"/>
      <c r="S92" s="229">
        <v>4</v>
      </c>
      <c r="T92" s="229">
        <f>((12*1)+(10*3))/4</f>
        <v>10.5</v>
      </c>
      <c r="U92" s="229">
        <f>((12.5*1)+(25*3))/4</f>
        <v>21.875</v>
      </c>
      <c r="V92" s="229">
        <v>4</v>
      </c>
      <c r="W92" s="229">
        <f>((12*3)+(8*1))/4</f>
        <v>11</v>
      </c>
      <c r="X92" s="229">
        <f>((27*1)+(54*2)+(59*1))/4</f>
        <v>48.5</v>
      </c>
      <c r="Y92" s="229">
        <v>4</v>
      </c>
      <c r="Z92" s="229">
        <v>12</v>
      </c>
      <c r="AA92" s="229">
        <f>((15.9*1)+(34*3))/4</f>
        <v>29.475000000000001</v>
      </c>
      <c r="AB92" s="229">
        <v>4</v>
      </c>
      <c r="AC92" s="229">
        <f>((0.5*1)+(1*3))/4</f>
        <v>0.875</v>
      </c>
      <c r="AD92" s="229">
        <f>AN90*(2/3)</f>
        <v>52.399999999999991</v>
      </c>
      <c r="AE92" s="233"/>
      <c r="AF92" s="233"/>
      <c r="AG92" s="233"/>
      <c r="AH92" s="233"/>
      <c r="AI92" s="233"/>
      <c r="AJ92" s="472"/>
      <c r="AK92" s="1007"/>
      <c r="AL92" s="1002"/>
      <c r="AM92" s="941"/>
      <c r="AN92" s="855"/>
      <c r="AO92" s="118"/>
      <c r="AP92" s="896"/>
      <c r="AQ92" s="233"/>
      <c r="AR92" s="233"/>
      <c r="AS92" s="233"/>
      <c r="AT92" s="233"/>
      <c r="AU92" s="233"/>
      <c r="AV92" s="233"/>
      <c r="AW92" s="233"/>
      <c r="AX92" s="233"/>
      <c r="AY92" s="233"/>
      <c r="AZ92" s="233"/>
      <c r="BA92" s="233"/>
      <c r="BB92" s="233"/>
      <c r="BC92" s="233"/>
      <c r="BD92" s="233"/>
      <c r="BE92" s="233"/>
      <c r="BF92" s="233"/>
      <c r="BG92" s="233"/>
      <c r="BH92" s="477"/>
      <c r="BI92" s="1025"/>
      <c r="BJ92" s="1019"/>
      <c r="BK92" s="1013"/>
      <c r="BL92" s="1020"/>
      <c r="BM92" s="118"/>
      <c r="BN92" s="872"/>
      <c r="BO92" s="229">
        <v>1</v>
      </c>
      <c r="BP92" s="229">
        <f>CG91</f>
        <v>48</v>
      </c>
      <c r="BQ92" s="229">
        <f>CJ90</f>
        <v>77.3</v>
      </c>
      <c r="BR92" s="233"/>
      <c r="BS92" s="233"/>
      <c r="BT92" s="233"/>
      <c r="BU92" s="233"/>
      <c r="BV92" s="233"/>
      <c r="BW92" s="233"/>
      <c r="BX92" s="233"/>
      <c r="BY92" s="233"/>
      <c r="BZ92" s="233"/>
      <c r="CA92" s="233"/>
      <c r="CB92" s="233"/>
      <c r="CC92" s="233"/>
      <c r="CD92" s="233"/>
      <c r="CE92" s="233"/>
      <c r="CF92" s="472"/>
      <c r="CG92" s="1007"/>
      <c r="CH92" s="1006"/>
      <c r="CI92" s="941"/>
      <c r="CJ92" s="1016"/>
      <c r="CL92" s="1043"/>
      <c r="CM92" s="462"/>
      <c r="CN92" s="462"/>
      <c r="CO92" s="462"/>
      <c r="CP92" s="462"/>
      <c r="CQ92" s="462"/>
      <c r="CR92" s="462"/>
      <c r="CS92" s="462"/>
      <c r="CT92" s="462"/>
      <c r="CU92" s="462"/>
      <c r="CV92" s="462"/>
      <c r="CW92" s="462"/>
      <c r="CX92" s="462"/>
      <c r="CY92" s="462"/>
      <c r="CZ92" s="462"/>
      <c r="DA92" s="462"/>
      <c r="DB92" s="462"/>
      <c r="DC92" s="462"/>
      <c r="DD92" s="474"/>
      <c r="DE92" s="1007"/>
      <c r="DF92" s="1006"/>
      <c r="DG92" s="941"/>
      <c r="DH92" s="1016"/>
      <c r="DJ92" s="1053"/>
      <c r="DK92" s="494"/>
      <c r="DL92" s="494"/>
      <c r="DM92" s="494"/>
      <c r="DN92" s="494"/>
      <c r="DO92" s="494"/>
      <c r="DP92" s="494"/>
      <c r="DQ92" s="494"/>
      <c r="DR92" s="494"/>
      <c r="DS92" s="494"/>
      <c r="DT92" s="494"/>
      <c r="DU92" s="494"/>
      <c r="DV92" s="494"/>
      <c r="DW92" s="494"/>
      <c r="DX92" s="494"/>
      <c r="DY92" s="494"/>
      <c r="DZ92" s="494"/>
      <c r="EA92" s="494"/>
      <c r="EB92" s="495"/>
      <c r="EC92" s="1081"/>
      <c r="ED92" s="1073"/>
      <c r="EE92" s="1069"/>
      <c r="EF92" s="1070"/>
      <c r="EH92" s="1076"/>
      <c r="EI92" s="462"/>
      <c r="EJ92" s="462"/>
      <c r="EK92" s="462"/>
      <c r="EL92" s="462"/>
      <c r="EM92" s="462"/>
      <c r="EN92" s="462"/>
      <c r="EO92" s="462"/>
      <c r="EP92" s="462"/>
      <c r="EQ92" s="462"/>
      <c r="ER92" s="462"/>
      <c r="ES92" s="462"/>
      <c r="ET92" s="462"/>
      <c r="EU92" s="462"/>
      <c r="EV92" s="462"/>
      <c r="EW92" s="462"/>
      <c r="EX92" s="462"/>
      <c r="EY92" s="462"/>
      <c r="EZ92" s="474"/>
      <c r="FA92" s="1007"/>
      <c r="FB92" s="1006"/>
      <c r="FC92" s="941"/>
      <c r="FD92" s="1016"/>
      <c r="FF92" s="1043"/>
      <c r="FG92" s="462"/>
      <c r="FH92" s="462"/>
      <c r="FI92" s="462"/>
      <c r="FJ92" s="462"/>
      <c r="FK92" s="462"/>
      <c r="FL92" s="462"/>
      <c r="FM92" s="462"/>
      <c r="FN92" s="462"/>
      <c r="FO92" s="462"/>
      <c r="FP92" s="462"/>
      <c r="FQ92" s="462"/>
      <c r="FR92" s="462"/>
      <c r="FS92" s="462"/>
      <c r="FT92" s="462"/>
      <c r="FU92" s="462"/>
      <c r="FV92" s="462"/>
      <c r="FW92" s="462"/>
      <c r="FX92" s="474"/>
      <c r="FY92" s="1007"/>
      <c r="FZ92" s="1006"/>
      <c r="GA92" s="941"/>
      <c r="GB92" s="1016"/>
      <c r="GD92" s="1063"/>
      <c r="GE92" s="462"/>
      <c r="GF92" s="462"/>
      <c r="GG92" s="462"/>
      <c r="GH92" s="462"/>
      <c r="GI92" s="462"/>
      <c r="GJ92" s="462"/>
      <c r="GK92" s="462"/>
      <c r="GL92" s="462"/>
      <c r="GM92" s="462"/>
      <c r="GN92" s="462"/>
      <c r="GO92" s="462"/>
      <c r="GP92" s="462"/>
      <c r="GQ92" s="462"/>
      <c r="GR92" s="462"/>
      <c r="GS92" s="462"/>
      <c r="GT92" s="462"/>
      <c r="GU92" s="462"/>
      <c r="GV92" s="474"/>
      <c r="GW92" s="1007"/>
      <c r="GX92" s="1006"/>
      <c r="GY92" s="941"/>
      <c r="GZ92" s="1016"/>
      <c r="HB92" s="1040"/>
      <c r="HC92" s="462"/>
      <c r="HD92" s="462"/>
      <c r="HE92" s="462"/>
      <c r="HF92" s="462"/>
      <c r="HG92" s="462"/>
      <c r="HH92" s="462"/>
      <c r="HI92" s="462"/>
      <c r="HJ92" s="462"/>
      <c r="HK92" s="462"/>
      <c r="HL92" s="462"/>
      <c r="HM92" s="462"/>
      <c r="HN92" s="462"/>
      <c r="HO92" s="462"/>
      <c r="HP92" s="462"/>
      <c r="HQ92" s="462"/>
      <c r="HR92" s="462"/>
      <c r="HS92" s="462"/>
      <c r="HT92" s="474"/>
      <c r="HU92" s="1007"/>
      <c r="HV92" s="1006"/>
      <c r="HW92" s="941"/>
      <c r="HX92" s="1016"/>
      <c r="HZ92" s="1050"/>
      <c r="IA92" s="462"/>
      <c r="IB92" s="462"/>
      <c r="IC92" s="462"/>
      <c r="ID92" s="462"/>
      <c r="IE92" s="462"/>
      <c r="IF92" s="462"/>
      <c r="IG92" s="462"/>
      <c r="IH92" s="462"/>
      <c r="II92" s="462"/>
      <c r="IJ92" s="462"/>
      <c r="IK92" s="462"/>
      <c r="IL92" s="462"/>
      <c r="IM92" s="462"/>
      <c r="IN92" s="462"/>
      <c r="IO92" s="462"/>
      <c r="IP92" s="462"/>
      <c r="IQ92" s="462"/>
      <c r="IR92" s="474"/>
      <c r="IS92" s="1007"/>
      <c r="IT92" s="1006"/>
      <c r="IU92" s="941"/>
      <c r="IV92" s="1016"/>
      <c r="IX92" s="1066"/>
      <c r="IY92" s="462"/>
      <c r="IZ92" s="462"/>
      <c r="JA92" s="462"/>
      <c r="JB92" s="462"/>
      <c r="JC92" s="462"/>
      <c r="JD92" s="462"/>
      <c r="JE92" s="462"/>
      <c r="JF92" s="462"/>
      <c r="JG92" s="462"/>
      <c r="JH92" s="462"/>
      <c r="JI92" s="462"/>
      <c r="JJ92" s="462"/>
      <c r="JK92" s="462"/>
      <c r="JL92" s="462"/>
      <c r="JM92" s="462"/>
      <c r="JN92" s="462"/>
      <c r="JO92" s="462"/>
      <c r="JP92" s="474"/>
      <c r="JQ92" s="1007"/>
      <c r="JR92" s="1006"/>
      <c r="JS92" s="941"/>
      <c r="JT92" s="1016"/>
      <c r="JV92" s="1040"/>
      <c r="JW92" s="462"/>
      <c r="JX92" s="462"/>
      <c r="JY92" s="462"/>
      <c r="JZ92" s="462"/>
      <c r="KA92" s="462"/>
      <c r="KB92" s="462"/>
      <c r="KC92" s="462"/>
      <c r="KD92" s="462"/>
      <c r="KE92" s="462"/>
      <c r="KF92" s="462"/>
      <c r="KG92" s="462"/>
      <c r="KH92" s="462"/>
      <c r="KI92" s="462"/>
      <c r="KJ92" s="462"/>
      <c r="KK92" s="462"/>
      <c r="KL92" s="462"/>
      <c r="KM92" s="462"/>
      <c r="KN92" s="474"/>
      <c r="KO92" s="1007"/>
      <c r="KP92" s="1006"/>
      <c r="KQ92" s="941"/>
      <c r="KR92" s="1016"/>
      <c r="KT92" s="1053"/>
      <c r="KU92" s="494"/>
      <c r="KV92" s="494"/>
      <c r="KW92" s="494"/>
      <c r="KX92" s="494"/>
      <c r="KY92" s="494"/>
      <c r="KZ92" s="494"/>
      <c r="LA92" s="494"/>
      <c r="LB92" s="494"/>
      <c r="LC92" s="494"/>
      <c r="LD92" s="494"/>
      <c r="LE92" s="494"/>
      <c r="LF92" s="494"/>
      <c r="LG92" s="494"/>
      <c r="LH92" s="494"/>
      <c r="LI92" s="494"/>
      <c r="LJ92" s="494"/>
      <c r="LK92" s="494"/>
      <c r="LL92" s="495"/>
      <c r="LM92" s="1081"/>
      <c r="LN92" s="1073"/>
      <c r="LO92" s="1069"/>
      <c r="LP92" s="1070"/>
    </row>
    <row r="93" spans="18:328" ht="15">
      <c r="R93" s="840">
        <v>46053</v>
      </c>
      <c r="S93" s="1023"/>
      <c r="T93" s="1023"/>
      <c r="U93" s="1023"/>
      <c r="V93" s="1023"/>
      <c r="W93" s="1023"/>
      <c r="X93" s="1023"/>
      <c r="Y93" s="1023"/>
      <c r="Z93" s="1023"/>
      <c r="AA93" s="1023"/>
      <c r="AB93" s="1023"/>
      <c r="AC93" s="1023"/>
      <c r="AD93" s="1023"/>
      <c r="AE93" s="1021"/>
      <c r="AF93" s="1022"/>
      <c r="AG93" s="1024"/>
      <c r="AH93" s="1021"/>
      <c r="AI93" s="1022"/>
      <c r="AJ93" s="1022"/>
      <c r="AK93" s="459" t="s">
        <v>425</v>
      </c>
      <c r="AL93" s="1">
        <f t="shared" ref="AL93" si="132">COUNTA(S93:AJ93)</f>
        <v>0</v>
      </c>
      <c r="AM93" s="939"/>
      <c r="AN93" s="855">
        <f>AN90</f>
        <v>78.599999999999994</v>
      </c>
      <c r="AO93" s="118"/>
      <c r="AP93" s="902"/>
      <c r="AQ93" s="844"/>
      <c r="AR93" s="844"/>
      <c r="AS93" s="844"/>
      <c r="AT93" s="844"/>
      <c r="AU93" s="844"/>
      <c r="AV93" s="844"/>
      <c r="AW93" s="844"/>
      <c r="AX93" s="844"/>
      <c r="AY93" s="844"/>
      <c r="AZ93" s="844"/>
      <c r="BA93" s="844"/>
      <c r="BB93" s="844"/>
      <c r="BC93" s="834"/>
      <c r="BD93" s="835"/>
      <c r="BE93" s="836"/>
      <c r="BF93" s="834"/>
      <c r="BG93" s="835"/>
      <c r="BH93" s="835"/>
      <c r="BI93" s="484" t="s">
        <v>425</v>
      </c>
      <c r="BJ93" s="488">
        <f t="shared" si="97"/>
        <v>0</v>
      </c>
      <c r="BK93" s="1011"/>
      <c r="BL93" s="1020"/>
      <c r="BM93" s="118"/>
      <c r="BN93" s="856">
        <v>46112</v>
      </c>
      <c r="BO93" s="848" t="s">
        <v>89</v>
      </c>
      <c r="BP93" s="848"/>
      <c r="BQ93" s="848"/>
      <c r="BR93" s="977" t="s">
        <v>380</v>
      </c>
      <c r="BS93" s="977"/>
      <c r="BT93" s="977"/>
      <c r="BU93" s="848" t="s">
        <v>115</v>
      </c>
      <c r="BV93" s="848"/>
      <c r="BW93" s="848"/>
      <c r="BX93" s="849" t="s">
        <v>114</v>
      </c>
      <c r="BY93" s="849"/>
      <c r="BZ93" s="849"/>
      <c r="CA93" s="848" t="s">
        <v>129</v>
      </c>
      <c r="CB93" s="848"/>
      <c r="CC93" s="848"/>
      <c r="CD93" s="834"/>
      <c r="CE93" s="835"/>
      <c r="CF93" s="835"/>
      <c r="CG93" s="459" t="s">
        <v>425</v>
      </c>
      <c r="CH93" s="1">
        <f t="shared" ref="CH93" si="133">COUNTA(BO93:CF93)</f>
        <v>5</v>
      </c>
      <c r="CI93" s="829">
        <v>7</v>
      </c>
      <c r="CJ93" s="1016">
        <v>78.599999999999994</v>
      </c>
      <c r="CL93" s="1078"/>
      <c r="CM93" s="844"/>
      <c r="CN93" s="844"/>
      <c r="CO93" s="844"/>
      <c r="CP93" s="844"/>
      <c r="CQ93" s="844"/>
      <c r="CR93" s="844"/>
      <c r="CS93" s="844"/>
      <c r="CT93" s="844"/>
      <c r="CU93" s="844"/>
      <c r="CV93" s="844"/>
      <c r="CW93" s="844"/>
      <c r="CX93" s="844"/>
      <c r="CY93" s="834"/>
      <c r="CZ93" s="835"/>
      <c r="DA93" s="836"/>
      <c r="DB93" s="834"/>
      <c r="DC93" s="835"/>
      <c r="DD93" s="835"/>
      <c r="DE93" s="459" t="s">
        <v>425</v>
      </c>
      <c r="DF93" s="1">
        <f>COUNTA(CM93:DD93)</f>
        <v>0</v>
      </c>
      <c r="DG93" s="829"/>
      <c r="DH93" s="1016"/>
      <c r="DJ93" s="1061">
        <v>46173</v>
      </c>
      <c r="DK93" s="960"/>
      <c r="DL93" s="960"/>
      <c r="DM93" s="960"/>
      <c r="DN93" s="960"/>
      <c r="DO93" s="960"/>
      <c r="DP93" s="960"/>
      <c r="DQ93" s="960"/>
      <c r="DR93" s="960"/>
      <c r="DS93" s="960"/>
      <c r="DT93" s="960"/>
      <c r="DU93" s="960"/>
      <c r="DV93" s="960"/>
      <c r="DW93" s="961"/>
      <c r="DX93" s="962"/>
      <c r="DY93" s="963"/>
      <c r="DZ93" s="961"/>
      <c r="EA93" s="962"/>
      <c r="EB93" s="962"/>
      <c r="EC93" s="459" t="s">
        <v>425</v>
      </c>
      <c r="ED93" s="1">
        <f>COUNTA(DK93:EB93)</f>
        <v>0</v>
      </c>
      <c r="EE93" s="829"/>
      <c r="EF93" s="1016"/>
      <c r="EH93" s="1082"/>
      <c r="EI93" s="1023"/>
      <c r="EJ93" s="1023"/>
      <c r="EK93" s="1023"/>
      <c r="EL93" s="1023"/>
      <c r="EM93" s="1023"/>
      <c r="EN93" s="1023"/>
      <c r="EO93" s="1023"/>
      <c r="EP93" s="1023"/>
      <c r="EQ93" s="1023"/>
      <c r="ER93" s="1023"/>
      <c r="ES93" s="1023"/>
      <c r="ET93" s="1023"/>
      <c r="EU93" s="1021"/>
      <c r="EV93" s="1022"/>
      <c r="EW93" s="1024"/>
      <c r="EX93" s="1021"/>
      <c r="EY93" s="1022"/>
      <c r="EZ93" s="1022"/>
      <c r="FA93" s="489" t="s">
        <v>425</v>
      </c>
      <c r="FB93" s="490">
        <f>COUNTA(EI93:EZ93)</f>
        <v>0</v>
      </c>
      <c r="FC93" s="1085"/>
      <c r="FD93" s="1070"/>
      <c r="FF93" s="1048">
        <v>46234</v>
      </c>
      <c r="FG93" s="960"/>
      <c r="FH93" s="960"/>
      <c r="FI93" s="960"/>
      <c r="FJ93" s="960"/>
      <c r="FK93" s="960"/>
      <c r="FL93" s="960"/>
      <c r="FM93" s="960"/>
      <c r="FN93" s="960"/>
      <c r="FO93" s="960"/>
      <c r="FP93" s="960"/>
      <c r="FQ93" s="960"/>
      <c r="FR93" s="960"/>
      <c r="FS93" s="961"/>
      <c r="FT93" s="962"/>
      <c r="FU93" s="963"/>
      <c r="FV93" s="961"/>
      <c r="FW93" s="962"/>
      <c r="FX93" s="962"/>
      <c r="FY93" s="459" t="s">
        <v>425</v>
      </c>
      <c r="FZ93" s="1">
        <f>COUNTA(FG93:FX93)</f>
        <v>0</v>
      </c>
      <c r="GA93" s="829"/>
      <c r="GB93" s="1016"/>
      <c r="GD93" s="1064">
        <v>46265</v>
      </c>
      <c r="GE93" s="960"/>
      <c r="GF93" s="960"/>
      <c r="GG93" s="960"/>
      <c r="GH93" s="960"/>
      <c r="GI93" s="960"/>
      <c r="GJ93" s="960"/>
      <c r="GK93" s="960"/>
      <c r="GL93" s="960"/>
      <c r="GM93" s="960"/>
      <c r="GN93" s="960"/>
      <c r="GO93" s="960"/>
      <c r="GP93" s="960"/>
      <c r="GQ93" s="961"/>
      <c r="GR93" s="962"/>
      <c r="GS93" s="963"/>
      <c r="GT93" s="961"/>
      <c r="GU93" s="962"/>
      <c r="GV93" s="962"/>
      <c r="GW93" s="459" t="s">
        <v>425</v>
      </c>
      <c r="GX93" s="1">
        <f>COUNTA(GE93:GV93)</f>
        <v>0</v>
      </c>
      <c r="GY93" s="829"/>
      <c r="GZ93" s="1016"/>
      <c r="HB93" s="1082"/>
      <c r="HC93" s="1023"/>
      <c r="HD93" s="1023"/>
      <c r="HE93" s="1023"/>
      <c r="HF93" s="1023"/>
      <c r="HG93" s="1023"/>
      <c r="HH93" s="1023"/>
      <c r="HI93" s="1023"/>
      <c r="HJ93" s="1023"/>
      <c r="HK93" s="1023"/>
      <c r="HL93" s="1023"/>
      <c r="HM93" s="1023"/>
      <c r="HN93" s="1023"/>
      <c r="HO93" s="1021"/>
      <c r="HP93" s="1022"/>
      <c r="HQ93" s="1024"/>
      <c r="HR93" s="1021"/>
      <c r="HS93" s="1022"/>
      <c r="HT93" s="1022"/>
      <c r="HU93" s="489" t="s">
        <v>425</v>
      </c>
      <c r="HV93" s="490">
        <f>COUNTA(HC93:HT93)</f>
        <v>0</v>
      </c>
      <c r="HW93" s="1085"/>
      <c r="HX93" s="1070"/>
      <c r="HZ93" s="1051">
        <v>46326</v>
      </c>
      <c r="IA93" s="1023"/>
      <c r="IB93" s="1023"/>
      <c r="IC93" s="1023"/>
      <c r="ID93" s="1023"/>
      <c r="IE93" s="1023"/>
      <c r="IF93" s="1023"/>
      <c r="IG93" s="1023"/>
      <c r="IH93" s="1023"/>
      <c r="II93" s="1023"/>
      <c r="IJ93" s="1023"/>
      <c r="IK93" s="1023"/>
      <c r="IL93" s="1023"/>
      <c r="IM93" s="1021"/>
      <c r="IN93" s="1022"/>
      <c r="IO93" s="1024"/>
      <c r="IP93" s="1021"/>
      <c r="IQ93" s="1022"/>
      <c r="IR93" s="1022"/>
      <c r="IS93" s="489" t="s">
        <v>425</v>
      </c>
      <c r="IT93" s="490">
        <f>COUNTA(IA93:IR93)</f>
        <v>0</v>
      </c>
      <c r="IU93" s="1085"/>
      <c r="IV93" s="1070"/>
      <c r="IX93" s="1082"/>
      <c r="IY93" s="1023"/>
      <c r="IZ93" s="1023"/>
      <c r="JA93" s="1023"/>
      <c r="JB93" s="1023"/>
      <c r="JC93" s="1023"/>
      <c r="JD93" s="1023"/>
      <c r="JE93" s="1023"/>
      <c r="JF93" s="1023"/>
      <c r="JG93" s="1023"/>
      <c r="JH93" s="1023"/>
      <c r="JI93" s="1023"/>
      <c r="JJ93" s="1023"/>
      <c r="JK93" s="1021"/>
      <c r="JL93" s="1022"/>
      <c r="JM93" s="1024"/>
      <c r="JN93" s="1021"/>
      <c r="JO93" s="1022"/>
      <c r="JP93" s="1022"/>
      <c r="JQ93" s="489" t="s">
        <v>425</v>
      </c>
      <c r="JR93" s="490">
        <f>COUNTA(IY93:JP93)</f>
        <v>0</v>
      </c>
      <c r="JS93" s="1085"/>
      <c r="JT93" s="1070"/>
      <c r="JV93" s="1041">
        <v>46387</v>
      </c>
      <c r="JW93" s="960"/>
      <c r="JX93" s="960"/>
      <c r="JY93" s="960"/>
      <c r="JZ93" s="960"/>
      <c r="KA93" s="960"/>
      <c r="KB93" s="960"/>
      <c r="KC93" s="960"/>
      <c r="KD93" s="960"/>
      <c r="KE93" s="960"/>
      <c r="KF93" s="960"/>
      <c r="KG93" s="960"/>
      <c r="KH93" s="960"/>
      <c r="KI93" s="961"/>
      <c r="KJ93" s="962"/>
      <c r="KK93" s="963"/>
      <c r="KL93" s="961"/>
      <c r="KM93" s="962"/>
      <c r="KN93" s="962"/>
      <c r="KO93" s="459" t="s">
        <v>425</v>
      </c>
      <c r="KP93" s="1">
        <f>COUNTA(JW93:KN93)</f>
        <v>0</v>
      </c>
      <c r="KQ93" s="829"/>
      <c r="KR93" s="1016"/>
      <c r="KT93" s="1061">
        <v>46418</v>
      </c>
      <c r="KU93" s="960"/>
      <c r="KV93" s="960"/>
      <c r="KW93" s="960"/>
      <c r="KX93" s="960"/>
      <c r="KY93" s="960"/>
      <c r="KZ93" s="960"/>
      <c r="LA93" s="960"/>
      <c r="LB93" s="960"/>
      <c r="LC93" s="960"/>
      <c r="LD93" s="960"/>
      <c r="LE93" s="960"/>
      <c r="LF93" s="960"/>
      <c r="LG93" s="961"/>
      <c r="LH93" s="962"/>
      <c r="LI93" s="963"/>
      <c r="LJ93" s="961"/>
      <c r="LK93" s="962"/>
      <c r="LL93" s="962"/>
      <c r="LM93" s="459" t="s">
        <v>425</v>
      </c>
      <c r="LN93" s="1">
        <f>COUNTA(KU93:LL93)</f>
        <v>0</v>
      </c>
      <c r="LO93" s="829"/>
      <c r="LP93" s="1016"/>
    </row>
    <row r="94" spans="18:328" ht="15">
      <c r="R94" s="841"/>
      <c r="S94" s="491" t="s">
        <v>59</v>
      </c>
      <c r="T94" s="491" t="s">
        <v>73</v>
      </c>
      <c r="U94" s="492" t="s">
        <v>4</v>
      </c>
      <c r="V94" s="491" t="s">
        <v>59</v>
      </c>
      <c r="W94" s="491" t="s">
        <v>73</v>
      </c>
      <c r="X94" s="492" t="s">
        <v>4</v>
      </c>
      <c r="Y94" s="491" t="s">
        <v>59</v>
      </c>
      <c r="Z94" s="491" t="s">
        <v>73</v>
      </c>
      <c r="AA94" s="492" t="s">
        <v>4</v>
      </c>
      <c r="AB94" s="491" t="s">
        <v>59</v>
      </c>
      <c r="AC94" s="491" t="s">
        <v>73</v>
      </c>
      <c r="AD94" s="492" t="s">
        <v>4</v>
      </c>
      <c r="AE94" s="491" t="s">
        <v>59</v>
      </c>
      <c r="AF94" s="491" t="s">
        <v>73</v>
      </c>
      <c r="AG94" s="492" t="s">
        <v>4</v>
      </c>
      <c r="AH94" s="491" t="s">
        <v>59</v>
      </c>
      <c r="AI94" s="491" t="s">
        <v>73</v>
      </c>
      <c r="AJ94" s="493" t="s">
        <v>4</v>
      </c>
      <c r="AK94" s="1004">
        <v>0</v>
      </c>
      <c r="AL94" s="1002">
        <f t="shared" ref="AL94" si="134">(S95*T95*U95)+(V95*W95*X95)+(Y95*Z95*AA95)+(AB95*AC95*AD95)+(AE95*AF95*AG95)+(AH95*AI95*AJ95)</f>
        <v>0</v>
      </c>
      <c r="AM94" s="940"/>
      <c r="AN94" s="855"/>
      <c r="AO94" s="118"/>
      <c r="AP94" s="903"/>
      <c r="AQ94" s="107" t="s">
        <v>59</v>
      </c>
      <c r="AR94" s="107" t="s">
        <v>73</v>
      </c>
      <c r="AS94" s="108" t="s">
        <v>4</v>
      </c>
      <c r="AT94" s="107" t="s">
        <v>59</v>
      </c>
      <c r="AU94" s="107" t="s">
        <v>73</v>
      </c>
      <c r="AV94" s="108" t="s">
        <v>4</v>
      </c>
      <c r="AW94" s="107" t="s">
        <v>59</v>
      </c>
      <c r="AX94" s="107" t="s">
        <v>73</v>
      </c>
      <c r="AY94" s="108" t="s">
        <v>4</v>
      </c>
      <c r="AZ94" s="107" t="s">
        <v>59</v>
      </c>
      <c r="BA94" s="107" t="s">
        <v>73</v>
      </c>
      <c r="BB94" s="108" t="s">
        <v>4</v>
      </c>
      <c r="BC94" s="107" t="s">
        <v>59</v>
      </c>
      <c r="BD94" s="107" t="s">
        <v>73</v>
      </c>
      <c r="BE94" s="108" t="s">
        <v>4</v>
      </c>
      <c r="BF94" s="107" t="s">
        <v>59</v>
      </c>
      <c r="BG94" s="107" t="s">
        <v>73</v>
      </c>
      <c r="BH94" s="471" t="s">
        <v>4</v>
      </c>
      <c r="BI94" s="1017"/>
      <c r="BJ94" s="1019">
        <f t="shared" si="100"/>
        <v>0</v>
      </c>
      <c r="BK94" s="1012"/>
      <c r="BL94" s="1020"/>
      <c r="BM94" s="118"/>
      <c r="BN94" s="857"/>
      <c r="BO94" s="231" t="s">
        <v>59</v>
      </c>
      <c r="BP94" s="231" t="s">
        <v>73</v>
      </c>
      <c r="BQ94" s="102" t="s">
        <v>4</v>
      </c>
      <c r="BR94" s="303" t="s">
        <v>59</v>
      </c>
      <c r="BS94" s="303" t="s">
        <v>73</v>
      </c>
      <c r="BT94" s="304" t="s">
        <v>4</v>
      </c>
      <c r="BU94" s="231" t="s">
        <v>59</v>
      </c>
      <c r="BV94" s="231" t="s">
        <v>73</v>
      </c>
      <c r="BW94" s="102" t="s">
        <v>4</v>
      </c>
      <c r="BX94" s="231" t="s">
        <v>59</v>
      </c>
      <c r="BY94" s="231" t="s">
        <v>73</v>
      </c>
      <c r="BZ94" s="102" t="s">
        <v>4</v>
      </c>
      <c r="CA94" s="231" t="s">
        <v>59</v>
      </c>
      <c r="CB94" s="231" t="s">
        <v>73</v>
      </c>
      <c r="CC94" s="102" t="s">
        <v>4</v>
      </c>
      <c r="CD94" s="107" t="s">
        <v>59</v>
      </c>
      <c r="CE94" s="107" t="s">
        <v>73</v>
      </c>
      <c r="CF94" s="471" t="s">
        <v>4</v>
      </c>
      <c r="CG94" s="1004">
        <f>54</f>
        <v>54</v>
      </c>
      <c r="CH94" s="1002">
        <f t="shared" ref="CH94" si="135">(BO95*BP95*BQ95)+(BR95*BS95*BT95)+(BU95*BV95*BW95)+(BX95*BY95*BZ95)+(CA95*CB95*CC95)+(CD95*CE95*CF95)</f>
        <v>6503.4</v>
      </c>
      <c r="CI94" s="829"/>
      <c r="CJ94" s="1016"/>
      <c r="CL94" s="1079"/>
      <c r="CM94" s="107" t="s">
        <v>59</v>
      </c>
      <c r="CN94" s="107" t="s">
        <v>73</v>
      </c>
      <c r="CO94" s="108" t="s">
        <v>4</v>
      </c>
      <c r="CP94" s="107" t="s">
        <v>59</v>
      </c>
      <c r="CQ94" s="107" t="s">
        <v>73</v>
      </c>
      <c r="CR94" s="108" t="s">
        <v>4</v>
      </c>
      <c r="CS94" s="107" t="s">
        <v>59</v>
      </c>
      <c r="CT94" s="107" t="s">
        <v>73</v>
      </c>
      <c r="CU94" s="108" t="s">
        <v>4</v>
      </c>
      <c r="CV94" s="107" t="s">
        <v>59</v>
      </c>
      <c r="CW94" s="107" t="s">
        <v>73</v>
      </c>
      <c r="CX94" s="108" t="s">
        <v>4</v>
      </c>
      <c r="CY94" s="107" t="s">
        <v>59</v>
      </c>
      <c r="CZ94" s="107" t="s">
        <v>73</v>
      </c>
      <c r="DA94" s="108" t="s">
        <v>4</v>
      </c>
      <c r="DB94" s="107" t="s">
        <v>59</v>
      </c>
      <c r="DC94" s="107" t="s">
        <v>73</v>
      </c>
      <c r="DD94" s="471" t="s">
        <v>4</v>
      </c>
      <c r="DE94" s="1004"/>
      <c r="DF94" s="1002">
        <f>(CM95*CN95*CO95)+(CP95*CQ95*CR95)+(CS95*CT95*CU95)+(CV95*CW95*CX95)+(CY95*CZ95*DA95)+(DB95*DC95*DD95)</f>
        <v>0</v>
      </c>
      <c r="DG94" s="829"/>
      <c r="DH94" s="1016"/>
      <c r="DJ94" s="1062"/>
      <c r="DK94" s="460" t="s">
        <v>59</v>
      </c>
      <c r="DL94" s="460" t="s">
        <v>73</v>
      </c>
      <c r="DM94" s="461" t="s">
        <v>4</v>
      </c>
      <c r="DN94" s="460" t="s">
        <v>59</v>
      </c>
      <c r="DO94" s="460" t="s">
        <v>73</v>
      </c>
      <c r="DP94" s="461" t="s">
        <v>4</v>
      </c>
      <c r="DQ94" s="460" t="s">
        <v>59</v>
      </c>
      <c r="DR94" s="460" t="s">
        <v>73</v>
      </c>
      <c r="DS94" s="461" t="s">
        <v>4</v>
      </c>
      <c r="DT94" s="460" t="s">
        <v>59</v>
      </c>
      <c r="DU94" s="460" t="s">
        <v>73</v>
      </c>
      <c r="DV94" s="461" t="s">
        <v>4</v>
      </c>
      <c r="DW94" s="460" t="s">
        <v>59</v>
      </c>
      <c r="DX94" s="460" t="s">
        <v>73</v>
      </c>
      <c r="DY94" s="461" t="s">
        <v>4</v>
      </c>
      <c r="DZ94" s="460" t="s">
        <v>59</v>
      </c>
      <c r="EA94" s="460" t="s">
        <v>73</v>
      </c>
      <c r="EB94" s="473" t="s">
        <v>4</v>
      </c>
      <c r="EC94" s="1004"/>
      <c r="ED94" s="1002">
        <f>(DK95*DL95*DM95)+(DN95*DO95*DP95)+(DQ95*DR95*DS95)+(DT95*DU95*DV95)+(DW95*DX95*DY95)+(DZ95*EA95*EB95)</f>
        <v>0</v>
      </c>
      <c r="EE94" s="829"/>
      <c r="EF94" s="1016"/>
      <c r="EH94" s="1083"/>
      <c r="EI94" s="491" t="s">
        <v>59</v>
      </c>
      <c r="EJ94" s="491" t="s">
        <v>73</v>
      </c>
      <c r="EK94" s="492" t="s">
        <v>4</v>
      </c>
      <c r="EL94" s="491" t="s">
        <v>59</v>
      </c>
      <c r="EM94" s="491" t="s">
        <v>73</v>
      </c>
      <c r="EN94" s="492" t="s">
        <v>4</v>
      </c>
      <c r="EO94" s="491" t="s">
        <v>59</v>
      </c>
      <c r="EP94" s="491" t="s">
        <v>73</v>
      </c>
      <c r="EQ94" s="492" t="s">
        <v>4</v>
      </c>
      <c r="ER94" s="491" t="s">
        <v>59</v>
      </c>
      <c r="ES94" s="491" t="s">
        <v>73</v>
      </c>
      <c r="ET94" s="492" t="s">
        <v>4</v>
      </c>
      <c r="EU94" s="491" t="s">
        <v>59</v>
      </c>
      <c r="EV94" s="491" t="s">
        <v>73</v>
      </c>
      <c r="EW94" s="492" t="s">
        <v>4</v>
      </c>
      <c r="EX94" s="491" t="s">
        <v>59</v>
      </c>
      <c r="EY94" s="491" t="s">
        <v>73</v>
      </c>
      <c r="EZ94" s="493" t="s">
        <v>4</v>
      </c>
      <c r="FA94" s="1071"/>
      <c r="FB94" s="1086">
        <f>(EI95*EJ95*EK95)+(EL95*EM95*EN95)+(EO95*EP95*EQ95)+(ER95*ES95*ET95)+(EU95*EV95*EW95)+(EX95*EY95*EZ95)</f>
        <v>0</v>
      </c>
      <c r="FC94" s="1085"/>
      <c r="FD94" s="1070"/>
      <c r="FF94" s="1049"/>
      <c r="FG94" s="460" t="s">
        <v>59</v>
      </c>
      <c r="FH94" s="460" t="s">
        <v>73</v>
      </c>
      <c r="FI94" s="461" t="s">
        <v>4</v>
      </c>
      <c r="FJ94" s="460" t="s">
        <v>59</v>
      </c>
      <c r="FK94" s="460" t="s">
        <v>73</v>
      </c>
      <c r="FL94" s="461" t="s">
        <v>4</v>
      </c>
      <c r="FM94" s="460" t="s">
        <v>59</v>
      </c>
      <c r="FN94" s="460" t="s">
        <v>73</v>
      </c>
      <c r="FO94" s="461" t="s">
        <v>4</v>
      </c>
      <c r="FP94" s="460" t="s">
        <v>59</v>
      </c>
      <c r="FQ94" s="460" t="s">
        <v>73</v>
      </c>
      <c r="FR94" s="461" t="s">
        <v>4</v>
      </c>
      <c r="FS94" s="460" t="s">
        <v>59</v>
      </c>
      <c r="FT94" s="460" t="s">
        <v>73</v>
      </c>
      <c r="FU94" s="461" t="s">
        <v>4</v>
      </c>
      <c r="FV94" s="460" t="s">
        <v>59</v>
      </c>
      <c r="FW94" s="460" t="s">
        <v>73</v>
      </c>
      <c r="FX94" s="473" t="s">
        <v>4</v>
      </c>
      <c r="FY94" s="1004"/>
      <c r="FZ94" s="1002">
        <f>(FG95*FH95*FI95)+(FJ95*FK95*FL95)+(FM95*FN95*FO95)+(FP95*FQ95*FR95)+(FS95*FT95*FU95)+(FV95*FW95*FX95)</f>
        <v>0</v>
      </c>
      <c r="GA94" s="829"/>
      <c r="GB94" s="1016"/>
      <c r="GD94" s="1065"/>
      <c r="GE94" s="460" t="s">
        <v>59</v>
      </c>
      <c r="GF94" s="460" t="s">
        <v>73</v>
      </c>
      <c r="GG94" s="461" t="s">
        <v>4</v>
      </c>
      <c r="GH94" s="460" t="s">
        <v>59</v>
      </c>
      <c r="GI94" s="460" t="s">
        <v>73</v>
      </c>
      <c r="GJ94" s="461" t="s">
        <v>4</v>
      </c>
      <c r="GK94" s="460" t="s">
        <v>59</v>
      </c>
      <c r="GL94" s="460" t="s">
        <v>73</v>
      </c>
      <c r="GM94" s="461" t="s">
        <v>4</v>
      </c>
      <c r="GN94" s="460" t="s">
        <v>59</v>
      </c>
      <c r="GO94" s="460" t="s">
        <v>73</v>
      </c>
      <c r="GP94" s="461" t="s">
        <v>4</v>
      </c>
      <c r="GQ94" s="460" t="s">
        <v>59</v>
      </c>
      <c r="GR94" s="460" t="s">
        <v>73</v>
      </c>
      <c r="GS94" s="461" t="s">
        <v>4</v>
      </c>
      <c r="GT94" s="460" t="s">
        <v>59</v>
      </c>
      <c r="GU94" s="460" t="s">
        <v>73</v>
      </c>
      <c r="GV94" s="473" t="s">
        <v>4</v>
      </c>
      <c r="GW94" s="1004"/>
      <c r="GX94" s="1002">
        <f>(GE95*GF95*GG95)+(GH95*GI95*GJ95)+(GK95*GL95*GM95)+(GN95*GO95*GP95)+(GQ95*GR95*GS95)+(GT95*GU95*GV95)</f>
        <v>0</v>
      </c>
      <c r="GY94" s="829"/>
      <c r="GZ94" s="1016"/>
      <c r="HB94" s="1083"/>
      <c r="HC94" s="491" t="s">
        <v>59</v>
      </c>
      <c r="HD94" s="491" t="s">
        <v>73</v>
      </c>
      <c r="HE94" s="492" t="s">
        <v>4</v>
      </c>
      <c r="HF94" s="491" t="s">
        <v>59</v>
      </c>
      <c r="HG94" s="491" t="s">
        <v>73</v>
      </c>
      <c r="HH94" s="492" t="s">
        <v>4</v>
      </c>
      <c r="HI94" s="491" t="s">
        <v>59</v>
      </c>
      <c r="HJ94" s="491" t="s">
        <v>73</v>
      </c>
      <c r="HK94" s="492" t="s">
        <v>4</v>
      </c>
      <c r="HL94" s="491" t="s">
        <v>59</v>
      </c>
      <c r="HM94" s="491" t="s">
        <v>73</v>
      </c>
      <c r="HN94" s="492" t="s">
        <v>4</v>
      </c>
      <c r="HO94" s="491" t="s">
        <v>59</v>
      </c>
      <c r="HP94" s="491" t="s">
        <v>73</v>
      </c>
      <c r="HQ94" s="492" t="s">
        <v>4</v>
      </c>
      <c r="HR94" s="491" t="s">
        <v>59</v>
      </c>
      <c r="HS94" s="491" t="s">
        <v>73</v>
      </c>
      <c r="HT94" s="493" t="s">
        <v>4</v>
      </c>
      <c r="HU94" s="1071"/>
      <c r="HV94" s="1086">
        <f>(HC95*HD95*HE95)+(HF95*HG95*HH95)+(HI95*HJ95*HK95)+(HL95*HM95*HN95)+(HO95*HP95*HQ95)+(HR95*HS95*HT95)</f>
        <v>0</v>
      </c>
      <c r="HW94" s="1085"/>
      <c r="HX94" s="1070"/>
      <c r="HZ94" s="1052"/>
      <c r="IA94" s="491" t="s">
        <v>59</v>
      </c>
      <c r="IB94" s="491" t="s">
        <v>73</v>
      </c>
      <c r="IC94" s="492" t="s">
        <v>4</v>
      </c>
      <c r="ID94" s="491" t="s">
        <v>59</v>
      </c>
      <c r="IE94" s="491" t="s">
        <v>73</v>
      </c>
      <c r="IF94" s="492" t="s">
        <v>4</v>
      </c>
      <c r="IG94" s="491" t="s">
        <v>59</v>
      </c>
      <c r="IH94" s="491" t="s">
        <v>73</v>
      </c>
      <c r="II94" s="492" t="s">
        <v>4</v>
      </c>
      <c r="IJ94" s="491" t="s">
        <v>59</v>
      </c>
      <c r="IK94" s="491" t="s">
        <v>73</v>
      </c>
      <c r="IL94" s="492" t="s">
        <v>4</v>
      </c>
      <c r="IM94" s="491" t="s">
        <v>59</v>
      </c>
      <c r="IN94" s="491" t="s">
        <v>73</v>
      </c>
      <c r="IO94" s="492" t="s">
        <v>4</v>
      </c>
      <c r="IP94" s="491" t="s">
        <v>59</v>
      </c>
      <c r="IQ94" s="491" t="s">
        <v>73</v>
      </c>
      <c r="IR94" s="493" t="s">
        <v>4</v>
      </c>
      <c r="IS94" s="1071"/>
      <c r="IT94" s="1086">
        <f>(IA95*IB95*IC95)+(ID95*IE95*IF95)+(IG95*IH95*II95)+(IJ95*IK95*IL95)+(IM95*IN95*IO95)+(IP95*IQ95*IR95)</f>
        <v>0</v>
      </c>
      <c r="IU94" s="1085"/>
      <c r="IV94" s="1070"/>
      <c r="IX94" s="1083"/>
      <c r="IY94" s="491" t="s">
        <v>59</v>
      </c>
      <c r="IZ94" s="491" t="s">
        <v>73</v>
      </c>
      <c r="JA94" s="492" t="s">
        <v>4</v>
      </c>
      <c r="JB94" s="491" t="s">
        <v>59</v>
      </c>
      <c r="JC94" s="491" t="s">
        <v>73</v>
      </c>
      <c r="JD94" s="492" t="s">
        <v>4</v>
      </c>
      <c r="JE94" s="491" t="s">
        <v>59</v>
      </c>
      <c r="JF94" s="491" t="s">
        <v>73</v>
      </c>
      <c r="JG94" s="492" t="s">
        <v>4</v>
      </c>
      <c r="JH94" s="491" t="s">
        <v>59</v>
      </c>
      <c r="JI94" s="491" t="s">
        <v>73</v>
      </c>
      <c r="JJ94" s="492" t="s">
        <v>4</v>
      </c>
      <c r="JK94" s="491" t="s">
        <v>59</v>
      </c>
      <c r="JL94" s="491" t="s">
        <v>73</v>
      </c>
      <c r="JM94" s="492" t="s">
        <v>4</v>
      </c>
      <c r="JN94" s="491" t="s">
        <v>59</v>
      </c>
      <c r="JO94" s="491" t="s">
        <v>73</v>
      </c>
      <c r="JP94" s="493" t="s">
        <v>4</v>
      </c>
      <c r="JQ94" s="1071"/>
      <c r="JR94" s="1086">
        <f>(IY95*IZ95*JA95)+(JB95*JC95*JD95)+(JE95*JF95*JG95)+(JH95*JI95*JJ95)+(JK95*JL95*JM95)+(JN95*JO95*JP95)</f>
        <v>0</v>
      </c>
      <c r="JS94" s="1085"/>
      <c r="JT94" s="1070"/>
      <c r="JV94" s="1042"/>
      <c r="JW94" s="460" t="s">
        <v>59</v>
      </c>
      <c r="JX94" s="460" t="s">
        <v>73</v>
      </c>
      <c r="JY94" s="461" t="s">
        <v>4</v>
      </c>
      <c r="JZ94" s="460" t="s">
        <v>59</v>
      </c>
      <c r="KA94" s="460" t="s">
        <v>73</v>
      </c>
      <c r="KB94" s="461" t="s">
        <v>4</v>
      </c>
      <c r="KC94" s="460" t="s">
        <v>59</v>
      </c>
      <c r="KD94" s="460" t="s">
        <v>73</v>
      </c>
      <c r="KE94" s="461" t="s">
        <v>4</v>
      </c>
      <c r="KF94" s="460" t="s">
        <v>59</v>
      </c>
      <c r="KG94" s="460" t="s">
        <v>73</v>
      </c>
      <c r="KH94" s="461" t="s">
        <v>4</v>
      </c>
      <c r="KI94" s="460" t="s">
        <v>59</v>
      </c>
      <c r="KJ94" s="460" t="s">
        <v>73</v>
      </c>
      <c r="KK94" s="461" t="s">
        <v>4</v>
      </c>
      <c r="KL94" s="460" t="s">
        <v>59</v>
      </c>
      <c r="KM94" s="460" t="s">
        <v>73</v>
      </c>
      <c r="KN94" s="473" t="s">
        <v>4</v>
      </c>
      <c r="KO94" s="1004"/>
      <c r="KP94" s="1002">
        <f>(JW95*JX95*JY95)+(JZ95*KA95*KB95)+(KC95*KD95*KE95)+(KF95*KG95*KH95)+(KI95*KJ95*KK95)+(KL95*KM95*KN95)</f>
        <v>0</v>
      </c>
      <c r="KQ94" s="829"/>
      <c r="KR94" s="1016"/>
      <c r="KT94" s="1062"/>
      <c r="KU94" s="460" t="s">
        <v>59</v>
      </c>
      <c r="KV94" s="460" t="s">
        <v>73</v>
      </c>
      <c r="KW94" s="461" t="s">
        <v>4</v>
      </c>
      <c r="KX94" s="460" t="s">
        <v>59</v>
      </c>
      <c r="KY94" s="460" t="s">
        <v>73</v>
      </c>
      <c r="KZ94" s="461" t="s">
        <v>4</v>
      </c>
      <c r="LA94" s="460" t="s">
        <v>59</v>
      </c>
      <c r="LB94" s="460" t="s">
        <v>73</v>
      </c>
      <c r="LC94" s="461" t="s">
        <v>4</v>
      </c>
      <c r="LD94" s="460" t="s">
        <v>59</v>
      </c>
      <c r="LE94" s="460" t="s">
        <v>73</v>
      </c>
      <c r="LF94" s="461" t="s">
        <v>4</v>
      </c>
      <c r="LG94" s="460" t="s">
        <v>59</v>
      </c>
      <c r="LH94" s="460" t="s">
        <v>73</v>
      </c>
      <c r="LI94" s="461" t="s">
        <v>4</v>
      </c>
      <c r="LJ94" s="460" t="s">
        <v>59</v>
      </c>
      <c r="LK94" s="460" t="s">
        <v>73</v>
      </c>
      <c r="LL94" s="473" t="s">
        <v>4</v>
      </c>
      <c r="LM94" s="1004"/>
      <c r="LN94" s="1002">
        <f>(KU95*KV95*KW95)+(KX95*KY95*KZ95)+(LA95*LB95*LC95)+(LD95*LE95*LF95)+(LG95*LH95*LI95)+(LJ95*LK95*LL95)</f>
        <v>0</v>
      </c>
      <c r="LO94" s="829"/>
      <c r="LP94" s="1016"/>
    </row>
    <row r="95" spans="18:328" ht="15">
      <c r="R95" s="842"/>
      <c r="S95" s="494"/>
      <c r="T95" s="494"/>
      <c r="U95" s="494"/>
      <c r="V95" s="494"/>
      <c r="W95" s="494"/>
      <c r="X95" s="494"/>
      <c r="Y95" s="494"/>
      <c r="Z95" s="494"/>
      <c r="AA95" s="494"/>
      <c r="AB95" s="494"/>
      <c r="AC95" s="494"/>
      <c r="AD95" s="494"/>
      <c r="AE95" s="494"/>
      <c r="AF95" s="494"/>
      <c r="AG95" s="494"/>
      <c r="AH95" s="494"/>
      <c r="AI95" s="494"/>
      <c r="AJ95" s="495"/>
      <c r="AK95" s="1004"/>
      <c r="AL95" s="1002"/>
      <c r="AM95" s="941"/>
      <c r="AN95" s="855"/>
      <c r="AO95" s="118"/>
      <c r="AP95" s="904"/>
      <c r="AQ95" s="233"/>
      <c r="AR95" s="233"/>
      <c r="AS95" s="233"/>
      <c r="AT95" s="233"/>
      <c r="AU95" s="233"/>
      <c r="AV95" s="233"/>
      <c r="AW95" s="233"/>
      <c r="AX95" s="233"/>
      <c r="AY95" s="233"/>
      <c r="AZ95" s="233"/>
      <c r="BA95" s="233"/>
      <c r="BB95" s="233"/>
      <c r="BC95" s="233"/>
      <c r="BD95" s="233"/>
      <c r="BE95" s="233"/>
      <c r="BF95" s="233"/>
      <c r="BG95" s="233"/>
      <c r="BH95" s="477"/>
      <c r="BI95" s="1018"/>
      <c r="BJ95" s="1019"/>
      <c r="BK95" s="1013"/>
      <c r="BL95" s="1020"/>
      <c r="BM95" s="118"/>
      <c r="BN95" s="858"/>
      <c r="BO95" s="229">
        <v>4</v>
      </c>
      <c r="BP95" s="126">
        <f>((12*1)+(9*2)+(10*1))/4</f>
        <v>10</v>
      </c>
      <c r="BQ95" s="229">
        <f>((36*1)+(72*3))/4</f>
        <v>63</v>
      </c>
      <c r="BR95" s="305">
        <v>4</v>
      </c>
      <c r="BS95" s="305">
        <f>((12*4))/4</f>
        <v>12</v>
      </c>
      <c r="BT95" s="305">
        <f>((15.9*1)+(34*3))/4</f>
        <v>29.475000000000001</v>
      </c>
      <c r="BU95" s="229">
        <v>4</v>
      </c>
      <c r="BV95" s="126">
        <f>((12*1)+(10*3))/4</f>
        <v>10.5</v>
      </c>
      <c r="BW95" s="229">
        <f>((15.9*1)+(29.5*3))/4</f>
        <v>26.1</v>
      </c>
      <c r="BX95" s="229">
        <v>4</v>
      </c>
      <c r="BY95" s="229">
        <f>((12*4))/4</f>
        <v>12</v>
      </c>
      <c r="BZ95" s="229">
        <f>((5*1)+(7.5*3))/4</f>
        <v>6.875</v>
      </c>
      <c r="CA95" s="229">
        <v>4</v>
      </c>
      <c r="CB95" s="126">
        <f>((12*1)+(12*3))/4</f>
        <v>12</v>
      </c>
      <c r="CC95" s="229">
        <f>((13.6*1)+(27.2*3))/4</f>
        <v>23.799999999999997</v>
      </c>
      <c r="CD95" s="233"/>
      <c r="CE95" s="233"/>
      <c r="CF95" s="472"/>
      <c r="CG95" s="1007"/>
      <c r="CH95" s="1002"/>
      <c r="CI95" s="829"/>
      <c r="CJ95" s="1016"/>
      <c r="CL95" s="1080"/>
      <c r="CM95" s="233"/>
      <c r="CN95" s="233"/>
      <c r="CO95" s="233"/>
      <c r="CP95" s="233"/>
      <c r="CQ95" s="233"/>
      <c r="CR95" s="233"/>
      <c r="CS95" s="233"/>
      <c r="CT95" s="233"/>
      <c r="CU95" s="233"/>
      <c r="CV95" s="233"/>
      <c r="CW95" s="233"/>
      <c r="CX95" s="233"/>
      <c r="CY95" s="233"/>
      <c r="CZ95" s="233"/>
      <c r="DA95" s="233"/>
      <c r="DB95" s="233"/>
      <c r="DC95" s="233"/>
      <c r="DD95" s="477"/>
      <c r="DE95" s="1007"/>
      <c r="DF95" s="1002"/>
      <c r="DG95" s="829"/>
      <c r="DH95" s="1016"/>
      <c r="DJ95" s="1063"/>
      <c r="DK95" s="462"/>
      <c r="DL95" s="462"/>
      <c r="DM95" s="462"/>
      <c r="DN95" s="462"/>
      <c r="DO95" s="462"/>
      <c r="DP95" s="462"/>
      <c r="DQ95" s="462"/>
      <c r="DR95" s="462"/>
      <c r="DS95" s="462"/>
      <c r="DT95" s="462"/>
      <c r="DU95" s="462"/>
      <c r="DV95" s="462"/>
      <c r="DW95" s="462"/>
      <c r="DX95" s="462"/>
      <c r="DY95" s="462"/>
      <c r="DZ95" s="462"/>
      <c r="EA95" s="462"/>
      <c r="EB95" s="474"/>
      <c r="EC95" s="1007"/>
      <c r="ED95" s="1002"/>
      <c r="EE95" s="829"/>
      <c r="EF95" s="1016"/>
      <c r="EH95" s="1084"/>
      <c r="EI95" s="494"/>
      <c r="EJ95" s="494"/>
      <c r="EK95" s="494"/>
      <c r="EL95" s="494"/>
      <c r="EM95" s="494"/>
      <c r="EN95" s="494"/>
      <c r="EO95" s="494"/>
      <c r="EP95" s="494"/>
      <c r="EQ95" s="494"/>
      <c r="ER95" s="494"/>
      <c r="ES95" s="494"/>
      <c r="ET95" s="494"/>
      <c r="EU95" s="494"/>
      <c r="EV95" s="494"/>
      <c r="EW95" s="494"/>
      <c r="EX95" s="494"/>
      <c r="EY95" s="494"/>
      <c r="EZ95" s="495"/>
      <c r="FA95" s="1081"/>
      <c r="FB95" s="1086"/>
      <c r="FC95" s="1085"/>
      <c r="FD95" s="1070"/>
      <c r="FF95" s="1050"/>
      <c r="FG95" s="462"/>
      <c r="FH95" s="462"/>
      <c r="FI95" s="462"/>
      <c r="FJ95" s="462"/>
      <c r="FK95" s="462"/>
      <c r="FL95" s="462"/>
      <c r="FM95" s="462"/>
      <c r="FN95" s="462"/>
      <c r="FO95" s="462"/>
      <c r="FP95" s="462"/>
      <c r="FQ95" s="462"/>
      <c r="FR95" s="462"/>
      <c r="FS95" s="462"/>
      <c r="FT95" s="462"/>
      <c r="FU95" s="462"/>
      <c r="FV95" s="462"/>
      <c r="FW95" s="462"/>
      <c r="FX95" s="474"/>
      <c r="FY95" s="1007"/>
      <c r="FZ95" s="1002"/>
      <c r="GA95" s="829"/>
      <c r="GB95" s="1016"/>
      <c r="GD95" s="1066"/>
      <c r="GE95" s="462"/>
      <c r="GF95" s="462"/>
      <c r="GG95" s="462"/>
      <c r="GH95" s="462"/>
      <c r="GI95" s="462"/>
      <c r="GJ95" s="462"/>
      <c r="GK95" s="462"/>
      <c r="GL95" s="462"/>
      <c r="GM95" s="462"/>
      <c r="GN95" s="462"/>
      <c r="GO95" s="462"/>
      <c r="GP95" s="462"/>
      <c r="GQ95" s="462"/>
      <c r="GR95" s="462"/>
      <c r="GS95" s="462"/>
      <c r="GT95" s="462"/>
      <c r="GU95" s="462"/>
      <c r="GV95" s="474"/>
      <c r="GW95" s="1007"/>
      <c r="GX95" s="1002"/>
      <c r="GY95" s="829"/>
      <c r="GZ95" s="1016"/>
      <c r="HB95" s="1084"/>
      <c r="HC95" s="494"/>
      <c r="HD95" s="494"/>
      <c r="HE95" s="494"/>
      <c r="HF95" s="494"/>
      <c r="HG95" s="494"/>
      <c r="HH95" s="494"/>
      <c r="HI95" s="494"/>
      <c r="HJ95" s="494"/>
      <c r="HK95" s="494"/>
      <c r="HL95" s="494"/>
      <c r="HM95" s="494"/>
      <c r="HN95" s="494"/>
      <c r="HO95" s="494"/>
      <c r="HP95" s="494"/>
      <c r="HQ95" s="494"/>
      <c r="HR95" s="494"/>
      <c r="HS95" s="494"/>
      <c r="HT95" s="495"/>
      <c r="HU95" s="1081"/>
      <c r="HV95" s="1086"/>
      <c r="HW95" s="1085"/>
      <c r="HX95" s="1070"/>
      <c r="HZ95" s="1053"/>
      <c r="IA95" s="494"/>
      <c r="IB95" s="494"/>
      <c r="IC95" s="494"/>
      <c r="ID95" s="494"/>
      <c r="IE95" s="494"/>
      <c r="IF95" s="494"/>
      <c r="IG95" s="494"/>
      <c r="IH95" s="494"/>
      <c r="II95" s="494"/>
      <c r="IJ95" s="494"/>
      <c r="IK95" s="494"/>
      <c r="IL95" s="494"/>
      <c r="IM95" s="494"/>
      <c r="IN95" s="494"/>
      <c r="IO95" s="494"/>
      <c r="IP95" s="494"/>
      <c r="IQ95" s="494"/>
      <c r="IR95" s="495"/>
      <c r="IS95" s="1081"/>
      <c r="IT95" s="1086"/>
      <c r="IU95" s="1085"/>
      <c r="IV95" s="1070"/>
      <c r="IX95" s="1084"/>
      <c r="IY95" s="494"/>
      <c r="IZ95" s="494"/>
      <c r="JA95" s="494"/>
      <c r="JB95" s="494"/>
      <c r="JC95" s="494"/>
      <c r="JD95" s="494"/>
      <c r="JE95" s="494"/>
      <c r="JF95" s="494"/>
      <c r="JG95" s="494"/>
      <c r="JH95" s="494"/>
      <c r="JI95" s="494"/>
      <c r="JJ95" s="494"/>
      <c r="JK95" s="494"/>
      <c r="JL95" s="494"/>
      <c r="JM95" s="494"/>
      <c r="JN95" s="494"/>
      <c r="JO95" s="494"/>
      <c r="JP95" s="495"/>
      <c r="JQ95" s="1081"/>
      <c r="JR95" s="1086"/>
      <c r="JS95" s="1085"/>
      <c r="JT95" s="1070"/>
      <c r="JV95" s="1043"/>
      <c r="JW95" s="462"/>
      <c r="JX95" s="462"/>
      <c r="JY95" s="462"/>
      <c r="JZ95" s="462"/>
      <c r="KA95" s="462"/>
      <c r="KB95" s="462"/>
      <c r="KC95" s="462"/>
      <c r="KD95" s="462"/>
      <c r="KE95" s="462"/>
      <c r="KF95" s="462"/>
      <c r="KG95" s="462"/>
      <c r="KH95" s="462"/>
      <c r="KI95" s="462"/>
      <c r="KJ95" s="462"/>
      <c r="KK95" s="462"/>
      <c r="KL95" s="462"/>
      <c r="KM95" s="462"/>
      <c r="KN95" s="474"/>
      <c r="KO95" s="1007"/>
      <c r="KP95" s="1002"/>
      <c r="KQ95" s="829"/>
      <c r="KR95" s="1016"/>
      <c r="KT95" s="1063"/>
      <c r="KU95" s="462"/>
      <c r="KV95" s="462"/>
      <c r="KW95" s="462"/>
      <c r="KX95" s="462"/>
      <c r="KY95" s="462"/>
      <c r="KZ95" s="462"/>
      <c r="LA95" s="462"/>
      <c r="LB95" s="462"/>
      <c r="LC95" s="462"/>
      <c r="LD95" s="462"/>
      <c r="LE95" s="462"/>
      <c r="LF95" s="462"/>
      <c r="LG95" s="462"/>
      <c r="LH95" s="462"/>
      <c r="LI95" s="462"/>
      <c r="LJ95" s="462"/>
      <c r="LK95" s="462"/>
      <c r="LL95" s="474"/>
      <c r="LM95" s="1007"/>
      <c r="LN95" s="1002"/>
      <c r="LO95" s="829"/>
      <c r="LP95" s="1016"/>
    </row>
    <row r="96" spans="18:328" ht="15">
      <c r="AH96" s="298"/>
      <c r="AI96" s="298"/>
      <c r="AJ96" s="479" t="s">
        <v>55</v>
      </c>
      <c r="AK96" s="480" cm="1">
        <f t="array" ref="AK96">SUMPRODUCT((MOD(ROW(AK4:AK94)-4,3)=0)*IFERROR(--AK4:AK94,0))</f>
        <v>1119</v>
      </c>
      <c r="AL96" s="478" cm="1">
        <f t="array" ref="AL96">SUMPRODUCT((MOD(ROW(AL3:AL93)-ROW(AL3), 3)=0) * AL3:AL93)</f>
        <v>84</v>
      </c>
      <c r="AM96" s="1008"/>
      <c r="AN96" s="1014" cm="1">
        <f t="array" ref="AN96">LOOKUP(2, 1/(AN3:AN95&lt;&gt;""), AN3:AN86) - AN3</f>
        <v>1.6999999999999886</v>
      </c>
      <c r="AO96" s="114"/>
      <c r="BF96" s="298"/>
      <c r="BG96" s="298"/>
      <c r="BH96" s="479" t="s">
        <v>55</v>
      </c>
      <c r="BI96" s="480" cm="1">
        <f t="array" ref="BI96">SUMPRODUCT((MOD(ROW(BI4:BI94)-4,3)=0)*IFERROR(--BI4:BI94,0))</f>
        <v>1557</v>
      </c>
      <c r="BJ96" s="478" cm="1">
        <f t="array" ref="BJ96">SUMPRODUCT((MOD(ROW(BJ3:BJ93)-ROW(BJ3), 3)=0) * BJ3:BJ93)</f>
        <v>98</v>
      </c>
      <c r="BK96" s="1008"/>
      <c r="BL96" s="1014" cm="1">
        <f t="array" ref="BL96">LOOKUP(2, 1/(BL3:BL95&lt;&gt;""), BL3:BL86) - BL3</f>
        <v>1</v>
      </c>
      <c r="BM96" s="114"/>
      <c r="CD96" s="298"/>
      <c r="CE96" s="298"/>
      <c r="CF96" s="479" t="s">
        <v>55</v>
      </c>
      <c r="CG96" s="480" cm="1">
        <f t="array" ref="CG96">SUMPRODUCT((MOD(ROW(CG4:CG94)-4,3)=0)*IFERROR(--CG4:CG94,0))</f>
        <v>1961</v>
      </c>
      <c r="CH96" s="478" cm="1">
        <f t="array" ref="CH96">SUMPRODUCT((MOD(ROW(CH3:CH93)-ROW(CH3), 3)=0) * CH3:CH93)</f>
        <v>113</v>
      </c>
      <c r="CI96" s="1008"/>
      <c r="CJ96" s="1014" cm="1">
        <f t="array" ref="CJ96">LOOKUP(2, 1/(CJ3:CJ95&lt;&gt;""), CJ3:CJ86) - CJ3</f>
        <v>0.79999999999999716</v>
      </c>
      <c r="DB96" s="298"/>
      <c r="DC96" s="298"/>
      <c r="DD96" s="479" t="s">
        <v>55</v>
      </c>
      <c r="DE96" s="480" cm="1">
        <f t="array" ref="DE96">SUMPRODUCT((MOD(ROW(DE4:DE94)-4,3)=0)*IFERROR(--DE4:DE94,0))</f>
        <v>547</v>
      </c>
      <c r="DF96" s="478" cm="1">
        <f t="array" ref="DF96">SUMPRODUCT((MOD(ROW(DF3:DF93)-ROW(DF3), 3)=0) * DF3:DF93)</f>
        <v>33</v>
      </c>
      <c r="DG96" s="1008"/>
      <c r="DH96" s="1014" cm="1">
        <f t="array" ref="DH96">LOOKUP(2, 1/(DH3:DH95&lt;&gt;""), DH3:DH86) - DH3</f>
        <v>-0.29999999999999716</v>
      </c>
      <c r="DZ96" s="298"/>
      <c r="EA96" s="298"/>
      <c r="EB96" s="479" t="s">
        <v>55</v>
      </c>
      <c r="EC96" s="480" cm="1">
        <f t="array" ref="EC96">SUMPRODUCT((MOD(ROW(EC4:EC94)-4,3)=0)*IFERROR(--EC4:EC94,0))</f>
        <v>0</v>
      </c>
      <c r="ED96" s="478" cm="1">
        <f t="array" ref="ED96">SUMPRODUCT((MOD(ROW(ED3:ED93)-ROW(ED3), 3)=0) * ED3:ED93)</f>
        <v>0</v>
      </c>
      <c r="EE96" s="1008"/>
      <c r="EF96" s="1014" t="e" cm="1">
        <f t="array" ref="EF96">LOOKUP(2, 1/(EF3:EF95&lt;&gt;""), EF3:EF86) - EF3</f>
        <v>#N/A</v>
      </c>
      <c r="EX96" s="298"/>
      <c r="EY96" s="298"/>
      <c r="EZ96" s="479" t="s">
        <v>55</v>
      </c>
      <c r="FA96" s="480" cm="1">
        <f t="array" ref="FA96">SUMPRODUCT((MOD(ROW(FA4:FA94)-4,3)=0)*IFERROR(--FA4:FA94,0))</f>
        <v>0</v>
      </c>
      <c r="FB96" s="478" cm="1">
        <f t="array" ref="FB96">SUMPRODUCT((MOD(ROW(FB3:FB93)-ROW(FB3), 3)=0) * FB3:FB93)</f>
        <v>0</v>
      </c>
      <c r="FC96" s="1008"/>
      <c r="FD96" s="1014" t="e" cm="1">
        <f t="array" ref="FD96">LOOKUP(2, 1/(FD3:FD95&lt;&gt;""), FD3:FD86) - FD3</f>
        <v>#N/A</v>
      </c>
      <c r="FV96" s="298"/>
      <c r="FW96" s="298"/>
      <c r="FX96" s="479" t="s">
        <v>55</v>
      </c>
      <c r="FY96" s="480" cm="1">
        <f t="array" ref="FY96">SUMPRODUCT((MOD(ROW(FY4:FY94)-4,3)=0)*IFERROR(--FY4:FY94,0))</f>
        <v>0</v>
      </c>
      <c r="FZ96" s="478" cm="1">
        <f t="array" ref="FZ96">SUMPRODUCT((MOD(ROW(FZ3:FZ93)-ROW(FZ3), 3)=0) * FZ3:FZ93)</f>
        <v>0</v>
      </c>
      <c r="GA96" s="1008"/>
      <c r="GB96" s="1014" t="e" cm="1">
        <f t="array" ref="GB96">LOOKUP(2, 1/(GB3:GB95&lt;&gt;""), GB3:GB86) - GB3</f>
        <v>#N/A</v>
      </c>
      <c r="GT96" s="298"/>
      <c r="GU96" s="298"/>
      <c r="GV96" s="479" t="s">
        <v>55</v>
      </c>
      <c r="GW96" s="480" cm="1">
        <f t="array" ref="GW96">SUMPRODUCT((MOD(ROW(GW4:GW94)-4,3)=0)*IFERROR(--GW4:GW94,0))</f>
        <v>0</v>
      </c>
      <c r="GX96" s="478" cm="1">
        <f t="array" ref="GX96">SUMPRODUCT((MOD(ROW(GX3:GX93)-ROW(GX3), 3)=0) * GX3:GX93)</f>
        <v>0</v>
      </c>
      <c r="GY96" s="1008"/>
      <c r="GZ96" s="1014" t="e" cm="1">
        <f t="array" ref="GZ96">LOOKUP(2, 1/(GZ3:GZ95&lt;&gt;""), GZ3:GZ86) - GZ3</f>
        <v>#N/A</v>
      </c>
      <c r="HR96" s="298"/>
      <c r="HS96" s="298"/>
      <c r="HT96" s="479" t="s">
        <v>55</v>
      </c>
      <c r="HU96" s="480" cm="1">
        <f t="array" ref="HU96">SUMPRODUCT((MOD(ROW(HU4:HU94)-4,3)=0)*IFERROR(--HU4:HU94,0))</f>
        <v>0</v>
      </c>
      <c r="HV96" s="478" cm="1">
        <f t="array" ref="HV96">SUMPRODUCT((MOD(ROW(HV3:HV93)-ROW(HV3), 3)=0) * HV3:HV93)</f>
        <v>0</v>
      </c>
      <c r="HW96" s="1008"/>
      <c r="HX96" s="1014" t="e" cm="1">
        <f t="array" ref="HX96">LOOKUP(2, 1/(HX3:HX95&lt;&gt;""), HX3:HX86) - HX3</f>
        <v>#N/A</v>
      </c>
      <c r="IP96" s="298"/>
      <c r="IQ96" s="298"/>
      <c r="IR96" s="479" t="s">
        <v>55</v>
      </c>
      <c r="IS96" s="480" cm="1">
        <f t="array" ref="IS96">SUMPRODUCT((MOD(ROW(IS4:IS94)-4,3)=0)*IFERROR(--IS4:IS94,0))</f>
        <v>0</v>
      </c>
      <c r="IT96" s="478" cm="1">
        <f t="array" ref="IT96">SUMPRODUCT((MOD(ROW(IT3:IT93)-ROW(IT3), 3)=0) * IT3:IT93)</f>
        <v>0</v>
      </c>
      <c r="IU96" s="1008"/>
      <c r="IV96" s="1014" t="e" cm="1">
        <f t="array" ref="IV96">LOOKUP(2, 1/(IV3:IV95&lt;&gt;""), IV3:IV86) - IV3</f>
        <v>#N/A</v>
      </c>
      <c r="JN96" s="298"/>
      <c r="JO96" s="298"/>
      <c r="JP96" s="479" t="s">
        <v>55</v>
      </c>
      <c r="JQ96" s="480" cm="1">
        <f t="array" ref="JQ96">SUMPRODUCT((MOD(ROW(JQ4:JQ94)-4,3)=0)*IFERROR(--JQ4:JQ94,0))</f>
        <v>0</v>
      </c>
      <c r="JR96" s="478" cm="1">
        <f t="array" ref="JR96">SUMPRODUCT((MOD(ROW(JR3:JR93)-ROW(JR3), 3)=0) * JR3:JR93)</f>
        <v>0</v>
      </c>
      <c r="JS96" s="1008"/>
      <c r="JT96" s="1014" t="e" cm="1">
        <f t="array" ref="JT96">LOOKUP(2, 1/(JT3:JT95&lt;&gt;""), JT3:JT86) - JT3</f>
        <v>#N/A</v>
      </c>
      <c r="KL96" s="298"/>
      <c r="KM96" s="298"/>
      <c r="KN96" s="479" t="s">
        <v>55</v>
      </c>
      <c r="KO96" s="480" cm="1">
        <f t="array" ref="KO96">SUMPRODUCT((MOD(ROW(KO4:KO94)-4,3)=0)*IFERROR(--KO4:KO94,0))</f>
        <v>0</v>
      </c>
      <c r="KP96" s="478" cm="1">
        <f t="array" ref="KP96">SUMPRODUCT((MOD(ROW(KP3:KP93)-ROW(KP3), 3)=0) * KP3:KP93)</f>
        <v>0</v>
      </c>
      <c r="KQ96" s="1008"/>
      <c r="KR96" s="1014" t="e" cm="1">
        <f t="array" ref="KR96">LOOKUP(2, 1/(KR3:KR95&lt;&gt;""), KR3:KR86) - KR3</f>
        <v>#N/A</v>
      </c>
      <c r="LJ96" s="298"/>
      <c r="LK96" s="298"/>
      <c r="LL96" s="479" t="s">
        <v>55</v>
      </c>
      <c r="LM96" s="480" cm="1">
        <f t="array" ref="LM96">SUMPRODUCT((MOD(ROW(LM4:LM94)-4,3)=0)*IFERROR(--LM4:LM94,0))</f>
        <v>0</v>
      </c>
      <c r="LN96" s="478" cm="1">
        <f t="array" ref="LN96">SUMPRODUCT((MOD(ROW(LN3:LN93)-ROW(LN3), 3)=0) * LN3:LN93)</f>
        <v>0</v>
      </c>
      <c r="LO96" s="1008"/>
      <c r="LP96" s="1014" t="e" cm="1">
        <f t="array" ref="LP96">LOOKUP(2, 1/(LP3:LP95&lt;&gt;""), LP3:LP86) - LP3</f>
        <v>#N/A</v>
      </c>
    </row>
    <row r="97" spans="34:329" ht="15">
      <c r="AH97" s="297"/>
      <c r="AI97" s="297"/>
      <c r="AJ97" s="479" t="s">
        <v>780</v>
      </c>
      <c r="AK97" s="232" cm="1">
        <f t="array" ref="AK97">SUMPRODUCT((MOD(ROW(AK4:AK94)-4,3)=0)*(AK4:AK94&gt;0))</f>
        <v>21</v>
      </c>
      <c r="AL97" s="274" cm="1">
        <f t="array" ref="AL97">SUMPRODUCT((MOD(ROW(AL3:AL95)-ROW(AL4), 3)=0) * AL3:AL95)</f>
        <v>96927.231666666659</v>
      </c>
      <c r="AM97" s="1009"/>
      <c r="AN97" s="1015"/>
      <c r="AO97" s="39"/>
      <c r="BF97" s="297"/>
      <c r="BG97" s="297"/>
      <c r="BH97" s="479" t="s">
        <v>780</v>
      </c>
      <c r="BI97" s="232" cm="1">
        <f t="array" ref="BI97">SUMPRODUCT((MOD(ROW(BI4:BI94)-4,3)=0)*(BI4:BI94&gt;0))</f>
        <v>25</v>
      </c>
      <c r="BJ97" s="274" cm="1">
        <f t="array" ref="BJ97">SUMPRODUCT((MOD(ROW(BJ3:BJ95)-ROW(BJ4), 3)=0) * BJ3:BJ95)</f>
        <v>142728.40555555557</v>
      </c>
      <c r="BK97" s="1009"/>
      <c r="BL97" s="1015"/>
      <c r="BM97" s="39"/>
      <c r="CD97" s="297"/>
      <c r="CE97" s="297"/>
      <c r="CF97" s="479" t="s">
        <v>780</v>
      </c>
      <c r="CG97" s="232" cm="1">
        <f t="array" ref="CG97">SUMPRODUCT((MOD(ROW(CG4:CG94)-4,3)=0)*(CG4:CG94&gt;0))</f>
        <v>27</v>
      </c>
      <c r="CH97" s="274" cm="1">
        <f t="array" ref="CH97">SUMPRODUCT((MOD(ROW(CH3:CH95)-ROW(CH4), 3)=0) * CH3:CH95)</f>
        <v>166520.85555555555</v>
      </c>
      <c r="CI97" s="1009"/>
      <c r="CJ97" s="1015"/>
      <c r="CK97"/>
      <c r="DB97" s="297"/>
      <c r="DC97" s="297"/>
      <c r="DD97" s="479" t="s">
        <v>780</v>
      </c>
      <c r="DE97" s="232" cm="1">
        <f t="array" ref="DE97">SUMPRODUCT((MOD(ROW(DE4:DE94)-4,3)=0)*(DE4:DE94&gt;0))</f>
        <v>7</v>
      </c>
      <c r="DF97" s="274" cm="1">
        <f t="array" ref="DF97">SUMPRODUCT((MOD(ROW(DF3:DF95)-ROW(DF4), 3)=0) * DF3:DF95)</f>
        <v>41510.75</v>
      </c>
      <c r="DG97" s="1009"/>
      <c r="DH97" s="1015"/>
      <c r="DI97" s="487"/>
      <c r="DZ97" s="297"/>
      <c r="EA97" s="297"/>
      <c r="EB97" s="479" t="s">
        <v>780</v>
      </c>
      <c r="EC97" s="232" cm="1">
        <f t="array" ref="EC97">SUMPRODUCT((MOD(ROW(EC4:EC94)-4,3)=0)*(EC4:EC94&gt;0))</f>
        <v>0</v>
      </c>
      <c r="ED97" s="274" cm="1">
        <f t="array" ref="ED97">SUMPRODUCT((MOD(ROW(ED3:ED95)-ROW(ED4), 3)=0) * ED3:ED95)</f>
        <v>0</v>
      </c>
      <c r="EE97" s="1009"/>
      <c r="EF97" s="1015"/>
      <c r="EG97" s="487"/>
      <c r="EX97" s="297"/>
      <c r="EY97" s="297"/>
      <c r="EZ97" s="479" t="s">
        <v>780</v>
      </c>
      <c r="FA97" s="232" cm="1">
        <f t="array" ref="FA97">SUMPRODUCT((MOD(ROW(FA4:FA94)-4,3)=0)*(FA4:FA94&gt;0))</f>
        <v>0</v>
      </c>
      <c r="FB97" s="274" cm="1">
        <f t="array" ref="FB97">SUMPRODUCT((MOD(ROW(FB3:FB95)-ROW(FB4), 3)=0) * FB3:FB95)</f>
        <v>0</v>
      </c>
      <c r="FC97" s="1009"/>
      <c r="FD97" s="1015"/>
      <c r="FE97" s="487"/>
      <c r="FV97" s="297"/>
      <c r="FW97" s="297"/>
      <c r="FX97" s="479" t="s">
        <v>780</v>
      </c>
      <c r="FY97" s="232" cm="1">
        <f t="array" ref="FY97">SUMPRODUCT((MOD(ROW(FY4:FY94)-4,3)=0)*(FY4:FY94&gt;0))</f>
        <v>0</v>
      </c>
      <c r="FZ97" s="274" cm="1">
        <f t="array" ref="FZ97">SUMPRODUCT((MOD(ROW(FZ3:FZ95)-ROW(FZ4), 3)=0) * FZ3:FZ95)</f>
        <v>0</v>
      </c>
      <c r="GA97" s="1009"/>
      <c r="GB97" s="1015"/>
      <c r="GC97" s="487"/>
      <c r="GT97" s="297"/>
      <c r="GU97" s="297"/>
      <c r="GV97" s="479" t="s">
        <v>780</v>
      </c>
      <c r="GW97" s="232" cm="1">
        <f t="array" ref="GW97">SUMPRODUCT((MOD(ROW(GW4:GW94)-4,3)=0)*(GW4:GW94&gt;0))</f>
        <v>0</v>
      </c>
      <c r="GX97" s="274" cm="1">
        <f t="array" ref="GX97">SUMPRODUCT((MOD(ROW(GX3:GX95)-ROW(GX4), 3)=0) * GX3:GX95)</f>
        <v>0</v>
      </c>
      <c r="GY97" s="1009"/>
      <c r="GZ97" s="1015"/>
      <c r="HA97" s="487"/>
      <c r="HR97" s="297"/>
      <c r="HS97" s="297"/>
      <c r="HT97" s="479" t="s">
        <v>780</v>
      </c>
      <c r="HU97" s="232" cm="1">
        <f t="array" ref="HU97">SUMPRODUCT((MOD(ROW(HU4:HU94)-4,3)=0)*(HU4:HU94&gt;0))</f>
        <v>0</v>
      </c>
      <c r="HV97" s="274" cm="1">
        <f t="array" ref="HV97">SUMPRODUCT((MOD(ROW(HV3:HV95)-ROW(HV4), 3)=0) * HV3:HV95)</f>
        <v>0</v>
      </c>
      <c r="HW97" s="1009"/>
      <c r="HX97" s="1015"/>
      <c r="HY97" s="487"/>
      <c r="IP97" s="297"/>
      <c r="IQ97" s="297"/>
      <c r="IR97" s="479" t="s">
        <v>780</v>
      </c>
      <c r="IS97" s="232" cm="1">
        <f t="array" ref="IS97">SUMPRODUCT((MOD(ROW(IS4:IS94)-4,3)=0)*(IS4:IS94&gt;0))</f>
        <v>0</v>
      </c>
      <c r="IT97" s="274" cm="1">
        <f t="array" ref="IT97">SUMPRODUCT((MOD(ROW(IT3:IT95)-ROW(IT4), 3)=0) * IT3:IT95)</f>
        <v>0</v>
      </c>
      <c r="IU97" s="1009"/>
      <c r="IV97" s="1015"/>
      <c r="IW97" s="487"/>
      <c r="JN97" s="297"/>
      <c r="JO97" s="297"/>
      <c r="JP97" s="479" t="s">
        <v>780</v>
      </c>
      <c r="JQ97" s="232" cm="1">
        <f t="array" ref="JQ97">SUMPRODUCT((MOD(ROW(JQ4:JQ94)-4,3)=0)*(JQ4:JQ94&gt;0))</f>
        <v>0</v>
      </c>
      <c r="JR97" s="274" cm="1">
        <f t="array" ref="JR97">SUMPRODUCT((MOD(ROW(JR3:JR95)-ROW(JR4), 3)=0) * JR3:JR95)</f>
        <v>0</v>
      </c>
      <c r="JS97" s="1009"/>
      <c r="JT97" s="1015"/>
      <c r="JU97" s="487"/>
      <c r="KL97" s="297"/>
      <c r="KM97" s="297"/>
      <c r="KN97" s="479" t="s">
        <v>780</v>
      </c>
      <c r="KO97" s="232" cm="1">
        <f t="array" ref="KO97">SUMPRODUCT((MOD(ROW(KO4:KO94)-4,3)=0)*(KO4:KO94&gt;0))</f>
        <v>0</v>
      </c>
      <c r="KP97" s="274" cm="1">
        <f t="array" ref="KP97">SUMPRODUCT((MOD(ROW(KP3:KP95)-ROW(KP4), 3)=0) * KP3:KP95)</f>
        <v>0</v>
      </c>
      <c r="KQ97" s="1009"/>
      <c r="KR97" s="1015"/>
      <c r="KS97"/>
      <c r="LJ97" s="297"/>
      <c r="LK97" s="297"/>
      <c r="LL97" s="479" t="s">
        <v>780</v>
      </c>
      <c r="LM97" s="232" cm="1">
        <f t="array" ref="LM97">SUMPRODUCT((MOD(ROW(LM4:LM94)-4,3)=0)*(LM4:LM94&gt;0))</f>
        <v>0</v>
      </c>
      <c r="LN97" s="274" cm="1">
        <f t="array" ref="LN97">SUMPRODUCT((MOD(ROW(LN3:LN95)-ROW(LN4), 3)=0) * LN3:LN95)</f>
        <v>0</v>
      </c>
      <c r="LO97" s="1009"/>
      <c r="LP97" s="1015"/>
      <c r="LQ97"/>
    </row>
    <row r="98" spans="34:329" ht="18.75" customHeight="1">
      <c r="AJ98" s="479" t="s">
        <v>781</v>
      </c>
      <c r="AK98" s="481">
        <f>IFERROR(AK96/AK97,0)</f>
        <v>53.285714285714285</v>
      </c>
      <c r="AL98" s="483">
        <f>IFERROR((AL97-N97)/N97,0)</f>
        <v>0</v>
      </c>
      <c r="BH98" s="479" t="s">
        <v>781</v>
      </c>
      <c r="BI98" s="481">
        <f>IFERROR(BI96/BI97,0)</f>
        <v>62.28</v>
      </c>
      <c r="BJ98" s="483">
        <f>IFERROR((BJ97-AL97)/AL97,0)</f>
        <v>0.47253153836477479</v>
      </c>
      <c r="CF98" s="479" t="s">
        <v>781</v>
      </c>
      <c r="CG98" s="481">
        <f>IFERROR(CG96/CG97,0)</f>
        <v>72.629629629629633</v>
      </c>
      <c r="CH98" s="483">
        <f>IFERROR((CH97-BJ97)/BJ97,0)</f>
        <v>0.16669737118823916</v>
      </c>
      <c r="CK98"/>
      <c r="DD98" s="479" t="s">
        <v>781</v>
      </c>
      <c r="DE98" s="481">
        <f>IFERROR(DE96/DE97,0)</f>
        <v>78.142857142857139</v>
      </c>
      <c r="DF98" s="483">
        <f>IFERROR((DF97-CH97)/CH97,0)</f>
        <v>-0.75071741097227929</v>
      </c>
      <c r="DI98" s="487"/>
      <c r="EB98" s="479" t="s">
        <v>781</v>
      </c>
      <c r="EC98" s="481">
        <f>IFERROR(EC96/EC97,0)</f>
        <v>0</v>
      </c>
      <c r="ED98" s="483">
        <f>IFERROR((ED97-DF97)/DF97,0)</f>
        <v>-1</v>
      </c>
      <c r="EG98" s="487"/>
      <c r="EZ98" s="479" t="s">
        <v>781</v>
      </c>
      <c r="FA98" s="481">
        <f>IFERROR(FA96/FA97,0)</f>
        <v>0</v>
      </c>
      <c r="FB98" s="483">
        <f>IFERROR((FB97-ED97)/ED97,0)</f>
        <v>0</v>
      </c>
      <c r="FE98" s="487"/>
      <c r="FX98" s="479" t="s">
        <v>781</v>
      </c>
      <c r="FY98" s="481">
        <f>IFERROR(FY96/FY97,0)</f>
        <v>0</v>
      </c>
      <c r="FZ98" s="483">
        <f>IFERROR((FZ97-FB97)/FB97,0)</f>
        <v>0</v>
      </c>
      <c r="GC98" s="487"/>
      <c r="GV98" s="479" t="s">
        <v>781</v>
      </c>
      <c r="GW98" s="481">
        <f>IFERROR(GW96/GW97,0)</f>
        <v>0</v>
      </c>
      <c r="GX98" s="483">
        <f>IFERROR((GX97-FZ97)/FZ97,0)</f>
        <v>0</v>
      </c>
      <c r="HA98" s="487"/>
      <c r="HT98" s="479" t="s">
        <v>781</v>
      </c>
      <c r="HU98" s="481">
        <f>IFERROR(HU96/HU97,0)</f>
        <v>0</v>
      </c>
      <c r="HV98" s="483">
        <f>IFERROR((HV97-GX97)/GX97,0)</f>
        <v>0</v>
      </c>
      <c r="HY98" s="487"/>
      <c r="IR98" s="479" t="s">
        <v>781</v>
      </c>
      <c r="IS98" s="481">
        <f>IFERROR(IS96/IS97,0)</f>
        <v>0</v>
      </c>
      <c r="IT98" s="483">
        <f>IFERROR((IT97-HV97)/HV97,0)</f>
        <v>0</v>
      </c>
      <c r="IW98" s="487"/>
      <c r="JP98" s="479" t="s">
        <v>781</v>
      </c>
      <c r="JQ98" s="481">
        <f>IFERROR(JQ96/JQ97,0)</f>
        <v>0</v>
      </c>
      <c r="JR98" s="483">
        <f>IFERROR((JR97-IT97)/IT97,0)</f>
        <v>0</v>
      </c>
      <c r="JU98" s="487"/>
      <c r="KN98" s="479" t="s">
        <v>781</v>
      </c>
      <c r="KO98" s="481">
        <f>IFERROR(KO96/KO97,0)</f>
        <v>0</v>
      </c>
      <c r="KP98" s="483">
        <f>IFERROR((KP97-JR97)/JR97,0)</f>
        <v>0</v>
      </c>
      <c r="KS98"/>
      <c r="LL98" s="479" t="s">
        <v>781</v>
      </c>
      <c r="LM98" s="481">
        <f>IFERROR(LM96/LM97,0)</f>
        <v>0</v>
      </c>
      <c r="LN98" s="483">
        <f>IFERROR((LN97-KP97)/KP97,0)</f>
        <v>0</v>
      </c>
      <c r="LQ98"/>
    </row>
    <row r="99" spans="34:329" ht="18.75" customHeight="1">
      <c r="AJ99" s="479" t="s">
        <v>784</v>
      </c>
      <c r="AK99" s="230" cm="1">
        <f t="array" ref="AK99">IFERROR(SUMPRODUCT((MOD(ROW(AM3:AM93)-3,3)=0)*IFERROR(AM3:AM93*1,0))/SUMPRODUCT((MOD(ROW(AM3:AM93)-3,3)=0)*(IFERROR(AM3:AM93*1,0)&gt;0)),0)</f>
        <v>0</v>
      </c>
      <c r="AO99" s="41"/>
      <c r="BH99" s="479" t="s">
        <v>784</v>
      </c>
      <c r="BI99" s="230" cm="1">
        <f t="array" ref="BI99">IFERROR(SUMPRODUCT((MOD(ROW(BK3:BK93)-3,3)=0)*IFERROR(BK3:BK93*1,0))/SUMPRODUCT((MOD(ROW(BK3:BK93)-3,3)=0)*(IFERROR(BK3:BK93*1,0)&gt;0)),0)</f>
        <v>0</v>
      </c>
      <c r="BM99" s="41"/>
      <c r="CF99" s="479" t="s">
        <v>784</v>
      </c>
      <c r="CG99" s="230" cm="1">
        <f t="array" ref="CG99">IFERROR(SUMPRODUCT((MOD(ROW(CI3:CI93)-3,3)=0)*IFERROR(CI3:CI93*1,0))/SUMPRODUCT((MOD(ROW(CI3:CI93)-3,3)=0)*(IFERROR(CI3:CI93*1,0)&gt;0)),0)</f>
        <v>7.3888888888888893</v>
      </c>
      <c r="CK99"/>
      <c r="DD99" s="479" t="s">
        <v>784</v>
      </c>
      <c r="DE99" s="230" cm="1">
        <f t="array" ref="DE99">IFERROR(SUMPRODUCT((MOD(ROW(DG3:DG93)-3,3)=0)*IFERROR(DG3:DG93*1,0))/SUMPRODUCT((MOD(ROW(DG3:DG93)-3,3)=0)*(IFERROR(DG3:DG93*1,0)&gt;0)),0)</f>
        <v>7.7142857142857144</v>
      </c>
      <c r="DI99" s="487"/>
      <c r="EB99" s="479" t="s">
        <v>784</v>
      </c>
      <c r="EC99" s="230" cm="1">
        <f t="array" ref="EC99">IFERROR(SUMPRODUCT((MOD(ROW(EE3:EE93)-3,3)=0)*IFERROR(EE3:EE93*1,0))/SUMPRODUCT((MOD(ROW(EE3:EE93)-3,3)=0)*(IFERROR(EE3:EE93*1,0)&gt;0)),0)</f>
        <v>0</v>
      </c>
      <c r="EG99" s="487"/>
      <c r="EZ99" s="479" t="s">
        <v>784</v>
      </c>
      <c r="FA99" s="230" cm="1">
        <f t="array" ref="FA99">IFERROR(SUMPRODUCT((MOD(ROW(FC3:FC93)-3,3)=0)*IFERROR(FC3:FC93*1,0))/SUMPRODUCT((MOD(ROW(FC3:FC93)-3,3)=0)*(IFERROR(FC3:FC93*1,0)&gt;0)),0)</f>
        <v>0</v>
      </c>
      <c r="FE99" s="487"/>
      <c r="FX99" s="479" t="s">
        <v>784</v>
      </c>
      <c r="FY99" s="230" cm="1">
        <f t="array" ref="FY99">IFERROR(SUMPRODUCT((MOD(ROW(GA3:GA93)-3,3)=0)*IFERROR(GA3:GA93*1,0))/SUMPRODUCT((MOD(ROW(GA3:GA93)-3,3)=0)*(IFERROR(GA3:GA93*1,0)&gt;0)),0)</f>
        <v>0</v>
      </c>
      <c r="GC99" s="487"/>
      <c r="GV99" s="479" t="s">
        <v>784</v>
      </c>
      <c r="GW99" s="230" cm="1">
        <f t="array" ref="GW99">IFERROR(SUMPRODUCT((MOD(ROW(GY3:GY93)-3,3)=0)*IFERROR(GY3:GY93*1,0))/SUMPRODUCT((MOD(ROW(GY3:GY93)-3,3)=0)*(IFERROR(GY3:GY93*1,0)&gt;0)),0)</f>
        <v>0</v>
      </c>
      <c r="HA99" s="487"/>
      <c r="HT99" s="479" t="s">
        <v>784</v>
      </c>
      <c r="HU99" s="230" cm="1">
        <f t="array" ref="HU99">IFERROR(SUMPRODUCT((MOD(ROW(HW3:HW93)-3,3)=0)*IFERROR(HW3:HW93*1,0))/SUMPRODUCT((MOD(ROW(HW3:HW93)-3,3)=0)*(IFERROR(HW3:HW93*1,0)&gt;0)),0)</f>
        <v>0</v>
      </c>
      <c r="HY99" s="487"/>
      <c r="IR99" s="479" t="s">
        <v>784</v>
      </c>
      <c r="IS99" s="230" cm="1">
        <f t="array" ref="IS99">IFERROR(SUMPRODUCT((MOD(ROW(IU3:IU93)-3,3)=0)*IFERROR(IU3:IU93*1,0))/SUMPRODUCT((MOD(ROW(IU3:IU93)-3,3)=0)*(IFERROR(IU3:IU93*1,0)&gt;0)),0)</f>
        <v>0</v>
      </c>
      <c r="IW99" s="487"/>
      <c r="JP99" s="479" t="s">
        <v>784</v>
      </c>
      <c r="JQ99" s="230" cm="1">
        <f t="array" ref="JQ99">IFERROR(SUMPRODUCT((MOD(ROW(JS3:JS93)-3,3)=0)*IFERROR(JS3:JS93*1,0))/SUMPRODUCT((MOD(ROW(JS3:JS93)-3,3)=0)*(IFERROR(JS3:JS93*1,0)&gt;0)),0)</f>
        <v>0</v>
      </c>
      <c r="JU99" s="487"/>
      <c r="KN99" s="479" t="s">
        <v>784</v>
      </c>
      <c r="KO99" s="230" cm="1">
        <f t="array" ref="KO99">IFERROR(SUMPRODUCT((MOD(ROW(KQ3:KQ93)-3,3)=0)*IFERROR(KQ3:KQ93*1,0))/SUMPRODUCT((MOD(ROW(KQ3:KQ93)-3,3)=0)*(IFERROR(KQ3:KQ93*1,0)&gt;0)),0)</f>
        <v>0</v>
      </c>
      <c r="KS99"/>
      <c r="LL99" s="479" t="s">
        <v>784</v>
      </c>
      <c r="LM99" s="230" cm="1">
        <f t="array" ref="LM99">IFERROR(SUMPRODUCT((MOD(ROW(LO3:LO93)-3,3)=0)*IFERROR(LO3:LO93*1,0))/SUMPRODUCT((MOD(ROW(LO3:LO93)-3,3)=0)*(IFERROR(LO3:LO93*1,0)&gt;0)),0)</f>
        <v>0</v>
      </c>
      <c r="LQ99"/>
    </row>
    <row r="100" spans="34:329" ht="18.75" customHeight="1">
      <c r="AO100" s="115"/>
      <c r="BM100" s="115"/>
    </row>
    <row r="101" spans="34:329" ht="18.75" customHeight="1">
      <c r="AL101" s="232" t="s">
        <v>137</v>
      </c>
      <c r="AM101" s="232" t="s">
        <v>1</v>
      </c>
      <c r="AO101" s="115"/>
      <c r="BJ101" s="232" t="s">
        <v>137</v>
      </c>
      <c r="BK101" s="232" t="s">
        <v>1</v>
      </c>
      <c r="BM101" s="115"/>
      <c r="CH101" s="232" t="s">
        <v>137</v>
      </c>
      <c r="CI101" s="232" t="s">
        <v>1</v>
      </c>
      <c r="DF101" s="232" t="s">
        <v>137</v>
      </c>
      <c r="DG101" s="232" t="s">
        <v>1</v>
      </c>
      <c r="ED101" s="232" t="s">
        <v>137</v>
      </c>
      <c r="EE101" s="232" t="s">
        <v>1</v>
      </c>
      <c r="FB101" s="232" t="s">
        <v>137</v>
      </c>
      <c r="FC101" s="232" t="s">
        <v>1</v>
      </c>
      <c r="FZ101" s="232" t="s">
        <v>137</v>
      </c>
      <c r="GA101" s="232" t="s">
        <v>1</v>
      </c>
      <c r="GX101" s="232" t="s">
        <v>137</v>
      </c>
      <c r="GY101" s="232" t="s">
        <v>1</v>
      </c>
      <c r="HV101" s="232" t="s">
        <v>137</v>
      </c>
      <c r="HW101" s="232" t="s">
        <v>1</v>
      </c>
      <c r="IT101" s="232" t="s">
        <v>137</v>
      </c>
      <c r="IU101" s="232" t="s">
        <v>1</v>
      </c>
      <c r="JR101" s="232" t="s">
        <v>137</v>
      </c>
      <c r="JS101" s="232" t="s">
        <v>1</v>
      </c>
      <c r="KP101" s="232" t="s">
        <v>137</v>
      </c>
      <c r="KQ101" s="232" t="s">
        <v>1</v>
      </c>
      <c r="LN101" s="232" t="s">
        <v>137</v>
      </c>
      <c r="LO101" s="232" t="s">
        <v>1</v>
      </c>
    </row>
    <row r="102" spans="34:329" ht="18.75" customHeight="1">
      <c r="AL102" s="230" cm="1">
        <f t="array" ref="AL102">INDEX(AN:AN, (ROW()-ROW(AL$102)+1)*3)</f>
        <v>76.900000000000006</v>
      </c>
      <c r="AM102" s="113" cm="1">
        <f t="array" ref="AM102">INDEX(R:R, (ROW()-ROW(AM$102)+1)*3)</f>
        <v>46023</v>
      </c>
      <c r="AO102" s="115"/>
      <c r="BJ102" s="230" cm="1">
        <f t="array" ref="BJ102">INDEX(BL:BL, (ROW()-ROW(BJ$102)+1)*3)</f>
        <v>77.7</v>
      </c>
      <c r="BK102" s="113" cm="1">
        <f t="array" ref="BK102">INDEX(AP:AP, (ROW()-ROW(BK$102)+1)*3)</f>
        <v>46054</v>
      </c>
      <c r="BM102" s="115"/>
      <c r="CH102" s="230" cm="1">
        <f t="array" ref="CH102">INDEX(CJ:CJ, (ROW()-ROW(CH$102)+1)*3)</f>
        <v>77.8</v>
      </c>
      <c r="CI102" s="113" cm="1">
        <f t="array" ref="CI102">INDEX(BN:BN, (ROW()-ROW(CI$102)+1)*3)</f>
        <v>46082</v>
      </c>
      <c r="DF102" s="230" cm="1">
        <f t="array" ref="DF102">INDEX(DH:DH, (ROW()-ROW(DF$102)+1)*3)</f>
        <v>78.599999999999994</v>
      </c>
      <c r="DG102" s="113" cm="1">
        <f t="array" ref="DG102">INDEX(CL:CL, (ROW()-ROW(DG$102)+1)*3)</f>
        <v>46113</v>
      </c>
      <c r="ED102" s="230" cm="1">
        <f t="array" ref="ED102">INDEX(EF:EF, (ROW()-ROW(ED$102)+1)*3)</f>
        <v>0</v>
      </c>
      <c r="EE102" s="113" cm="1">
        <f t="array" ref="EE102">INDEX(DJ:DJ, (ROW()-ROW(EE$102)+1)*3)</f>
        <v>46143</v>
      </c>
      <c r="FB102" s="230" cm="1">
        <f t="array" ref="FB102">INDEX(FD:FD, (ROW()-ROW(FB$102)+1)*3)</f>
        <v>0</v>
      </c>
      <c r="FC102" s="113" cm="1">
        <f t="array" ref="FC102">INDEX(EH:EH, (ROW()-ROW(FC$102)+1)*3)</f>
        <v>46174</v>
      </c>
      <c r="FZ102" s="230" cm="1">
        <f t="array" ref="FZ102">INDEX(GB:GB, (ROW()-ROW(FZ$102)+1)*3)</f>
        <v>0</v>
      </c>
      <c r="GA102" s="113" cm="1">
        <f t="array" ref="GA102">INDEX(FF:FF, (ROW()-ROW(GA$102)+1)*3)</f>
        <v>46204</v>
      </c>
      <c r="GX102" s="230" cm="1">
        <f t="array" ref="GX102">INDEX(GZ:GZ, (ROW()-ROW(GX$102)+1)*3)</f>
        <v>0</v>
      </c>
      <c r="GY102" s="113" cm="1">
        <f t="array" ref="GY102">INDEX(GD:GD, (ROW()-ROW(GY$102)+1)*3)</f>
        <v>46235</v>
      </c>
      <c r="HV102" s="230" cm="1">
        <f t="array" ref="HV102">INDEX(HX:HX, (ROW()-ROW(HV$102)+1)*3)</f>
        <v>0</v>
      </c>
      <c r="HW102" s="113" cm="1">
        <f t="array" ref="HW102">INDEX(HB:HB, (ROW()-ROW(HW$102)+1)*3)</f>
        <v>46266</v>
      </c>
      <c r="IT102" s="230" cm="1">
        <f t="array" ref="IT102">INDEX(IV:IV, (ROW()-ROW(IT$102)+1)*3)</f>
        <v>0</v>
      </c>
      <c r="IU102" s="113" cm="1">
        <f t="array" ref="IU102">INDEX(HZ:HZ, (ROW()-ROW(IU$102)+1)*3)</f>
        <v>46296</v>
      </c>
      <c r="JR102" s="230" cm="1">
        <f t="array" ref="JR102">INDEX(JT:JT, (ROW()-ROW(JR$102)+1)*3)</f>
        <v>0</v>
      </c>
      <c r="JS102" s="113" cm="1">
        <f t="array" ref="JS102">INDEX(IX:IX, (ROW()-ROW(JS$102)+1)*3)</f>
        <v>46327</v>
      </c>
      <c r="KP102" s="230" cm="1">
        <f t="array" ref="KP102">INDEX(KR:KR, (ROW()-ROW(KP$102)+1)*3)</f>
        <v>0</v>
      </c>
      <c r="KQ102" s="113" cm="1">
        <f t="array" ref="KQ102">INDEX(JV:JV, (ROW()-ROW(KQ$102)+1)*3)</f>
        <v>46357</v>
      </c>
      <c r="LN102" s="230" cm="1">
        <f t="array" ref="LN102">INDEX(LP:LP, (ROW()-ROW(LN$102)+1)*3)</f>
        <v>0</v>
      </c>
      <c r="LO102" s="113" cm="1">
        <f t="array" ref="LO102">INDEX(KT:KT, (ROW()-ROW(LO$102)+1)*3)</f>
        <v>46388</v>
      </c>
    </row>
    <row r="103" spans="34:329" ht="18.75" customHeight="1">
      <c r="AL103" s="230" cm="1">
        <f t="array" ref="AL103">INDEX(AN:AN, (ROW()-ROW(AL$102)+1)*3)</f>
        <v>76.900000000000006</v>
      </c>
      <c r="AM103" s="113" cm="1">
        <f t="array" ref="AM103">INDEX(R:R, (ROW()-ROW(AM$102)+1)*3)</f>
        <v>46024</v>
      </c>
      <c r="AO103" s="115"/>
      <c r="BJ103" s="230" cm="1">
        <f t="array" ref="BJ103">INDEX(BL:BL, (ROW()-ROW(BJ$102)+1)*3)</f>
        <v>77.7</v>
      </c>
      <c r="BK103" s="113" cm="1">
        <f t="array" ref="BK103">INDEX(AP:AP, (ROW()-ROW(BK$102)+1)*3)</f>
        <v>46055</v>
      </c>
      <c r="BM103" s="115"/>
      <c r="CH103" s="230" cm="1">
        <f t="array" ref="CH103">INDEX(CJ:CJ, (ROW()-ROW(CH$102)+1)*3)</f>
        <v>77.900000000000006</v>
      </c>
      <c r="CI103" s="113" cm="1">
        <f t="array" ref="CI103">INDEX(BN:BN, (ROW()-ROW(CI$102)+1)*3)</f>
        <v>46083</v>
      </c>
      <c r="DF103" s="230" cm="1">
        <f t="array" ref="DF103">INDEX(DH:DH, (ROW()-ROW(DF$102)+1)*3)</f>
        <v>77.7</v>
      </c>
      <c r="DG103" s="113" cm="1">
        <f t="array" ref="DG103">INDEX(CL:CL, (ROW()-ROW(DG$102)+1)*3)</f>
        <v>46114</v>
      </c>
      <c r="ED103" s="230"/>
      <c r="EE103" s="113" cm="1">
        <f t="array" ref="EE103">INDEX(DJ:DJ, (ROW()-ROW(EE$102)+1)*3)</f>
        <v>46144</v>
      </c>
      <c r="FB103" s="230"/>
      <c r="FC103" s="113" cm="1">
        <f t="array" ref="FC103">INDEX(EH:EH, (ROW()-ROW(FC$102)+1)*3)</f>
        <v>46175</v>
      </c>
      <c r="FZ103" s="230"/>
      <c r="GA103" s="113" cm="1">
        <f t="array" ref="GA103">INDEX(FF:FF, (ROW()-ROW(GA$102)+1)*3)</f>
        <v>46205</v>
      </c>
      <c r="GX103" s="230"/>
      <c r="GY103" s="113" cm="1">
        <f t="array" ref="GY103">INDEX(GD:GD, (ROW()-ROW(GY$102)+1)*3)</f>
        <v>46236</v>
      </c>
      <c r="HV103" s="230"/>
      <c r="HW103" s="113" cm="1">
        <f t="array" ref="HW103">INDEX(HB:HB, (ROW()-ROW(HW$102)+1)*3)</f>
        <v>46267</v>
      </c>
      <c r="IT103" s="230"/>
      <c r="IU103" s="113" cm="1">
        <f t="array" ref="IU103">INDEX(HZ:HZ, (ROW()-ROW(IU$102)+1)*3)</f>
        <v>46297</v>
      </c>
      <c r="JR103" s="230"/>
      <c r="JS103" s="113" cm="1">
        <f t="array" ref="JS103">INDEX(IX:IX, (ROW()-ROW(JS$102)+1)*3)</f>
        <v>46328</v>
      </c>
      <c r="KP103" s="230"/>
      <c r="KQ103" s="113" cm="1">
        <f t="array" ref="KQ103">INDEX(JV:JV, (ROW()-ROW(KQ$102)+1)*3)</f>
        <v>46358</v>
      </c>
      <c r="LN103" s="230"/>
      <c r="LO103" s="113" cm="1">
        <f t="array" ref="LO103">INDEX(KT:KT, (ROW()-ROW(LO$102)+1)*3)</f>
        <v>46389</v>
      </c>
    </row>
    <row r="104" spans="34:329" ht="18.75" customHeight="1">
      <c r="AL104" s="230" cm="1">
        <f t="array" ref="AL104">INDEX(AN:AN, (ROW()-ROW(AL$102)+1)*3)</f>
        <v>76.900000000000006</v>
      </c>
      <c r="AM104" s="113" cm="1">
        <f t="array" ref="AM104">INDEX(R:R, (ROW()-ROW(AM$102)+1)*3)</f>
        <v>46025</v>
      </c>
      <c r="AO104" s="115"/>
      <c r="BJ104" s="230" cm="1">
        <f t="array" ref="BJ104">INDEX(BL:BL, (ROW()-ROW(BJ$102)+1)*3)</f>
        <v>77.5</v>
      </c>
      <c r="BK104" s="113" cm="1">
        <f t="array" ref="BK104">INDEX(AP:AP, (ROW()-ROW(BK$102)+1)*3)</f>
        <v>46056</v>
      </c>
      <c r="BM104" s="115"/>
      <c r="CH104" s="230" cm="1">
        <f t="array" ref="CH104">INDEX(CJ:CJ, (ROW()-ROW(CH$102)+1)*3)</f>
        <v>77</v>
      </c>
      <c r="CI104" s="113" cm="1">
        <f t="array" ref="CI104">INDEX(BN:BN, (ROW()-ROW(CI$102)+1)*3)</f>
        <v>46084</v>
      </c>
      <c r="DF104" s="230" cm="1">
        <f t="array" ref="DF104">INDEX(DH:DH, (ROW()-ROW(DF$102)+1)*3)</f>
        <v>77.150000000000006</v>
      </c>
      <c r="DG104" s="113" cm="1">
        <f t="array" ref="DG104">INDEX(CL:CL, (ROW()-ROW(DG$102)+1)*3)</f>
        <v>46115</v>
      </c>
      <c r="ED104" s="230"/>
      <c r="EE104" s="113" cm="1">
        <f t="array" ref="EE104">INDEX(DJ:DJ, (ROW()-ROW(EE$102)+1)*3)</f>
        <v>46145</v>
      </c>
      <c r="FB104" s="230"/>
      <c r="FC104" s="113" cm="1">
        <f t="array" ref="FC104">INDEX(EH:EH, (ROW()-ROW(FC$102)+1)*3)</f>
        <v>46176</v>
      </c>
      <c r="FZ104" s="230"/>
      <c r="GA104" s="113" cm="1">
        <f t="array" ref="GA104">INDEX(FF:FF, (ROW()-ROW(GA$102)+1)*3)</f>
        <v>46206</v>
      </c>
      <c r="GX104" s="230"/>
      <c r="GY104" s="113" cm="1">
        <f t="array" ref="GY104">INDEX(GD:GD, (ROW()-ROW(GY$102)+1)*3)</f>
        <v>46237</v>
      </c>
      <c r="HV104" s="230"/>
      <c r="HW104" s="113" cm="1">
        <f t="array" ref="HW104">INDEX(HB:HB, (ROW()-ROW(HW$102)+1)*3)</f>
        <v>46268</v>
      </c>
      <c r="IT104" s="230"/>
      <c r="IU104" s="113" cm="1">
        <f t="array" ref="IU104">INDEX(HZ:HZ, (ROW()-ROW(IU$102)+1)*3)</f>
        <v>46298</v>
      </c>
      <c r="JR104" s="230"/>
      <c r="JS104" s="113" cm="1">
        <f t="array" ref="JS104">INDEX(IX:IX, (ROW()-ROW(JS$102)+1)*3)</f>
        <v>46329</v>
      </c>
      <c r="KP104" s="230"/>
      <c r="KQ104" s="113" cm="1">
        <f t="array" ref="KQ104">INDEX(JV:JV, (ROW()-ROW(KQ$102)+1)*3)</f>
        <v>46359</v>
      </c>
      <c r="LN104" s="230"/>
      <c r="LO104" s="113" cm="1">
        <f t="array" ref="LO104">INDEX(KT:KT, (ROW()-ROW(LO$102)+1)*3)</f>
        <v>46390</v>
      </c>
    </row>
    <row r="105" spans="34:329" ht="18.75" customHeight="1">
      <c r="AL105" s="230" cm="1">
        <f t="array" ref="AL105">INDEX(AN:AN, (ROW()-ROW(AL$102)+1)*3)</f>
        <v>76.900000000000006</v>
      </c>
      <c r="AM105" s="113" cm="1">
        <f t="array" ref="AM105">INDEX(R:R, (ROW()-ROW(AM$102)+1)*3)</f>
        <v>46026</v>
      </c>
      <c r="AO105" s="115"/>
      <c r="BJ105" s="230" cm="1">
        <f t="array" ref="BJ105">INDEX(BL:BL, (ROW()-ROW(BJ$102)+1)*3)</f>
        <v>78.7</v>
      </c>
      <c r="BK105" s="113" cm="1">
        <f t="array" ref="BK105">INDEX(AP:AP, (ROW()-ROW(BK$102)+1)*3)</f>
        <v>46057</v>
      </c>
      <c r="BM105" s="115"/>
      <c r="CH105" s="230" cm="1">
        <f t="array" ref="CH105">INDEX(CJ:CJ, (ROW()-ROW(CH$102)+1)*3)</f>
        <v>77.8</v>
      </c>
      <c r="CI105" s="113" cm="1">
        <f t="array" ref="CI105">INDEX(BN:BN, (ROW()-ROW(CI$102)+1)*3)</f>
        <v>46085</v>
      </c>
      <c r="DF105" s="230" cm="1">
        <f t="array" ref="DF105">INDEX(DH:DH, (ROW()-ROW(DF$102)+1)*3)</f>
        <v>77.150000000000006</v>
      </c>
      <c r="DG105" s="113" cm="1">
        <f t="array" ref="DG105">INDEX(CL:CL, (ROW()-ROW(DG$102)+1)*3)</f>
        <v>46116</v>
      </c>
      <c r="ED105" s="230"/>
      <c r="EE105" s="113" cm="1">
        <f t="array" ref="EE105">INDEX(DJ:DJ, (ROW()-ROW(EE$102)+1)*3)</f>
        <v>46146</v>
      </c>
      <c r="FB105" s="230"/>
      <c r="FC105" s="113" cm="1">
        <f t="array" ref="FC105">INDEX(EH:EH, (ROW()-ROW(FC$102)+1)*3)</f>
        <v>46177</v>
      </c>
      <c r="FZ105" s="230"/>
      <c r="GA105" s="113" cm="1">
        <f t="array" ref="GA105">INDEX(FF:FF, (ROW()-ROW(GA$102)+1)*3)</f>
        <v>46207</v>
      </c>
      <c r="GX105" s="230"/>
      <c r="GY105" s="113" cm="1">
        <f t="array" ref="GY105">INDEX(GD:GD, (ROW()-ROW(GY$102)+1)*3)</f>
        <v>46238</v>
      </c>
      <c r="HV105" s="230"/>
      <c r="HW105" s="113" cm="1">
        <f t="array" ref="HW105">INDEX(HB:HB, (ROW()-ROW(HW$102)+1)*3)</f>
        <v>46269</v>
      </c>
      <c r="IT105" s="230"/>
      <c r="IU105" s="113" cm="1">
        <f t="array" ref="IU105">INDEX(HZ:HZ, (ROW()-ROW(IU$102)+1)*3)</f>
        <v>46299</v>
      </c>
      <c r="JR105" s="230"/>
      <c r="JS105" s="113" cm="1">
        <f t="array" ref="JS105">INDEX(IX:IX, (ROW()-ROW(JS$102)+1)*3)</f>
        <v>46330</v>
      </c>
      <c r="KP105" s="230"/>
      <c r="KQ105" s="113" cm="1">
        <f t="array" ref="KQ105">INDEX(JV:JV, (ROW()-ROW(KQ$102)+1)*3)</f>
        <v>46360</v>
      </c>
      <c r="LN105" s="230"/>
      <c r="LO105" s="113" cm="1">
        <f t="array" ref="LO105">INDEX(KT:KT, (ROW()-ROW(LO$102)+1)*3)</f>
        <v>46391</v>
      </c>
    </row>
    <row r="106" spans="34:329" ht="18.75" customHeight="1">
      <c r="AL106" s="230" cm="1">
        <f t="array" ref="AL106">INDEX(AN:AN, (ROW()-ROW(AL$102)+1)*3)</f>
        <v>77.400000000000006</v>
      </c>
      <c r="AM106" s="113" cm="1">
        <f t="array" ref="AM106">INDEX(R:R, (ROW()-ROW(AM$102)+1)*3)</f>
        <v>46027</v>
      </c>
      <c r="AO106" s="115"/>
      <c r="BJ106" s="230" cm="1">
        <f t="array" ref="BJ106">INDEX(BL:BL, (ROW()-ROW(BJ$102)+1)*3)</f>
        <v>78.8</v>
      </c>
      <c r="BK106" s="113" cm="1">
        <f t="array" ref="BK106">INDEX(AP:AP, (ROW()-ROW(BK$102)+1)*3)</f>
        <v>46058</v>
      </c>
      <c r="BM106" s="115"/>
      <c r="CH106" s="230" cm="1">
        <f t="array" ref="CH106">INDEX(CJ:CJ, (ROW()-ROW(CH$102)+1)*3)</f>
        <v>78.5</v>
      </c>
      <c r="CI106" s="113" cm="1">
        <f t="array" ref="CI106">INDEX(BN:BN, (ROW()-ROW(CI$102)+1)*3)</f>
        <v>46086</v>
      </c>
      <c r="DF106" s="230" cm="1">
        <f t="array" ref="DF106">INDEX(DH:DH, (ROW()-ROW(DF$102)+1)*3)</f>
        <v>76.25</v>
      </c>
      <c r="DG106" s="113" cm="1">
        <f t="array" ref="DG106">INDEX(CL:CL, (ROW()-ROW(DG$102)+1)*3)</f>
        <v>46117</v>
      </c>
      <c r="ED106" s="230"/>
      <c r="EE106" s="113" cm="1">
        <f t="array" ref="EE106">INDEX(DJ:DJ, (ROW()-ROW(EE$102)+1)*3)</f>
        <v>46147</v>
      </c>
      <c r="FB106" s="230"/>
      <c r="FC106" s="113" cm="1">
        <f t="array" ref="FC106">INDEX(EH:EH, (ROW()-ROW(FC$102)+1)*3)</f>
        <v>46178</v>
      </c>
      <c r="FZ106" s="230"/>
      <c r="GA106" s="113" cm="1">
        <f t="array" ref="GA106">INDEX(FF:FF, (ROW()-ROW(GA$102)+1)*3)</f>
        <v>46208</v>
      </c>
      <c r="GX106" s="230"/>
      <c r="GY106" s="113" cm="1">
        <f t="array" ref="GY106">INDEX(GD:GD, (ROW()-ROW(GY$102)+1)*3)</f>
        <v>46239</v>
      </c>
      <c r="HV106" s="230"/>
      <c r="HW106" s="113" cm="1">
        <f t="array" ref="HW106">INDEX(HB:HB, (ROW()-ROW(HW$102)+1)*3)</f>
        <v>46270</v>
      </c>
      <c r="IT106" s="230"/>
      <c r="IU106" s="113" cm="1">
        <f t="array" ref="IU106">INDEX(HZ:HZ, (ROW()-ROW(IU$102)+1)*3)</f>
        <v>46300</v>
      </c>
      <c r="JR106" s="230"/>
      <c r="JS106" s="113" cm="1">
        <f t="array" ref="JS106">INDEX(IX:IX, (ROW()-ROW(JS$102)+1)*3)</f>
        <v>46331</v>
      </c>
      <c r="KP106" s="230"/>
      <c r="KQ106" s="113" cm="1">
        <f t="array" ref="KQ106">INDEX(JV:JV, (ROW()-ROW(KQ$102)+1)*3)</f>
        <v>46361</v>
      </c>
      <c r="LN106" s="230"/>
      <c r="LO106" s="113" cm="1">
        <f t="array" ref="LO106">INDEX(KT:KT, (ROW()-ROW(LO$102)+1)*3)</f>
        <v>46392</v>
      </c>
    </row>
    <row r="107" spans="34:329" ht="18.75" customHeight="1">
      <c r="AL107" s="230" cm="1">
        <f t="array" ref="AL107">INDEX(AN:AN, (ROW()-ROW(AL$102)+1)*3)</f>
        <v>77.400000000000006</v>
      </c>
      <c r="AM107" s="113" cm="1">
        <f t="array" ref="AM107">INDEX(R:R, (ROW()-ROW(AM$102)+1)*3)</f>
        <v>46028</v>
      </c>
      <c r="AO107" s="115"/>
      <c r="BJ107" s="230" cm="1">
        <f t="array" ref="BJ107">INDEX(BL:BL, (ROW()-ROW(BJ$102)+1)*3)</f>
        <v>79</v>
      </c>
      <c r="BK107" s="113" cm="1">
        <f t="array" ref="BK107">INDEX(AP:AP, (ROW()-ROW(BK$102)+1)*3)</f>
        <v>46059</v>
      </c>
      <c r="BM107" s="115"/>
      <c r="CH107" s="230" cm="1">
        <f t="array" ref="CH107">INDEX(CJ:CJ, (ROW()-ROW(CH$102)+1)*3)</f>
        <v>78.5</v>
      </c>
      <c r="CI107" s="113" cm="1">
        <f t="array" ref="CI107">INDEX(BN:BN, (ROW()-ROW(CI$102)+1)*3)</f>
        <v>46087</v>
      </c>
      <c r="DF107" s="230" cm="1">
        <f t="array" ref="DF107">INDEX(DH:DH, (ROW()-ROW(DF$102)+1)*3)</f>
        <v>77.400000000000006</v>
      </c>
      <c r="DG107" s="113" cm="1">
        <f t="array" ref="DG107">INDEX(CL:CL, (ROW()-ROW(DG$102)+1)*3)</f>
        <v>46118</v>
      </c>
      <c r="ED107" s="230"/>
      <c r="EE107" s="113" cm="1">
        <f t="array" ref="EE107">INDEX(DJ:DJ, (ROW()-ROW(EE$102)+1)*3)</f>
        <v>46148</v>
      </c>
      <c r="FB107" s="230"/>
      <c r="FC107" s="113" cm="1">
        <f t="array" ref="FC107">INDEX(EH:EH, (ROW()-ROW(FC$102)+1)*3)</f>
        <v>46179</v>
      </c>
      <c r="FZ107" s="230"/>
      <c r="GA107" s="113" cm="1">
        <f t="array" ref="GA107">INDEX(FF:FF, (ROW()-ROW(GA$102)+1)*3)</f>
        <v>46209</v>
      </c>
      <c r="GX107" s="230"/>
      <c r="GY107" s="113" cm="1">
        <f t="array" ref="GY107">INDEX(GD:GD, (ROW()-ROW(GY$102)+1)*3)</f>
        <v>46240</v>
      </c>
      <c r="HV107" s="230"/>
      <c r="HW107" s="113" cm="1">
        <f t="array" ref="HW107">INDEX(HB:HB, (ROW()-ROW(HW$102)+1)*3)</f>
        <v>46271</v>
      </c>
      <c r="IT107" s="230"/>
      <c r="IU107" s="113" cm="1">
        <f t="array" ref="IU107">INDEX(HZ:HZ, (ROW()-ROW(IU$102)+1)*3)</f>
        <v>46301</v>
      </c>
      <c r="JR107" s="230"/>
      <c r="JS107" s="113" cm="1">
        <f t="array" ref="JS107">INDEX(IX:IX, (ROW()-ROW(JS$102)+1)*3)</f>
        <v>46332</v>
      </c>
      <c r="KP107" s="230"/>
      <c r="KQ107" s="113" cm="1">
        <f t="array" ref="KQ107">INDEX(JV:JV, (ROW()-ROW(KQ$102)+1)*3)</f>
        <v>46362</v>
      </c>
      <c r="LN107" s="230"/>
      <c r="LO107" s="113" cm="1">
        <f t="array" ref="LO107">INDEX(KT:KT, (ROW()-ROW(LO$102)+1)*3)</f>
        <v>46393</v>
      </c>
    </row>
    <row r="108" spans="34:329" ht="18.75" customHeight="1">
      <c r="AL108" s="230" cm="1">
        <f t="array" ref="AL108">INDEX(AN:AN, (ROW()-ROW(AL$102)+1)*3)</f>
        <v>77.099999999999994</v>
      </c>
      <c r="AM108" s="113" cm="1">
        <f t="array" ref="AM108">INDEX(R:R, (ROW()-ROW(AM$102)+1)*3)</f>
        <v>46029</v>
      </c>
      <c r="AO108" s="115"/>
      <c r="BJ108" s="230" cm="1">
        <f t="array" ref="BJ108">INDEX(BL:BL, (ROW()-ROW(BJ$102)+1)*3)</f>
        <v>79</v>
      </c>
      <c r="BK108" s="113" cm="1">
        <f t="array" ref="BK108">INDEX(AP:AP, (ROW()-ROW(BK$102)+1)*3)</f>
        <v>46060</v>
      </c>
      <c r="BM108" s="115"/>
      <c r="CH108" s="230" cm="1">
        <f t="array" ref="CH108">INDEX(CJ:CJ, (ROW()-ROW(CH$102)+1)*3)</f>
        <v>76.8</v>
      </c>
      <c r="CI108" s="113" cm="1">
        <f t="array" ref="CI108">INDEX(BN:BN, (ROW()-ROW(CI$102)+1)*3)</f>
        <v>46088</v>
      </c>
      <c r="DF108" s="230" cm="1">
        <f t="array" ref="DF108">INDEX(DH:DH, (ROW()-ROW(DF$102)+1)*3)</f>
        <v>77.900000000000006</v>
      </c>
      <c r="DG108" s="113" cm="1">
        <f t="array" ref="DG108">INDEX(CL:CL, (ROW()-ROW(DG$102)+1)*3)</f>
        <v>46119</v>
      </c>
      <c r="ED108" s="230"/>
      <c r="EE108" s="113" cm="1">
        <f t="array" ref="EE108">INDEX(DJ:DJ, (ROW()-ROW(EE$102)+1)*3)</f>
        <v>46149</v>
      </c>
      <c r="FB108" s="230"/>
      <c r="FC108" s="113" cm="1">
        <f t="array" ref="FC108">INDEX(EH:EH, (ROW()-ROW(FC$102)+1)*3)</f>
        <v>46180</v>
      </c>
      <c r="FZ108" s="230"/>
      <c r="GA108" s="113" cm="1">
        <f t="array" ref="GA108">INDEX(FF:FF, (ROW()-ROW(GA$102)+1)*3)</f>
        <v>46210</v>
      </c>
      <c r="GX108" s="230"/>
      <c r="GY108" s="113" cm="1">
        <f t="array" ref="GY108">INDEX(GD:GD, (ROW()-ROW(GY$102)+1)*3)</f>
        <v>46241</v>
      </c>
      <c r="HV108" s="230"/>
      <c r="HW108" s="113" cm="1">
        <f t="array" ref="HW108">INDEX(HB:HB, (ROW()-ROW(HW$102)+1)*3)</f>
        <v>46272</v>
      </c>
      <c r="IT108" s="230"/>
      <c r="IU108" s="113" cm="1">
        <f t="array" ref="IU108">INDEX(HZ:HZ, (ROW()-ROW(IU$102)+1)*3)</f>
        <v>46302</v>
      </c>
      <c r="JR108" s="230"/>
      <c r="JS108" s="113" cm="1">
        <f t="array" ref="JS108">INDEX(IX:IX, (ROW()-ROW(JS$102)+1)*3)</f>
        <v>46333</v>
      </c>
      <c r="KP108" s="230"/>
      <c r="KQ108" s="113" cm="1">
        <f t="array" ref="KQ108">INDEX(JV:JV, (ROW()-ROW(KQ$102)+1)*3)</f>
        <v>46363</v>
      </c>
      <c r="LN108" s="230"/>
      <c r="LO108" s="113" cm="1">
        <f t="array" ref="LO108">INDEX(KT:KT, (ROW()-ROW(LO$102)+1)*3)</f>
        <v>46394</v>
      </c>
    </row>
    <row r="109" spans="34:329" ht="18.75" customHeight="1">
      <c r="AL109" s="230" cm="1">
        <f t="array" ref="AL109">INDEX(AN:AN, (ROW()-ROW(AL$102)+1)*3)</f>
        <v>77.099999999999994</v>
      </c>
      <c r="AM109" s="113" cm="1">
        <f t="array" ref="AM109">INDEX(R:R, (ROW()-ROW(AM$102)+1)*3)</f>
        <v>46030</v>
      </c>
      <c r="AO109" s="115"/>
      <c r="BJ109" s="230" cm="1">
        <f t="array" ref="BJ109">INDEX(BL:BL, (ROW()-ROW(BJ$102)+1)*3)</f>
        <v>77.849999999999994</v>
      </c>
      <c r="BK109" s="113" cm="1">
        <f t="array" ref="BK109">INDEX(AP:AP, (ROW()-ROW(BK$102)+1)*3)</f>
        <v>46061</v>
      </c>
      <c r="BM109" s="115"/>
      <c r="CH109" s="230" cm="1">
        <f t="array" ref="CH109">INDEX(CJ:CJ, (ROW()-ROW(CH$102)+1)*3)</f>
        <v>76.8</v>
      </c>
      <c r="CI109" s="113" cm="1">
        <f t="array" ref="CI109">INDEX(BN:BN, (ROW()-ROW(CI$102)+1)*3)</f>
        <v>46089</v>
      </c>
      <c r="DF109" s="230" cm="1">
        <f t="array" ref="DF109">INDEX(DH:DH, (ROW()-ROW(DF$102)+1)*3)</f>
        <v>77.900000000000006</v>
      </c>
      <c r="DG109" s="113" cm="1">
        <f t="array" ref="DG109">INDEX(CL:CL, (ROW()-ROW(DG$102)+1)*3)</f>
        <v>46120</v>
      </c>
      <c r="ED109" s="230"/>
      <c r="EE109" s="113" cm="1">
        <f t="array" ref="EE109">INDEX(DJ:DJ, (ROW()-ROW(EE$102)+1)*3)</f>
        <v>46150</v>
      </c>
      <c r="FB109" s="230"/>
      <c r="FC109" s="113" cm="1">
        <f t="array" ref="FC109">INDEX(EH:EH, (ROW()-ROW(FC$102)+1)*3)</f>
        <v>46181</v>
      </c>
      <c r="FZ109" s="230"/>
      <c r="GA109" s="113" cm="1">
        <f t="array" ref="GA109">INDEX(FF:FF, (ROW()-ROW(GA$102)+1)*3)</f>
        <v>46211</v>
      </c>
      <c r="GX109" s="230"/>
      <c r="GY109" s="113" cm="1">
        <f t="array" ref="GY109">INDEX(GD:GD, (ROW()-ROW(GY$102)+1)*3)</f>
        <v>46242</v>
      </c>
      <c r="HV109" s="230"/>
      <c r="HW109" s="113" cm="1">
        <f t="array" ref="HW109">INDEX(HB:HB, (ROW()-ROW(HW$102)+1)*3)</f>
        <v>46273</v>
      </c>
      <c r="IT109" s="230"/>
      <c r="IU109" s="113" cm="1">
        <f t="array" ref="IU109">INDEX(HZ:HZ, (ROW()-ROW(IU$102)+1)*3)</f>
        <v>46303</v>
      </c>
      <c r="JR109" s="230"/>
      <c r="JS109" s="113" cm="1">
        <f t="array" ref="JS109">INDEX(IX:IX, (ROW()-ROW(JS$102)+1)*3)</f>
        <v>46334</v>
      </c>
      <c r="KP109" s="230"/>
      <c r="KQ109" s="113" cm="1">
        <f t="array" ref="KQ109">INDEX(JV:JV, (ROW()-ROW(KQ$102)+1)*3)</f>
        <v>46364</v>
      </c>
      <c r="LN109" s="230"/>
      <c r="LO109" s="113" cm="1">
        <f t="array" ref="LO109">INDEX(KT:KT, (ROW()-ROW(LO$102)+1)*3)</f>
        <v>46395</v>
      </c>
    </row>
    <row r="110" spans="34:329" ht="18.75" customHeight="1">
      <c r="AL110" s="230" cm="1">
        <f t="array" ref="AL110">INDEX(AN:AN, (ROW()-ROW(AL$102)+1)*3)</f>
        <v>76.7</v>
      </c>
      <c r="AM110" s="113" cm="1">
        <f t="array" ref="AM110">INDEX(R:R, (ROW()-ROW(AM$102)+1)*3)</f>
        <v>46031</v>
      </c>
      <c r="AO110" s="115"/>
      <c r="BJ110" s="230" cm="1">
        <f t="array" ref="BJ110">INDEX(BL:BL, (ROW()-ROW(BJ$102)+1)*3)</f>
        <v>77.650000000000006</v>
      </c>
      <c r="BK110" s="113" cm="1">
        <f t="array" ref="BK110">INDEX(AP:AP, (ROW()-ROW(BK$102)+1)*3)</f>
        <v>46062</v>
      </c>
      <c r="BM110" s="115"/>
      <c r="CH110" s="230" cm="1">
        <f t="array" ref="CH110">INDEX(CJ:CJ, (ROW()-ROW(CH$102)+1)*3)</f>
        <v>79.150000000000006</v>
      </c>
      <c r="CI110" s="113" cm="1">
        <f t="array" ref="CI110">INDEX(BN:BN, (ROW()-ROW(CI$102)+1)*3)</f>
        <v>46090</v>
      </c>
      <c r="DF110" s="230" cm="1">
        <f t="array" ref="DF110">INDEX(DH:DH, (ROW()-ROW(DF$102)+1)*3)</f>
        <v>77.900000000000006</v>
      </c>
      <c r="DG110" s="113" cm="1">
        <f t="array" ref="DG110">INDEX(CL:CL, (ROW()-ROW(DG$102)+1)*3)</f>
        <v>46121</v>
      </c>
      <c r="ED110" s="230"/>
      <c r="EE110" s="113" cm="1">
        <f t="array" ref="EE110">INDEX(DJ:DJ, (ROW()-ROW(EE$102)+1)*3)</f>
        <v>46151</v>
      </c>
      <c r="FB110" s="230"/>
      <c r="FC110" s="113" cm="1">
        <f t="array" ref="FC110">INDEX(EH:EH, (ROW()-ROW(FC$102)+1)*3)</f>
        <v>46182</v>
      </c>
      <c r="FZ110" s="230"/>
      <c r="GA110" s="113" cm="1">
        <f t="array" ref="GA110">INDEX(FF:FF, (ROW()-ROW(GA$102)+1)*3)</f>
        <v>46212</v>
      </c>
      <c r="GX110" s="230"/>
      <c r="GY110" s="113" cm="1">
        <f t="array" ref="GY110">INDEX(GD:GD, (ROW()-ROW(GY$102)+1)*3)</f>
        <v>46243</v>
      </c>
      <c r="HV110" s="230"/>
      <c r="HW110" s="113" cm="1">
        <f t="array" ref="HW110">INDEX(HB:HB, (ROW()-ROW(HW$102)+1)*3)</f>
        <v>46274</v>
      </c>
      <c r="IT110" s="230"/>
      <c r="IU110" s="113" cm="1">
        <f t="array" ref="IU110">INDEX(HZ:HZ, (ROW()-ROW(IU$102)+1)*3)</f>
        <v>46304</v>
      </c>
      <c r="JR110" s="230"/>
      <c r="JS110" s="113" cm="1">
        <f t="array" ref="JS110">INDEX(IX:IX, (ROW()-ROW(JS$102)+1)*3)</f>
        <v>46335</v>
      </c>
      <c r="KP110" s="230"/>
      <c r="KQ110" s="113" cm="1">
        <f t="array" ref="KQ110">INDEX(JV:JV, (ROW()-ROW(KQ$102)+1)*3)</f>
        <v>46365</v>
      </c>
      <c r="LN110" s="230"/>
      <c r="LO110" s="113" cm="1">
        <f t="array" ref="LO110">INDEX(KT:KT, (ROW()-ROW(LO$102)+1)*3)</f>
        <v>46396</v>
      </c>
    </row>
    <row r="111" spans="34:329" ht="18.75" customHeight="1">
      <c r="AL111" s="230" cm="1">
        <f t="array" ref="AL111">INDEX(AN:AN, (ROW()-ROW(AL$102)+1)*3)</f>
        <v>76.7</v>
      </c>
      <c r="AM111" s="113" cm="1">
        <f t="array" ref="AM111">INDEX(R:R, (ROW()-ROW(AM$102)+1)*3)</f>
        <v>46032</v>
      </c>
      <c r="AO111" s="115"/>
      <c r="BJ111" s="230" cm="1">
        <f t="array" ref="BJ111">INDEX(BL:BL, (ROW()-ROW(BJ$102)+1)*3)</f>
        <v>77.150000000000006</v>
      </c>
      <c r="BK111" s="113" cm="1">
        <f t="array" ref="BK111">INDEX(AP:AP, (ROW()-ROW(BK$102)+1)*3)</f>
        <v>46063</v>
      </c>
      <c r="BM111" s="115"/>
      <c r="CH111" s="230" cm="1">
        <f t="array" ref="CH111">INDEX(CJ:CJ, (ROW()-ROW(CH$102)+1)*3)</f>
        <v>79.3</v>
      </c>
      <c r="CI111" s="113" cm="1">
        <f t="array" ref="CI111">INDEX(BN:BN, (ROW()-ROW(CI$102)+1)*3)</f>
        <v>46091</v>
      </c>
      <c r="DF111" s="230" cm="1">
        <f t="array" ref="DF111">INDEX(DH:DH, (ROW()-ROW(DF$102)+1)*3)</f>
        <v>77.900000000000006</v>
      </c>
      <c r="DG111" s="113" cm="1">
        <f t="array" ref="DG111">INDEX(CL:CL, (ROW()-ROW(DG$102)+1)*3)</f>
        <v>46122</v>
      </c>
      <c r="ED111" s="230"/>
      <c r="EE111" s="113" cm="1">
        <f t="array" ref="EE111">INDEX(DJ:DJ, (ROW()-ROW(EE$102)+1)*3)</f>
        <v>46152</v>
      </c>
      <c r="FB111" s="230"/>
      <c r="FC111" s="113" cm="1">
        <f t="array" ref="FC111">INDEX(EH:EH, (ROW()-ROW(FC$102)+1)*3)</f>
        <v>46183</v>
      </c>
      <c r="FZ111" s="230"/>
      <c r="GA111" s="113" cm="1">
        <f t="array" ref="GA111">INDEX(FF:FF, (ROW()-ROW(GA$102)+1)*3)</f>
        <v>46213</v>
      </c>
      <c r="GX111" s="230"/>
      <c r="GY111" s="113" cm="1">
        <f t="array" ref="GY111">INDEX(GD:GD, (ROW()-ROW(GY$102)+1)*3)</f>
        <v>46244</v>
      </c>
      <c r="HV111" s="230"/>
      <c r="HW111" s="113" cm="1">
        <f t="array" ref="HW111">INDEX(HB:HB, (ROW()-ROW(HW$102)+1)*3)</f>
        <v>46275</v>
      </c>
      <c r="IT111" s="230"/>
      <c r="IU111" s="113" cm="1">
        <f t="array" ref="IU111">INDEX(HZ:HZ, (ROW()-ROW(IU$102)+1)*3)</f>
        <v>46305</v>
      </c>
      <c r="JR111" s="230"/>
      <c r="JS111" s="113" cm="1">
        <f t="array" ref="JS111">INDEX(IX:IX, (ROW()-ROW(JS$102)+1)*3)</f>
        <v>46336</v>
      </c>
      <c r="KP111" s="230"/>
      <c r="KQ111" s="113" cm="1">
        <f t="array" ref="KQ111">INDEX(JV:JV, (ROW()-ROW(KQ$102)+1)*3)</f>
        <v>46366</v>
      </c>
      <c r="LN111" s="230"/>
      <c r="LO111" s="113" cm="1">
        <f t="array" ref="LO111">INDEX(KT:KT, (ROW()-ROW(LO$102)+1)*3)</f>
        <v>46397</v>
      </c>
    </row>
    <row r="112" spans="34:329" ht="18.75" customHeight="1">
      <c r="AL112" s="230" cm="1">
        <f t="array" ref="AL112">INDEX(AN:AN, (ROW()-ROW(AL$102)+1)*3)</f>
        <v>77</v>
      </c>
      <c r="AM112" s="113" cm="1">
        <f t="array" ref="AM112">INDEX(R:R, (ROW()-ROW(AM$102)+1)*3)</f>
        <v>46033</v>
      </c>
      <c r="AO112" s="115"/>
      <c r="BJ112" s="230" cm="1">
        <f t="array" ref="BJ112">INDEX(BL:BL, (ROW()-ROW(BJ$102)+1)*3)</f>
        <v>77.2</v>
      </c>
      <c r="BK112" s="113" cm="1">
        <f t="array" ref="BK112">INDEX(AP:AP, (ROW()-ROW(BK$102)+1)*3)</f>
        <v>46064</v>
      </c>
      <c r="BM112" s="115"/>
      <c r="CH112" s="230" cm="1">
        <f t="array" ref="CH112">INDEX(CJ:CJ, (ROW()-ROW(CH$102)+1)*3)</f>
        <v>78.599999999999994</v>
      </c>
      <c r="CI112" s="113" cm="1">
        <f t="array" ref="CI112">INDEX(BN:BN, (ROW()-ROW(CI$102)+1)*3)</f>
        <v>46092</v>
      </c>
      <c r="DF112" s="230" cm="1">
        <f t="array" ref="DF112">INDEX(DH:DH, (ROW()-ROW(DF$102)+1)*3)</f>
        <v>77.900000000000006</v>
      </c>
      <c r="DG112" s="113" cm="1">
        <f t="array" ref="DG112">INDEX(CL:CL, (ROW()-ROW(DG$102)+1)*3)</f>
        <v>46123</v>
      </c>
      <c r="ED112" s="230"/>
      <c r="EE112" s="113" cm="1">
        <f t="array" ref="EE112">INDEX(DJ:DJ, (ROW()-ROW(EE$102)+1)*3)</f>
        <v>46153</v>
      </c>
      <c r="FB112" s="230"/>
      <c r="FC112" s="113" cm="1">
        <f t="array" ref="FC112">INDEX(EH:EH, (ROW()-ROW(FC$102)+1)*3)</f>
        <v>46184</v>
      </c>
      <c r="FZ112" s="230"/>
      <c r="GA112" s="113" cm="1">
        <f t="array" ref="GA112">INDEX(FF:FF, (ROW()-ROW(GA$102)+1)*3)</f>
        <v>46214</v>
      </c>
      <c r="GX112" s="230"/>
      <c r="GY112" s="113" cm="1">
        <f t="array" ref="GY112">INDEX(GD:GD, (ROW()-ROW(GY$102)+1)*3)</f>
        <v>46245</v>
      </c>
      <c r="HV112" s="230"/>
      <c r="HW112" s="113" cm="1">
        <f t="array" ref="HW112">INDEX(HB:HB, (ROW()-ROW(HW$102)+1)*3)</f>
        <v>46276</v>
      </c>
      <c r="IT112" s="230"/>
      <c r="IU112" s="113" cm="1">
        <f t="array" ref="IU112">INDEX(HZ:HZ, (ROW()-ROW(IU$102)+1)*3)</f>
        <v>46306</v>
      </c>
      <c r="JR112" s="230"/>
      <c r="JS112" s="113" cm="1">
        <f t="array" ref="JS112">INDEX(IX:IX, (ROW()-ROW(JS$102)+1)*3)</f>
        <v>46337</v>
      </c>
      <c r="KP112" s="230"/>
      <c r="KQ112" s="113" cm="1">
        <f t="array" ref="KQ112">INDEX(JV:JV, (ROW()-ROW(KQ$102)+1)*3)</f>
        <v>46367</v>
      </c>
      <c r="LN112" s="230"/>
      <c r="LO112" s="113" cm="1">
        <f t="array" ref="LO112">INDEX(KT:KT, (ROW()-ROW(LO$102)+1)*3)</f>
        <v>46398</v>
      </c>
    </row>
    <row r="113" spans="38:327" ht="18.75" customHeight="1">
      <c r="AL113" s="230" cm="1">
        <f t="array" ref="AL113">INDEX(AN:AN, (ROW()-ROW(AL$102)+1)*3)</f>
        <v>76.5</v>
      </c>
      <c r="AM113" s="113" cm="1">
        <f t="array" ref="AM113">INDEX(R:R, (ROW()-ROW(AM$102)+1)*3)</f>
        <v>46034</v>
      </c>
      <c r="AO113" s="115"/>
      <c r="BJ113" s="230" cm="1">
        <f t="array" ref="BJ113">INDEX(BL:BL, (ROW()-ROW(BJ$102)+1)*3)</f>
        <v>77.099999999999994</v>
      </c>
      <c r="BK113" s="113" cm="1">
        <f t="array" ref="BK113">INDEX(AP:AP, (ROW()-ROW(BK$102)+1)*3)</f>
        <v>46065</v>
      </c>
      <c r="BM113" s="115"/>
      <c r="CH113" s="230" cm="1">
        <f t="array" ref="CH113">INDEX(CJ:CJ, (ROW()-ROW(CH$102)+1)*3)</f>
        <v>79.099999999999994</v>
      </c>
      <c r="CI113" s="113" cm="1">
        <f t="array" ref="CI113">INDEX(BN:BN, (ROW()-ROW(CI$102)+1)*3)</f>
        <v>46093</v>
      </c>
      <c r="DF113" s="230" cm="1">
        <f t="array" ref="DF113">INDEX(DH:DH, (ROW()-ROW(DF$102)+1)*3)</f>
        <v>77.900000000000006</v>
      </c>
      <c r="DG113" s="113" cm="1">
        <f t="array" ref="DG113">INDEX(CL:CL, (ROW()-ROW(DG$102)+1)*3)</f>
        <v>46124</v>
      </c>
      <c r="ED113" s="230"/>
      <c r="EE113" s="113" cm="1">
        <f t="array" ref="EE113">INDEX(DJ:DJ, (ROW()-ROW(EE$102)+1)*3)</f>
        <v>46154</v>
      </c>
      <c r="FB113" s="230"/>
      <c r="FC113" s="113" cm="1">
        <f t="array" ref="FC113">INDEX(EH:EH, (ROW()-ROW(FC$102)+1)*3)</f>
        <v>46185</v>
      </c>
      <c r="FZ113" s="230"/>
      <c r="GA113" s="113" cm="1">
        <f t="array" ref="GA113">INDEX(FF:FF, (ROW()-ROW(GA$102)+1)*3)</f>
        <v>46215</v>
      </c>
      <c r="GX113" s="230"/>
      <c r="GY113" s="113" cm="1">
        <f t="array" ref="GY113">INDEX(GD:GD, (ROW()-ROW(GY$102)+1)*3)</f>
        <v>46246</v>
      </c>
      <c r="HV113" s="230"/>
      <c r="HW113" s="113" cm="1">
        <f t="array" ref="HW113">INDEX(HB:HB, (ROW()-ROW(HW$102)+1)*3)</f>
        <v>46277</v>
      </c>
      <c r="IT113" s="230"/>
      <c r="IU113" s="113" cm="1">
        <f t="array" ref="IU113">INDEX(HZ:HZ, (ROW()-ROW(IU$102)+1)*3)</f>
        <v>46307</v>
      </c>
      <c r="JR113" s="230"/>
      <c r="JS113" s="113" cm="1">
        <f t="array" ref="JS113">INDEX(IX:IX, (ROW()-ROW(JS$102)+1)*3)</f>
        <v>46338</v>
      </c>
      <c r="KP113" s="230"/>
      <c r="KQ113" s="113" cm="1">
        <f t="array" ref="KQ113">INDEX(JV:JV, (ROW()-ROW(KQ$102)+1)*3)</f>
        <v>46368</v>
      </c>
      <c r="LN113" s="230"/>
      <c r="LO113" s="113" cm="1">
        <f t="array" ref="LO113">INDEX(KT:KT, (ROW()-ROW(LO$102)+1)*3)</f>
        <v>46399</v>
      </c>
    </row>
    <row r="114" spans="38:327" ht="18.75" customHeight="1">
      <c r="AL114" s="230" cm="1">
        <f t="array" ref="AL114">INDEX(AN:AN, (ROW()-ROW(AL$102)+1)*3)</f>
        <v>76.5</v>
      </c>
      <c r="AM114" s="113" cm="1">
        <f t="array" ref="AM114">INDEX(R:R, (ROW()-ROW(AM$102)+1)*3)</f>
        <v>46035</v>
      </c>
      <c r="AO114" s="115"/>
      <c r="BJ114" s="230" cm="1">
        <f t="array" ref="BJ114">INDEX(BL:BL, (ROW()-ROW(BJ$102)+1)*3)</f>
        <v>76.900000000000006</v>
      </c>
      <c r="BK114" s="113" cm="1">
        <f t="array" ref="BK114">INDEX(AP:AP, (ROW()-ROW(BK$102)+1)*3)</f>
        <v>46066</v>
      </c>
      <c r="BM114" s="115"/>
      <c r="CH114" s="230" cm="1">
        <f t="array" ref="CH114">INDEX(CJ:CJ, (ROW()-ROW(CH$102)+1)*3)</f>
        <v>78.5</v>
      </c>
      <c r="CI114" s="113" cm="1">
        <f t="array" ref="CI114">INDEX(BN:BN, (ROW()-ROW(CI$102)+1)*3)</f>
        <v>46094</v>
      </c>
      <c r="DF114" s="230" cm="1">
        <f t="array" ref="DF114">INDEX(DH:DH, (ROW()-ROW(DF$102)+1)*3)</f>
        <v>76.3</v>
      </c>
      <c r="DG114" s="113" cm="1">
        <f t="array" ref="DG114">INDEX(CL:CL, (ROW()-ROW(DG$102)+1)*3)</f>
        <v>46125</v>
      </c>
      <c r="ED114" s="230"/>
      <c r="EE114" s="113" cm="1">
        <f t="array" ref="EE114">INDEX(DJ:DJ, (ROW()-ROW(EE$102)+1)*3)</f>
        <v>46155</v>
      </c>
      <c r="FB114" s="230"/>
      <c r="FC114" s="113" cm="1">
        <f t="array" ref="FC114">INDEX(EH:EH, (ROW()-ROW(FC$102)+1)*3)</f>
        <v>46186</v>
      </c>
      <c r="FZ114" s="230"/>
      <c r="GA114" s="113" cm="1">
        <f t="array" ref="GA114">INDEX(FF:FF, (ROW()-ROW(GA$102)+1)*3)</f>
        <v>46216</v>
      </c>
      <c r="GX114" s="230"/>
      <c r="GY114" s="113" cm="1">
        <f t="array" ref="GY114">INDEX(GD:GD, (ROW()-ROW(GY$102)+1)*3)</f>
        <v>46247</v>
      </c>
      <c r="HV114" s="230"/>
      <c r="HW114" s="113" cm="1">
        <f t="array" ref="HW114">INDEX(HB:HB, (ROW()-ROW(HW$102)+1)*3)</f>
        <v>46278</v>
      </c>
      <c r="IT114" s="230"/>
      <c r="IU114" s="113" cm="1">
        <f t="array" ref="IU114">INDEX(HZ:HZ, (ROW()-ROW(IU$102)+1)*3)</f>
        <v>46308</v>
      </c>
      <c r="JR114" s="230"/>
      <c r="JS114" s="113" cm="1">
        <f t="array" ref="JS114">INDEX(IX:IX, (ROW()-ROW(JS$102)+1)*3)</f>
        <v>46339</v>
      </c>
      <c r="KP114" s="230"/>
      <c r="KQ114" s="113" cm="1">
        <f t="array" ref="KQ114">INDEX(JV:JV, (ROW()-ROW(KQ$102)+1)*3)</f>
        <v>46369</v>
      </c>
      <c r="LN114" s="230"/>
      <c r="LO114" s="113" cm="1">
        <f t="array" ref="LO114">INDEX(KT:KT, (ROW()-ROW(LO$102)+1)*3)</f>
        <v>46400</v>
      </c>
    </row>
    <row r="115" spans="38:327" ht="18.75" customHeight="1">
      <c r="AL115" s="230" cm="1">
        <f t="array" ref="AL115">INDEX(AN:AN, (ROW()-ROW(AL$102)+1)*3)</f>
        <v>77</v>
      </c>
      <c r="AM115" s="113" cm="1">
        <f t="array" ref="AM115">INDEX(R:R, (ROW()-ROW(AM$102)+1)*3)</f>
        <v>46036</v>
      </c>
      <c r="AO115" s="115"/>
      <c r="BJ115" s="230" cm="1">
        <f t="array" ref="BJ115">INDEX(BL:BL, (ROW()-ROW(BJ$102)+1)*3)</f>
        <v>76.900000000000006</v>
      </c>
      <c r="BK115" s="113" cm="1">
        <f t="array" ref="BK115">INDEX(AP:AP, (ROW()-ROW(BK$102)+1)*3)</f>
        <v>46067</v>
      </c>
      <c r="BM115" s="115"/>
      <c r="CH115" s="230" cm="1">
        <f t="array" ref="CH115">INDEX(CJ:CJ, (ROW()-ROW(CH$102)+1)*3)</f>
        <v>78.5</v>
      </c>
      <c r="CI115" s="113" cm="1">
        <f t="array" ref="CI115">INDEX(BN:BN, (ROW()-ROW(CI$102)+1)*3)</f>
        <v>46095</v>
      </c>
      <c r="DF115" s="230" cm="1">
        <f t="array" ref="DF115">INDEX(DH:DH, (ROW()-ROW(DF$102)+1)*3)</f>
        <v>76.3</v>
      </c>
      <c r="DG115" s="113" cm="1">
        <f t="array" ref="DG115">INDEX(CL:CL, (ROW()-ROW(DG$102)+1)*3)</f>
        <v>46126</v>
      </c>
      <c r="ED115" s="230"/>
      <c r="EE115" s="113" cm="1">
        <f t="array" ref="EE115">INDEX(DJ:DJ, (ROW()-ROW(EE$102)+1)*3)</f>
        <v>46156</v>
      </c>
      <c r="FB115" s="230"/>
      <c r="FC115" s="113" cm="1">
        <f t="array" ref="FC115">INDEX(EH:EH, (ROW()-ROW(FC$102)+1)*3)</f>
        <v>46187</v>
      </c>
      <c r="FZ115" s="230"/>
      <c r="GA115" s="113" cm="1">
        <f t="array" ref="GA115">INDEX(FF:FF, (ROW()-ROW(GA$102)+1)*3)</f>
        <v>46217</v>
      </c>
      <c r="GX115" s="230"/>
      <c r="GY115" s="113" cm="1">
        <f t="array" ref="GY115">INDEX(GD:GD, (ROW()-ROW(GY$102)+1)*3)</f>
        <v>46248</v>
      </c>
      <c r="HV115" s="230"/>
      <c r="HW115" s="113" cm="1">
        <f t="array" ref="HW115">INDEX(HB:HB, (ROW()-ROW(HW$102)+1)*3)</f>
        <v>46279</v>
      </c>
      <c r="IT115" s="230"/>
      <c r="IU115" s="113" cm="1">
        <f t="array" ref="IU115">INDEX(HZ:HZ, (ROW()-ROW(IU$102)+1)*3)</f>
        <v>46309</v>
      </c>
      <c r="JR115" s="230"/>
      <c r="JS115" s="113" cm="1">
        <f t="array" ref="JS115">INDEX(IX:IX, (ROW()-ROW(JS$102)+1)*3)</f>
        <v>46340</v>
      </c>
      <c r="KP115" s="230"/>
      <c r="KQ115" s="113" cm="1">
        <f t="array" ref="KQ115">INDEX(JV:JV, (ROW()-ROW(KQ$102)+1)*3)</f>
        <v>46370</v>
      </c>
      <c r="LN115" s="230"/>
      <c r="LO115" s="113" cm="1">
        <f t="array" ref="LO115">INDEX(KT:KT, (ROW()-ROW(LO$102)+1)*3)</f>
        <v>46401</v>
      </c>
    </row>
    <row r="116" spans="38:327" ht="18.75" customHeight="1">
      <c r="AL116" s="230" cm="1">
        <f t="array" ref="AL116">INDEX(AN:AN, (ROW()-ROW(AL$102)+1)*3)</f>
        <v>77.3</v>
      </c>
      <c r="AM116" s="113" cm="1">
        <f t="array" ref="AM116">INDEX(R:R, (ROW()-ROW(AM$102)+1)*3)</f>
        <v>46037</v>
      </c>
      <c r="AO116" s="115"/>
      <c r="BJ116" s="230" cm="1">
        <f t="array" ref="BJ116">INDEX(BL:BL, (ROW()-ROW(BJ$102)+1)*3)</f>
        <v>76.8</v>
      </c>
      <c r="BK116" s="113" cm="1">
        <f t="array" ref="BK116">INDEX(AP:AP, (ROW()-ROW(BK$102)+1)*3)</f>
        <v>46068</v>
      </c>
      <c r="BM116" s="115"/>
      <c r="CH116" s="230" cm="1">
        <f t="array" ref="CH116">INDEX(CJ:CJ, (ROW()-ROW(CH$102)+1)*3)</f>
        <v>77.150000000000006</v>
      </c>
      <c r="CI116" s="113" cm="1">
        <f t="array" ref="CI116">INDEX(BN:BN, (ROW()-ROW(CI$102)+1)*3)</f>
        <v>46096</v>
      </c>
      <c r="DF116" s="230" cm="1">
        <f t="array" ref="DF116">INDEX(DH:DH, (ROW()-ROW(DF$102)+1)*3)</f>
        <v>76.3</v>
      </c>
      <c r="DG116" s="113" cm="1">
        <f t="array" ref="DG116">INDEX(CL:CL, (ROW()-ROW(DG$102)+1)*3)</f>
        <v>46127</v>
      </c>
      <c r="ED116" s="230"/>
      <c r="EE116" s="113" cm="1">
        <f t="array" ref="EE116">INDEX(DJ:DJ, (ROW()-ROW(EE$102)+1)*3)</f>
        <v>46157</v>
      </c>
      <c r="FB116" s="230"/>
      <c r="FC116" s="113" cm="1">
        <f t="array" ref="FC116">INDEX(EH:EH, (ROW()-ROW(FC$102)+1)*3)</f>
        <v>46188</v>
      </c>
      <c r="FZ116" s="230"/>
      <c r="GA116" s="113" cm="1">
        <f t="array" ref="GA116">INDEX(FF:FF, (ROW()-ROW(GA$102)+1)*3)</f>
        <v>46218</v>
      </c>
      <c r="GX116" s="230"/>
      <c r="GY116" s="113" cm="1">
        <f t="array" ref="GY116">INDEX(GD:GD, (ROW()-ROW(GY$102)+1)*3)</f>
        <v>46249</v>
      </c>
      <c r="HV116" s="230"/>
      <c r="HW116" s="113" cm="1">
        <f t="array" ref="HW116">INDEX(HB:HB, (ROW()-ROW(HW$102)+1)*3)</f>
        <v>46280</v>
      </c>
      <c r="IT116" s="230"/>
      <c r="IU116" s="113" cm="1">
        <f t="array" ref="IU116">INDEX(HZ:HZ, (ROW()-ROW(IU$102)+1)*3)</f>
        <v>46310</v>
      </c>
      <c r="JR116" s="230"/>
      <c r="JS116" s="113" cm="1">
        <f t="array" ref="JS116">INDEX(IX:IX, (ROW()-ROW(JS$102)+1)*3)</f>
        <v>46341</v>
      </c>
      <c r="KP116" s="230"/>
      <c r="KQ116" s="113" cm="1">
        <f t="array" ref="KQ116">INDEX(JV:JV, (ROW()-ROW(KQ$102)+1)*3)</f>
        <v>46371</v>
      </c>
      <c r="LN116" s="230"/>
      <c r="LO116" s="113" cm="1">
        <f t="array" ref="LO116">INDEX(KT:KT, (ROW()-ROW(LO$102)+1)*3)</f>
        <v>46402</v>
      </c>
    </row>
    <row r="117" spans="38:327" ht="18.75" customHeight="1">
      <c r="AL117" s="230" cm="1">
        <f t="array" ref="AL117">INDEX(AN:AN, (ROW()-ROW(AL$102)+1)*3)</f>
        <v>77.5</v>
      </c>
      <c r="AM117" s="113" cm="1">
        <f t="array" ref="AM117">INDEX(R:R, (ROW()-ROW(AM$102)+1)*3)</f>
        <v>46038</v>
      </c>
      <c r="AO117" s="115"/>
      <c r="BJ117" s="230" cm="1">
        <f t="array" ref="BJ117">INDEX(BL:BL, (ROW()-ROW(BJ$102)+1)*3)</f>
        <v>77</v>
      </c>
      <c r="BK117" s="113" cm="1">
        <f t="array" ref="BK117">INDEX(AP:AP, (ROW()-ROW(BK$102)+1)*3)</f>
        <v>46069</v>
      </c>
      <c r="BM117" s="115"/>
      <c r="CH117" s="230" cm="1">
        <f t="array" ref="CH117">INDEX(CJ:CJ, (ROW()-ROW(CH$102)+1)*3)</f>
        <v>77.3</v>
      </c>
      <c r="CI117" s="113" cm="1">
        <f t="array" ref="CI117">INDEX(BN:BN, (ROW()-ROW(CI$102)+1)*3)</f>
        <v>46097</v>
      </c>
      <c r="DF117" s="230" cm="1">
        <f t="array" ref="DF117">INDEX(DH:DH, (ROW()-ROW(DF$102)+1)*3)</f>
        <v>76.3</v>
      </c>
      <c r="DG117" s="113" cm="1">
        <f t="array" ref="DG117">INDEX(CL:CL, (ROW()-ROW(DG$102)+1)*3)</f>
        <v>46128</v>
      </c>
      <c r="ED117" s="230"/>
      <c r="EE117" s="113" cm="1">
        <f t="array" ref="EE117">INDEX(DJ:DJ, (ROW()-ROW(EE$102)+1)*3)</f>
        <v>46158</v>
      </c>
      <c r="FB117" s="230"/>
      <c r="FC117" s="113" cm="1">
        <f t="array" ref="FC117">INDEX(EH:EH, (ROW()-ROW(FC$102)+1)*3)</f>
        <v>46189</v>
      </c>
      <c r="FZ117" s="230"/>
      <c r="GA117" s="113" cm="1">
        <f t="array" ref="GA117">INDEX(FF:FF, (ROW()-ROW(GA$102)+1)*3)</f>
        <v>46219</v>
      </c>
      <c r="GX117" s="230"/>
      <c r="GY117" s="113" cm="1">
        <f t="array" ref="GY117">INDEX(GD:GD, (ROW()-ROW(GY$102)+1)*3)</f>
        <v>46250</v>
      </c>
      <c r="HV117" s="230"/>
      <c r="HW117" s="113" cm="1">
        <f t="array" ref="HW117">INDEX(HB:HB, (ROW()-ROW(HW$102)+1)*3)</f>
        <v>46281</v>
      </c>
      <c r="IT117" s="230"/>
      <c r="IU117" s="113" cm="1">
        <f t="array" ref="IU117">INDEX(HZ:HZ, (ROW()-ROW(IU$102)+1)*3)</f>
        <v>46311</v>
      </c>
      <c r="JR117" s="230"/>
      <c r="JS117" s="113" cm="1">
        <f t="array" ref="JS117">INDEX(IX:IX, (ROW()-ROW(JS$102)+1)*3)</f>
        <v>46342</v>
      </c>
      <c r="KP117" s="230"/>
      <c r="KQ117" s="113" cm="1">
        <f t="array" ref="KQ117">INDEX(JV:JV, (ROW()-ROW(KQ$102)+1)*3)</f>
        <v>46372</v>
      </c>
      <c r="LN117" s="230"/>
      <c r="LO117" s="113" cm="1">
        <f t="array" ref="LO117">INDEX(KT:KT, (ROW()-ROW(LO$102)+1)*3)</f>
        <v>46403</v>
      </c>
    </row>
    <row r="118" spans="38:327" ht="18.75" customHeight="1">
      <c r="AL118" s="230" cm="1">
        <f t="array" ref="AL118">INDEX(AN:AN, (ROW()-ROW(AL$102)+1)*3)</f>
        <v>77.5</v>
      </c>
      <c r="AM118" s="113" cm="1">
        <f t="array" ref="AM118">INDEX(R:R, (ROW()-ROW(AM$102)+1)*3)</f>
        <v>46039</v>
      </c>
      <c r="AO118" s="115"/>
      <c r="BJ118" s="230" cm="1">
        <f t="array" ref="BJ118">INDEX(BL:BL, (ROW()-ROW(BJ$102)+1)*3)</f>
        <v>78.599999999999994</v>
      </c>
      <c r="BK118" s="113" cm="1">
        <f t="array" ref="BK118">INDEX(AP:AP, (ROW()-ROW(BK$102)+1)*3)</f>
        <v>46070</v>
      </c>
      <c r="BM118" s="115"/>
      <c r="CH118" s="230" cm="1">
        <f t="array" ref="CH118">INDEX(CJ:CJ, (ROW()-ROW(CH$102)+1)*3)</f>
        <v>77.95</v>
      </c>
      <c r="CI118" s="113" cm="1">
        <f t="array" ref="CI118">INDEX(BN:BN, (ROW()-ROW(CI$102)+1)*3)</f>
        <v>46098</v>
      </c>
      <c r="DF118" s="230"/>
      <c r="DG118" s="113" cm="1">
        <f t="array" ref="DG118">INDEX(CL:CL, (ROW()-ROW(DG$102)+1)*3)</f>
        <v>46129</v>
      </c>
      <c r="ED118" s="230"/>
      <c r="EE118" s="113" cm="1">
        <f t="array" ref="EE118">INDEX(DJ:DJ, (ROW()-ROW(EE$102)+1)*3)</f>
        <v>46159</v>
      </c>
      <c r="FB118" s="230"/>
      <c r="FC118" s="113" cm="1">
        <f t="array" ref="FC118">INDEX(EH:EH, (ROW()-ROW(FC$102)+1)*3)</f>
        <v>46190</v>
      </c>
      <c r="FZ118" s="230"/>
      <c r="GA118" s="113" cm="1">
        <f t="array" ref="GA118">INDEX(FF:FF, (ROW()-ROW(GA$102)+1)*3)</f>
        <v>46220</v>
      </c>
      <c r="GX118" s="230"/>
      <c r="GY118" s="113" cm="1">
        <f t="array" ref="GY118">INDEX(GD:GD, (ROW()-ROW(GY$102)+1)*3)</f>
        <v>46251</v>
      </c>
      <c r="HV118" s="230"/>
      <c r="HW118" s="113" cm="1">
        <f t="array" ref="HW118">INDEX(HB:HB, (ROW()-ROW(HW$102)+1)*3)</f>
        <v>46282</v>
      </c>
      <c r="IT118" s="230"/>
      <c r="IU118" s="113" cm="1">
        <f t="array" ref="IU118">INDEX(HZ:HZ, (ROW()-ROW(IU$102)+1)*3)</f>
        <v>46312</v>
      </c>
      <c r="JR118" s="230"/>
      <c r="JS118" s="113" cm="1">
        <f t="array" ref="JS118">INDEX(IX:IX, (ROW()-ROW(JS$102)+1)*3)</f>
        <v>46343</v>
      </c>
      <c r="KP118" s="230"/>
      <c r="KQ118" s="113" cm="1">
        <f t="array" ref="KQ118">INDEX(JV:JV, (ROW()-ROW(KQ$102)+1)*3)</f>
        <v>46373</v>
      </c>
      <c r="LN118" s="230"/>
      <c r="LO118" s="113" cm="1">
        <f t="array" ref="LO118">INDEX(KT:KT, (ROW()-ROW(LO$102)+1)*3)</f>
        <v>46404</v>
      </c>
    </row>
    <row r="119" spans="38:327" ht="18.75" customHeight="1">
      <c r="AL119" s="230" cm="1">
        <f t="array" ref="AL119">INDEX(AN:AN, (ROW()-ROW(AL$102)+1)*3)</f>
        <v>77.400000000000006</v>
      </c>
      <c r="AM119" s="113" cm="1">
        <f t="array" ref="AM119">INDEX(R:R, (ROW()-ROW(AM$102)+1)*3)</f>
        <v>46040</v>
      </c>
      <c r="AO119" s="115"/>
      <c r="BJ119" s="230" cm="1">
        <f t="array" ref="BJ119">INDEX(BL:BL, (ROW()-ROW(BJ$102)+1)*3)</f>
        <v>77.7</v>
      </c>
      <c r="BK119" s="113" cm="1">
        <f t="array" ref="BK119">INDEX(AP:AP, (ROW()-ROW(BK$102)+1)*3)</f>
        <v>46071</v>
      </c>
      <c r="BM119" s="115"/>
      <c r="CH119" s="230" cm="1">
        <f t="array" ref="CH119">INDEX(CJ:CJ, (ROW()-ROW(CH$102)+1)*3)</f>
        <v>78.05</v>
      </c>
      <c r="CI119" s="113" cm="1">
        <f t="array" ref="CI119">INDEX(BN:BN, (ROW()-ROW(CI$102)+1)*3)</f>
        <v>46099</v>
      </c>
      <c r="DF119" s="230"/>
      <c r="DG119" s="113" cm="1">
        <f t="array" ref="DG119">INDEX(CL:CL, (ROW()-ROW(DG$102)+1)*3)</f>
        <v>46130</v>
      </c>
      <c r="ED119" s="230"/>
      <c r="EE119" s="113" cm="1">
        <f t="array" ref="EE119">INDEX(DJ:DJ, (ROW()-ROW(EE$102)+1)*3)</f>
        <v>46160</v>
      </c>
      <c r="FB119" s="230"/>
      <c r="FC119" s="113" cm="1">
        <f t="array" ref="FC119">INDEX(EH:EH, (ROW()-ROW(FC$102)+1)*3)</f>
        <v>46191</v>
      </c>
      <c r="FZ119" s="230"/>
      <c r="GA119" s="113" cm="1">
        <f t="array" ref="GA119">INDEX(FF:FF, (ROW()-ROW(GA$102)+1)*3)</f>
        <v>46221</v>
      </c>
      <c r="GX119" s="230"/>
      <c r="GY119" s="113" cm="1">
        <f t="array" ref="GY119">INDEX(GD:GD, (ROW()-ROW(GY$102)+1)*3)</f>
        <v>46252</v>
      </c>
      <c r="HV119" s="230"/>
      <c r="HW119" s="113" cm="1">
        <f t="array" ref="HW119">INDEX(HB:HB, (ROW()-ROW(HW$102)+1)*3)</f>
        <v>46283</v>
      </c>
      <c r="IT119" s="230"/>
      <c r="IU119" s="113" cm="1">
        <f t="array" ref="IU119">INDEX(HZ:HZ, (ROW()-ROW(IU$102)+1)*3)</f>
        <v>46313</v>
      </c>
      <c r="JR119" s="230"/>
      <c r="JS119" s="113" cm="1">
        <f t="array" ref="JS119">INDEX(IX:IX, (ROW()-ROW(JS$102)+1)*3)</f>
        <v>46344</v>
      </c>
      <c r="KP119" s="230"/>
      <c r="KQ119" s="113" cm="1">
        <f t="array" ref="KQ119">INDEX(JV:JV, (ROW()-ROW(KQ$102)+1)*3)</f>
        <v>46374</v>
      </c>
      <c r="LN119" s="230"/>
      <c r="LO119" s="113" cm="1">
        <f t="array" ref="LO119">INDEX(KT:KT, (ROW()-ROW(LO$102)+1)*3)</f>
        <v>46405</v>
      </c>
    </row>
    <row r="120" spans="38:327" ht="18.75" customHeight="1">
      <c r="AL120" s="230" cm="1">
        <f t="array" ref="AL120">INDEX(AN:AN, (ROW()-ROW(AL$102)+1)*3)</f>
        <v>77.3</v>
      </c>
      <c r="AM120" s="113" cm="1">
        <f t="array" ref="AM120">INDEX(R:R, (ROW()-ROW(AM$102)+1)*3)</f>
        <v>46041</v>
      </c>
      <c r="AO120" s="115"/>
      <c r="BJ120" s="230" cm="1">
        <f t="array" ref="BJ120">INDEX(BL:BL, (ROW()-ROW(BJ$102)+1)*3)</f>
        <v>77.5</v>
      </c>
      <c r="BK120" s="113" cm="1">
        <f t="array" ref="BK120">INDEX(AP:AP, (ROW()-ROW(BK$102)+1)*3)</f>
        <v>46072</v>
      </c>
      <c r="BM120" s="115"/>
      <c r="CH120" s="230" cm="1">
        <f t="array" ref="CH120">INDEX(CJ:CJ, (ROW()-ROW(CH$102)+1)*3)</f>
        <v>78.05</v>
      </c>
      <c r="CI120" s="113" cm="1">
        <f t="array" ref="CI120">INDEX(BN:BN, (ROW()-ROW(CI$102)+1)*3)</f>
        <v>46100</v>
      </c>
      <c r="DF120" s="230"/>
      <c r="DG120" s="113" cm="1">
        <f t="array" ref="DG120">INDEX(CL:CL, (ROW()-ROW(DG$102)+1)*3)</f>
        <v>46131</v>
      </c>
      <c r="ED120" s="230"/>
      <c r="EE120" s="113" cm="1">
        <f t="array" ref="EE120">INDEX(DJ:DJ, (ROW()-ROW(EE$102)+1)*3)</f>
        <v>46161</v>
      </c>
      <c r="FB120" s="230"/>
      <c r="FC120" s="113" cm="1">
        <f t="array" ref="FC120">INDEX(EH:EH, (ROW()-ROW(FC$102)+1)*3)</f>
        <v>46192</v>
      </c>
      <c r="FZ120" s="230"/>
      <c r="GA120" s="113" cm="1">
        <f t="array" ref="GA120">INDEX(FF:FF, (ROW()-ROW(GA$102)+1)*3)</f>
        <v>46222</v>
      </c>
      <c r="GX120" s="230"/>
      <c r="GY120" s="113" cm="1">
        <f t="array" ref="GY120">INDEX(GD:GD, (ROW()-ROW(GY$102)+1)*3)</f>
        <v>46253</v>
      </c>
      <c r="HV120" s="230"/>
      <c r="HW120" s="113" cm="1">
        <f t="array" ref="HW120">INDEX(HB:HB, (ROW()-ROW(HW$102)+1)*3)</f>
        <v>46284</v>
      </c>
      <c r="IT120" s="230"/>
      <c r="IU120" s="113" cm="1">
        <f t="array" ref="IU120">INDEX(HZ:HZ, (ROW()-ROW(IU$102)+1)*3)</f>
        <v>46314</v>
      </c>
      <c r="JR120" s="230"/>
      <c r="JS120" s="113" cm="1">
        <f t="array" ref="JS120">INDEX(IX:IX, (ROW()-ROW(JS$102)+1)*3)</f>
        <v>46345</v>
      </c>
      <c r="KP120" s="230"/>
      <c r="KQ120" s="113" cm="1">
        <f t="array" ref="KQ120">INDEX(JV:JV, (ROW()-ROW(KQ$102)+1)*3)</f>
        <v>46375</v>
      </c>
      <c r="LN120" s="230"/>
      <c r="LO120" s="113" cm="1">
        <f t="array" ref="LO120">INDEX(KT:KT, (ROW()-ROW(LO$102)+1)*3)</f>
        <v>46406</v>
      </c>
    </row>
    <row r="121" spans="38:327" ht="18.75" customHeight="1">
      <c r="AL121" s="230" cm="1">
        <f t="array" ref="AL121">INDEX(AN:AN, (ROW()-ROW(AL$102)+1)*3)</f>
        <v>77.3</v>
      </c>
      <c r="AM121" s="113" cm="1">
        <f t="array" ref="AM121">INDEX(R:R, (ROW()-ROW(AM$102)+1)*3)</f>
        <v>46042</v>
      </c>
      <c r="AO121" s="115"/>
      <c r="BJ121" s="230" cm="1">
        <f t="array" ref="BJ121">INDEX(BL:BL, (ROW()-ROW(BJ$102)+1)*3)</f>
        <v>78.400000000000006</v>
      </c>
      <c r="BK121" s="113" cm="1">
        <f t="array" ref="BK121">INDEX(AP:AP, (ROW()-ROW(BK$102)+1)*3)</f>
        <v>46073</v>
      </c>
      <c r="BM121" s="115"/>
      <c r="CH121" s="230" cm="1">
        <f t="array" ref="CH121">INDEX(CJ:CJ, (ROW()-ROW(CH$102)+1)*3)</f>
        <v>77.8</v>
      </c>
      <c r="CI121" s="113" cm="1">
        <f t="array" ref="CI121">INDEX(BN:BN, (ROW()-ROW(CI$102)+1)*3)</f>
        <v>46101</v>
      </c>
      <c r="DF121" s="230"/>
      <c r="DG121" s="113" cm="1">
        <f t="array" ref="DG121">INDEX(CL:CL, (ROW()-ROW(DG$102)+1)*3)</f>
        <v>46132</v>
      </c>
      <c r="ED121" s="230"/>
      <c r="EE121" s="113" cm="1">
        <f t="array" ref="EE121">INDEX(DJ:DJ, (ROW()-ROW(EE$102)+1)*3)</f>
        <v>46162</v>
      </c>
      <c r="FB121" s="230"/>
      <c r="FC121" s="113" cm="1">
        <f t="array" ref="FC121">INDEX(EH:EH, (ROW()-ROW(FC$102)+1)*3)</f>
        <v>46193</v>
      </c>
      <c r="FZ121" s="230"/>
      <c r="GA121" s="113" cm="1">
        <f t="array" ref="GA121">INDEX(FF:FF, (ROW()-ROW(GA$102)+1)*3)</f>
        <v>46223</v>
      </c>
      <c r="GX121" s="230"/>
      <c r="GY121" s="113" cm="1">
        <f t="array" ref="GY121">INDEX(GD:GD, (ROW()-ROW(GY$102)+1)*3)</f>
        <v>46254</v>
      </c>
      <c r="HV121" s="230"/>
      <c r="HW121" s="113" cm="1">
        <f t="array" ref="HW121">INDEX(HB:HB, (ROW()-ROW(HW$102)+1)*3)</f>
        <v>46285</v>
      </c>
      <c r="IT121" s="230"/>
      <c r="IU121" s="113" cm="1">
        <f t="array" ref="IU121">INDEX(HZ:HZ, (ROW()-ROW(IU$102)+1)*3)</f>
        <v>46315</v>
      </c>
      <c r="JR121" s="230"/>
      <c r="JS121" s="113" cm="1">
        <f t="array" ref="JS121">INDEX(IX:IX, (ROW()-ROW(JS$102)+1)*3)</f>
        <v>46346</v>
      </c>
      <c r="KP121" s="230"/>
      <c r="KQ121" s="113" cm="1">
        <f t="array" ref="KQ121">INDEX(JV:JV, (ROW()-ROW(KQ$102)+1)*3)</f>
        <v>46376</v>
      </c>
      <c r="LN121" s="230"/>
      <c r="LO121" s="113" cm="1">
        <f t="array" ref="LO121">INDEX(KT:KT, (ROW()-ROW(LO$102)+1)*3)</f>
        <v>46407</v>
      </c>
    </row>
    <row r="122" spans="38:327" ht="18.75" customHeight="1">
      <c r="AL122" s="230" cm="1">
        <f t="array" ref="AL122">INDEX(AN:AN, (ROW()-ROW(AL$102)+1)*3)</f>
        <v>77.2</v>
      </c>
      <c r="AM122" s="113" cm="1">
        <f t="array" ref="AM122">INDEX(R:R, (ROW()-ROW(AM$102)+1)*3)</f>
        <v>46043</v>
      </c>
      <c r="AO122" s="115"/>
      <c r="BJ122" s="230" cm="1">
        <f t="array" ref="BJ122">INDEX(BL:BL, (ROW()-ROW(BJ$102)+1)*3)</f>
        <v>78.400000000000006</v>
      </c>
      <c r="BK122" s="113" cm="1">
        <f t="array" ref="BK122">INDEX(AP:AP, (ROW()-ROW(BK$102)+1)*3)</f>
        <v>46074</v>
      </c>
      <c r="BM122" s="115"/>
      <c r="CH122" s="230" cm="1">
        <f t="array" ref="CH122">INDEX(CJ:CJ, (ROW()-ROW(CH$102)+1)*3)</f>
        <v>77.8</v>
      </c>
      <c r="CI122" s="113" cm="1">
        <f t="array" ref="CI122">INDEX(BN:BN, (ROW()-ROW(CI$102)+1)*3)</f>
        <v>46102</v>
      </c>
      <c r="DF122" s="230"/>
      <c r="DG122" s="113" cm="1">
        <f t="array" ref="DG122">INDEX(CL:CL, (ROW()-ROW(DG$102)+1)*3)</f>
        <v>46133</v>
      </c>
      <c r="ED122" s="230"/>
      <c r="EE122" s="113" cm="1">
        <f t="array" ref="EE122">INDEX(DJ:DJ, (ROW()-ROW(EE$102)+1)*3)</f>
        <v>46163</v>
      </c>
      <c r="FB122" s="230"/>
      <c r="FC122" s="113" cm="1">
        <f t="array" ref="FC122">INDEX(EH:EH, (ROW()-ROW(FC$102)+1)*3)</f>
        <v>46194</v>
      </c>
      <c r="FZ122" s="230"/>
      <c r="GA122" s="113" cm="1">
        <f t="array" ref="GA122">INDEX(FF:FF, (ROW()-ROW(GA$102)+1)*3)</f>
        <v>46224</v>
      </c>
      <c r="GX122" s="230"/>
      <c r="GY122" s="113" cm="1">
        <f t="array" ref="GY122">INDEX(GD:GD, (ROW()-ROW(GY$102)+1)*3)</f>
        <v>46255</v>
      </c>
      <c r="HV122" s="230"/>
      <c r="HW122" s="113" cm="1">
        <f t="array" ref="HW122">INDEX(HB:HB, (ROW()-ROW(HW$102)+1)*3)</f>
        <v>46286</v>
      </c>
      <c r="IT122" s="230"/>
      <c r="IU122" s="113" cm="1">
        <f t="array" ref="IU122">INDEX(HZ:HZ, (ROW()-ROW(IU$102)+1)*3)</f>
        <v>46316</v>
      </c>
      <c r="JR122" s="230"/>
      <c r="JS122" s="113" cm="1">
        <f t="array" ref="JS122">INDEX(IX:IX, (ROW()-ROW(JS$102)+1)*3)</f>
        <v>46347</v>
      </c>
      <c r="KP122" s="230"/>
      <c r="KQ122" s="113" cm="1">
        <f t="array" ref="KQ122">INDEX(JV:JV, (ROW()-ROW(KQ$102)+1)*3)</f>
        <v>46377</v>
      </c>
      <c r="LN122" s="230"/>
      <c r="LO122" s="113" cm="1">
        <f t="array" ref="LO122">INDEX(KT:KT, (ROW()-ROW(LO$102)+1)*3)</f>
        <v>46408</v>
      </c>
    </row>
    <row r="123" spans="38:327" ht="18.75" customHeight="1">
      <c r="AL123" s="230" cm="1">
        <f t="array" ref="AL123">INDEX(AN:AN, (ROW()-ROW(AL$102)+1)*3)</f>
        <v>77.599999999999994</v>
      </c>
      <c r="AM123" s="113" cm="1">
        <f t="array" ref="AM123">INDEX(R:R, (ROW()-ROW(AM$102)+1)*3)</f>
        <v>46044</v>
      </c>
      <c r="AO123" s="115"/>
      <c r="BJ123" s="230" cm="1">
        <f t="array" ref="BJ123">INDEX(BL:BL, (ROW()-ROW(BJ$102)+1)*3)</f>
        <v>77.75</v>
      </c>
      <c r="BK123" s="113" cm="1">
        <f t="array" ref="BK123">INDEX(AP:AP, (ROW()-ROW(BK$102)+1)*3)</f>
        <v>46075</v>
      </c>
      <c r="BM123" s="115"/>
      <c r="CH123" s="230" cm="1">
        <f t="array" ref="CH123">INDEX(CJ:CJ, (ROW()-ROW(CH$102)+1)*3)</f>
        <v>76.3</v>
      </c>
      <c r="CI123" s="113" cm="1">
        <f t="array" ref="CI123">INDEX(BN:BN, (ROW()-ROW(CI$102)+1)*3)</f>
        <v>46103</v>
      </c>
      <c r="DF123" s="230"/>
      <c r="DG123" s="113" cm="1">
        <f t="array" ref="DG123">INDEX(CL:CL, (ROW()-ROW(DG$102)+1)*3)</f>
        <v>46134</v>
      </c>
      <c r="ED123" s="230"/>
      <c r="EE123" s="113" cm="1">
        <f t="array" ref="EE123">INDEX(DJ:DJ, (ROW()-ROW(EE$102)+1)*3)</f>
        <v>46164</v>
      </c>
      <c r="FB123" s="230"/>
      <c r="FC123" s="113" cm="1">
        <f t="array" ref="FC123">INDEX(EH:EH, (ROW()-ROW(FC$102)+1)*3)</f>
        <v>46195</v>
      </c>
      <c r="FZ123" s="230"/>
      <c r="GA123" s="113" cm="1">
        <f t="array" ref="GA123">INDEX(FF:FF, (ROW()-ROW(GA$102)+1)*3)</f>
        <v>46225</v>
      </c>
      <c r="GX123" s="230"/>
      <c r="GY123" s="113" cm="1">
        <f t="array" ref="GY123">INDEX(GD:GD, (ROW()-ROW(GY$102)+1)*3)</f>
        <v>46256</v>
      </c>
      <c r="HV123" s="230"/>
      <c r="HW123" s="113" cm="1">
        <f t="array" ref="HW123">INDEX(HB:HB, (ROW()-ROW(HW$102)+1)*3)</f>
        <v>46287</v>
      </c>
      <c r="IT123" s="230"/>
      <c r="IU123" s="113" cm="1">
        <f t="array" ref="IU123">INDEX(HZ:HZ, (ROW()-ROW(IU$102)+1)*3)</f>
        <v>46317</v>
      </c>
      <c r="JR123" s="230"/>
      <c r="JS123" s="113" cm="1">
        <f t="array" ref="JS123">INDEX(IX:IX, (ROW()-ROW(JS$102)+1)*3)</f>
        <v>46348</v>
      </c>
      <c r="KP123" s="230"/>
      <c r="KQ123" s="113" cm="1">
        <f t="array" ref="KQ123">INDEX(JV:JV, (ROW()-ROW(KQ$102)+1)*3)</f>
        <v>46378</v>
      </c>
      <c r="LN123" s="230"/>
      <c r="LO123" s="113" cm="1">
        <f t="array" ref="LO123">INDEX(KT:KT, (ROW()-ROW(LO$102)+1)*3)</f>
        <v>46409</v>
      </c>
    </row>
    <row r="124" spans="38:327" ht="18.75" customHeight="1">
      <c r="AL124" s="230" cm="1">
        <f t="array" ref="AL124">INDEX(AN:AN, (ROW()-ROW(AL$102)+1)*3)</f>
        <v>78.099999999999994</v>
      </c>
      <c r="AM124" s="113" cm="1">
        <f t="array" ref="AM124">INDEX(R:R, (ROW()-ROW(AM$102)+1)*3)</f>
        <v>46045</v>
      </c>
      <c r="AO124" s="115"/>
      <c r="BJ124" s="230" cm="1">
        <f t="array" ref="BJ124">INDEX(BL:BL, (ROW()-ROW(BJ$102)+1)*3)</f>
        <v>77.8</v>
      </c>
      <c r="BK124" s="113" cm="1">
        <f t="array" ref="BK124">INDEX(AP:AP, (ROW()-ROW(BK$102)+1)*3)</f>
        <v>46076</v>
      </c>
      <c r="BM124" s="115"/>
      <c r="CH124" s="230" cm="1">
        <f t="array" ref="CH124">INDEX(CJ:CJ, (ROW()-ROW(CH$102)+1)*3)</f>
        <v>77.25</v>
      </c>
      <c r="CI124" s="113" cm="1">
        <f t="array" ref="CI124">INDEX(BN:BN, (ROW()-ROW(CI$102)+1)*3)</f>
        <v>46104</v>
      </c>
      <c r="DF124" s="230"/>
      <c r="DG124" s="113" cm="1">
        <f t="array" ref="DG124">INDEX(CL:CL, (ROW()-ROW(DG$102)+1)*3)</f>
        <v>46135</v>
      </c>
      <c r="ED124" s="230"/>
      <c r="EE124" s="113" cm="1">
        <f t="array" ref="EE124">INDEX(DJ:DJ, (ROW()-ROW(EE$102)+1)*3)</f>
        <v>46165</v>
      </c>
      <c r="FB124" s="230"/>
      <c r="FC124" s="113" cm="1">
        <f t="array" ref="FC124">INDEX(EH:EH, (ROW()-ROW(FC$102)+1)*3)</f>
        <v>46196</v>
      </c>
      <c r="FZ124" s="230"/>
      <c r="GA124" s="113" cm="1">
        <f t="array" ref="GA124">INDEX(FF:FF, (ROW()-ROW(GA$102)+1)*3)</f>
        <v>46226</v>
      </c>
      <c r="GX124" s="230"/>
      <c r="GY124" s="113" cm="1">
        <f t="array" ref="GY124">INDEX(GD:GD, (ROW()-ROW(GY$102)+1)*3)</f>
        <v>46257</v>
      </c>
      <c r="HV124" s="230"/>
      <c r="HW124" s="113" cm="1">
        <f t="array" ref="HW124">INDEX(HB:HB, (ROW()-ROW(HW$102)+1)*3)</f>
        <v>46288</v>
      </c>
      <c r="IT124" s="230"/>
      <c r="IU124" s="113" cm="1">
        <f t="array" ref="IU124">INDEX(HZ:HZ, (ROW()-ROW(IU$102)+1)*3)</f>
        <v>46318</v>
      </c>
      <c r="JR124" s="230"/>
      <c r="JS124" s="113" cm="1">
        <f t="array" ref="JS124">INDEX(IX:IX, (ROW()-ROW(JS$102)+1)*3)</f>
        <v>46349</v>
      </c>
      <c r="KP124" s="230"/>
      <c r="KQ124" s="113" cm="1">
        <f t="array" ref="KQ124">INDEX(JV:JV, (ROW()-ROW(KQ$102)+1)*3)</f>
        <v>46379</v>
      </c>
      <c r="LN124" s="230"/>
      <c r="LO124" s="113" cm="1">
        <f t="array" ref="LO124">INDEX(KT:KT, (ROW()-ROW(LO$102)+1)*3)</f>
        <v>46410</v>
      </c>
    </row>
    <row r="125" spans="38:327" ht="18.75" customHeight="1">
      <c r="AL125" s="230" cm="1">
        <f t="array" ref="AL125">INDEX(AN:AN, (ROW()-ROW(AL$102)+1)*3)</f>
        <v>78.099999999999994</v>
      </c>
      <c r="AM125" s="113" cm="1">
        <f t="array" ref="AM125">INDEX(R:R, (ROW()-ROW(AM$102)+1)*3)</f>
        <v>46046</v>
      </c>
      <c r="AO125" s="115"/>
      <c r="BJ125" s="230" cm="1">
        <f t="array" ref="BJ125">INDEX(BL:BL, (ROW()-ROW(BJ$102)+1)*3)</f>
        <v>77.8</v>
      </c>
      <c r="BK125" s="113" cm="1">
        <f t="array" ref="BK125">INDEX(AP:AP, (ROW()-ROW(BK$102)+1)*3)</f>
        <v>46077</v>
      </c>
      <c r="BM125" s="115"/>
      <c r="CH125" s="230" cm="1">
        <f t="array" ref="CH125">INDEX(CJ:CJ, (ROW()-ROW(CH$102)+1)*3)</f>
        <v>78.099999999999994</v>
      </c>
      <c r="CI125" s="113" cm="1">
        <f t="array" ref="CI125">INDEX(BN:BN, (ROW()-ROW(CI$102)+1)*3)</f>
        <v>46105</v>
      </c>
      <c r="DF125" s="230"/>
      <c r="DG125" s="113" cm="1">
        <f t="array" ref="DG125">INDEX(CL:CL, (ROW()-ROW(DG$102)+1)*3)</f>
        <v>46136</v>
      </c>
      <c r="ED125" s="230"/>
      <c r="EE125" s="113" cm="1">
        <f t="array" ref="EE125">INDEX(DJ:DJ, (ROW()-ROW(EE$102)+1)*3)</f>
        <v>46166</v>
      </c>
      <c r="FB125" s="230"/>
      <c r="FC125" s="113" cm="1">
        <f t="array" ref="FC125">INDEX(EH:EH, (ROW()-ROW(FC$102)+1)*3)</f>
        <v>46197</v>
      </c>
      <c r="FZ125" s="230"/>
      <c r="GA125" s="113" cm="1">
        <f t="array" ref="GA125">INDEX(FF:FF, (ROW()-ROW(GA$102)+1)*3)</f>
        <v>46227</v>
      </c>
      <c r="GX125" s="230"/>
      <c r="GY125" s="113" cm="1">
        <f t="array" ref="GY125">INDEX(GD:GD, (ROW()-ROW(GY$102)+1)*3)</f>
        <v>46258</v>
      </c>
      <c r="HV125" s="230"/>
      <c r="HW125" s="113" cm="1">
        <f t="array" ref="HW125">INDEX(HB:HB, (ROW()-ROW(HW$102)+1)*3)</f>
        <v>46289</v>
      </c>
      <c r="IT125" s="230"/>
      <c r="IU125" s="113" cm="1">
        <f t="array" ref="IU125">INDEX(HZ:HZ, (ROW()-ROW(IU$102)+1)*3)</f>
        <v>46319</v>
      </c>
      <c r="JR125" s="230"/>
      <c r="JS125" s="113" cm="1">
        <f t="array" ref="JS125">INDEX(IX:IX, (ROW()-ROW(JS$102)+1)*3)</f>
        <v>46350</v>
      </c>
      <c r="KP125" s="230"/>
      <c r="KQ125" s="113" cm="1">
        <f t="array" ref="KQ125">INDEX(JV:JV, (ROW()-ROW(KQ$102)+1)*3)</f>
        <v>46380</v>
      </c>
      <c r="LN125" s="230"/>
      <c r="LO125" s="113" cm="1">
        <f t="array" ref="LO125">INDEX(KT:KT, (ROW()-ROW(LO$102)+1)*3)</f>
        <v>46411</v>
      </c>
    </row>
    <row r="126" spans="38:327" ht="18.75" customHeight="1">
      <c r="AL126" s="230" cm="1">
        <f t="array" ref="AL126">INDEX(AN:AN, (ROW()-ROW(AL$102)+1)*3)</f>
        <v>77</v>
      </c>
      <c r="AM126" s="113" cm="1">
        <f t="array" ref="AM126">INDEX(R:R, (ROW()-ROW(AM$102)+1)*3)</f>
        <v>46047</v>
      </c>
      <c r="AO126" s="115"/>
      <c r="BJ126" s="230" cm="1">
        <f t="array" ref="BJ126">INDEX(BL:BL, (ROW()-ROW(BJ$102)+1)*3)</f>
        <v>77.55</v>
      </c>
      <c r="BK126" s="113" cm="1">
        <f t="array" ref="BK126">INDEX(AP:AP, (ROW()-ROW(BK$102)+1)*3)</f>
        <v>46078</v>
      </c>
      <c r="BM126" s="115"/>
      <c r="CH126" s="230" cm="1">
        <f t="array" ref="CH126">INDEX(CJ:CJ, (ROW()-ROW(CH$102)+1)*3)</f>
        <v>78.099999999999994</v>
      </c>
      <c r="CI126" s="113" cm="1">
        <f t="array" ref="CI126">INDEX(BN:BN, (ROW()-ROW(CI$102)+1)*3)</f>
        <v>46106</v>
      </c>
      <c r="DF126" s="230"/>
      <c r="DG126" s="113" cm="1">
        <f t="array" ref="DG126">INDEX(CL:CL, (ROW()-ROW(DG$102)+1)*3)</f>
        <v>46137</v>
      </c>
      <c r="ED126" s="230"/>
      <c r="EE126" s="113" cm="1">
        <f t="array" ref="EE126">INDEX(DJ:DJ, (ROW()-ROW(EE$102)+1)*3)</f>
        <v>46167</v>
      </c>
      <c r="FB126" s="230"/>
      <c r="FC126" s="113" cm="1">
        <f t="array" ref="FC126">INDEX(EH:EH, (ROW()-ROW(FC$102)+1)*3)</f>
        <v>46198</v>
      </c>
      <c r="FZ126" s="230"/>
      <c r="GA126" s="113" cm="1">
        <f t="array" ref="GA126">INDEX(FF:FF, (ROW()-ROW(GA$102)+1)*3)</f>
        <v>46228</v>
      </c>
      <c r="GX126" s="230"/>
      <c r="GY126" s="113" cm="1">
        <f t="array" ref="GY126">INDEX(GD:GD, (ROW()-ROW(GY$102)+1)*3)</f>
        <v>46259</v>
      </c>
      <c r="HV126" s="230"/>
      <c r="HW126" s="113" cm="1">
        <f t="array" ref="HW126">INDEX(HB:HB, (ROW()-ROW(HW$102)+1)*3)</f>
        <v>46290</v>
      </c>
      <c r="IT126" s="230"/>
      <c r="IU126" s="113" cm="1">
        <f t="array" ref="IU126">INDEX(HZ:HZ, (ROW()-ROW(IU$102)+1)*3)</f>
        <v>46320</v>
      </c>
      <c r="JR126" s="230"/>
      <c r="JS126" s="113" cm="1">
        <f t="array" ref="JS126">INDEX(IX:IX, (ROW()-ROW(JS$102)+1)*3)</f>
        <v>46351</v>
      </c>
      <c r="KP126" s="230"/>
      <c r="KQ126" s="113" cm="1">
        <f t="array" ref="KQ126">INDEX(JV:JV, (ROW()-ROW(KQ$102)+1)*3)</f>
        <v>46381</v>
      </c>
      <c r="LN126" s="230"/>
      <c r="LO126" s="113" cm="1">
        <f t="array" ref="LO126">INDEX(KT:KT, (ROW()-ROW(LO$102)+1)*3)</f>
        <v>46412</v>
      </c>
    </row>
    <row r="127" spans="38:327" ht="18.75" customHeight="1">
      <c r="AL127" s="230" cm="1">
        <f t="array" ref="AL127">INDEX(AN:AN, (ROW()-ROW(AL$102)+1)*3)</f>
        <v>77.099999999999994</v>
      </c>
      <c r="AM127" s="113" cm="1">
        <f t="array" ref="AM127">INDEX(R:R, (ROW()-ROW(AM$102)+1)*3)</f>
        <v>46048</v>
      </c>
      <c r="AO127" s="115"/>
      <c r="BJ127" s="230" cm="1">
        <f t="array" ref="BJ127">INDEX(BL:BL, (ROW()-ROW(BJ$102)+1)*3)</f>
        <v>78.5</v>
      </c>
      <c r="BK127" s="113" cm="1">
        <f t="array" ref="BK127">INDEX(AP:AP, (ROW()-ROW(BK$102)+1)*3)</f>
        <v>46079</v>
      </c>
      <c r="BM127" s="115"/>
      <c r="CH127" s="230" cm="1">
        <f t="array" ref="CH127">INDEX(CJ:CJ, (ROW()-ROW(CH$102)+1)*3)</f>
        <v>78.099999999999994</v>
      </c>
      <c r="CI127" s="113" cm="1">
        <f t="array" ref="CI127">INDEX(BN:BN, (ROW()-ROW(CI$102)+1)*3)</f>
        <v>46107</v>
      </c>
      <c r="DF127" s="230"/>
      <c r="DG127" s="113" cm="1">
        <f t="array" ref="DG127">INDEX(CL:CL, (ROW()-ROW(DG$102)+1)*3)</f>
        <v>46138</v>
      </c>
      <c r="ED127" s="230"/>
      <c r="EE127" s="113" cm="1">
        <f t="array" ref="EE127">INDEX(DJ:DJ, (ROW()-ROW(EE$102)+1)*3)</f>
        <v>46168</v>
      </c>
      <c r="FB127" s="230"/>
      <c r="FC127" s="113" cm="1">
        <f t="array" ref="FC127">INDEX(EH:EH, (ROW()-ROW(FC$102)+1)*3)</f>
        <v>46199</v>
      </c>
      <c r="FZ127" s="230"/>
      <c r="GA127" s="113" cm="1">
        <f t="array" ref="GA127">INDEX(FF:FF, (ROW()-ROW(GA$102)+1)*3)</f>
        <v>46229</v>
      </c>
      <c r="GX127" s="230"/>
      <c r="GY127" s="113" cm="1">
        <f t="array" ref="GY127">INDEX(GD:GD, (ROW()-ROW(GY$102)+1)*3)</f>
        <v>46260</v>
      </c>
      <c r="HV127" s="230"/>
      <c r="HW127" s="113" cm="1">
        <f t="array" ref="HW127">INDEX(HB:HB, (ROW()-ROW(HW$102)+1)*3)</f>
        <v>46291</v>
      </c>
      <c r="IT127" s="230"/>
      <c r="IU127" s="113" cm="1">
        <f t="array" ref="IU127">INDEX(HZ:HZ, (ROW()-ROW(IU$102)+1)*3)</f>
        <v>46321</v>
      </c>
      <c r="JR127" s="230"/>
      <c r="JS127" s="113" cm="1">
        <f t="array" ref="JS127">INDEX(IX:IX, (ROW()-ROW(JS$102)+1)*3)</f>
        <v>46352</v>
      </c>
      <c r="KP127" s="230"/>
      <c r="KQ127" s="113" cm="1">
        <f t="array" ref="KQ127">INDEX(JV:JV, (ROW()-ROW(KQ$102)+1)*3)</f>
        <v>46382</v>
      </c>
      <c r="LN127" s="230"/>
      <c r="LO127" s="113" cm="1">
        <f t="array" ref="LO127">INDEX(KT:KT, (ROW()-ROW(LO$102)+1)*3)</f>
        <v>46413</v>
      </c>
    </row>
    <row r="128" spans="38:327" ht="18.75" customHeight="1">
      <c r="AL128" s="230" cm="1">
        <f t="array" ref="AL128">INDEX(AN:AN, (ROW()-ROW(AL$102)+1)*3)</f>
        <v>77.2</v>
      </c>
      <c r="AM128" s="113" cm="1">
        <f t="array" ref="AM128">INDEX(R:R, (ROW()-ROW(AM$102)+1)*3)</f>
        <v>46049</v>
      </c>
      <c r="AO128" s="115"/>
      <c r="BJ128" s="230" cm="1">
        <f t="array" ref="BJ128">INDEX(BL:BL, (ROW()-ROW(BJ$102)+1)*3)</f>
        <v>78.7</v>
      </c>
      <c r="BK128" s="113" cm="1">
        <f t="array" ref="BK128">INDEX(AP:AP, (ROW()-ROW(BK$102)+1)*3)</f>
        <v>46080</v>
      </c>
      <c r="BM128" s="115"/>
      <c r="CH128" s="230" cm="1">
        <f t="array" ref="CH128">INDEX(CJ:CJ, (ROW()-ROW(CH$102)+1)*3)</f>
        <v>78.3</v>
      </c>
      <c r="CI128" s="113" cm="1">
        <f t="array" ref="CI128">INDEX(BN:BN, (ROW()-ROW(CI$102)+1)*3)</f>
        <v>46108</v>
      </c>
      <c r="DF128" s="230"/>
      <c r="DG128" s="113" cm="1">
        <f t="array" ref="DG128">INDEX(CL:CL, (ROW()-ROW(DG$102)+1)*3)</f>
        <v>46139</v>
      </c>
      <c r="ED128" s="230"/>
      <c r="EE128" s="113" cm="1">
        <f t="array" ref="EE128">INDEX(DJ:DJ, (ROW()-ROW(EE$102)+1)*3)</f>
        <v>46169</v>
      </c>
      <c r="FB128" s="230"/>
      <c r="FC128" s="113" cm="1">
        <f t="array" ref="FC128">INDEX(EH:EH, (ROW()-ROW(FC$102)+1)*3)</f>
        <v>46200</v>
      </c>
      <c r="FZ128" s="230"/>
      <c r="GA128" s="113" cm="1">
        <f t="array" ref="GA128">INDEX(FF:FF, (ROW()-ROW(GA$102)+1)*3)</f>
        <v>46230</v>
      </c>
      <c r="GX128" s="230"/>
      <c r="GY128" s="113" cm="1">
        <f t="array" ref="GY128">INDEX(GD:GD, (ROW()-ROW(GY$102)+1)*3)</f>
        <v>46261</v>
      </c>
      <c r="HV128" s="230"/>
      <c r="HW128" s="113" cm="1">
        <f t="array" ref="HW128">INDEX(HB:HB, (ROW()-ROW(HW$102)+1)*3)</f>
        <v>46292</v>
      </c>
      <c r="IT128" s="230"/>
      <c r="IU128" s="113" cm="1">
        <f t="array" ref="IU128">INDEX(HZ:HZ, (ROW()-ROW(IU$102)+1)*3)</f>
        <v>46322</v>
      </c>
      <c r="JR128" s="230"/>
      <c r="JS128" s="113" cm="1">
        <f t="array" ref="JS128">INDEX(IX:IX, (ROW()-ROW(JS$102)+1)*3)</f>
        <v>46353</v>
      </c>
      <c r="KP128" s="230"/>
      <c r="KQ128" s="113" cm="1">
        <f t="array" ref="KQ128">INDEX(JV:JV, (ROW()-ROW(KQ$102)+1)*3)</f>
        <v>46383</v>
      </c>
      <c r="LN128" s="230"/>
      <c r="LO128" s="113" cm="1">
        <f t="array" ref="LO128">INDEX(KT:KT, (ROW()-ROW(LO$102)+1)*3)</f>
        <v>46414</v>
      </c>
    </row>
    <row r="129" spans="38:328" ht="18.75" customHeight="1">
      <c r="AL129" s="230" cm="1">
        <f t="array" ref="AL129">INDEX(AN:AN, (ROW()-ROW(AL$102)+1)*3)</f>
        <v>77.3</v>
      </c>
      <c r="AM129" s="113" cm="1">
        <f t="array" ref="AM129">INDEX(R:R, (ROW()-ROW(AM$102)+1)*3)</f>
        <v>46050</v>
      </c>
      <c r="AO129" s="115"/>
      <c r="BJ129" s="230" cm="1">
        <f t="array" ref="BJ129">INDEX(BL:BL, (ROW()-ROW(BJ$102)+1)*3)</f>
        <v>78.7</v>
      </c>
      <c r="BK129" s="113" cm="1">
        <f t="array" ref="BK129">INDEX(AP:AP, (ROW()-ROW(BK$102)+1)*3)</f>
        <v>46081</v>
      </c>
      <c r="BM129" s="115"/>
      <c r="CH129" s="230" cm="1">
        <f t="array" ref="CH129">INDEX(CJ:CJ, (ROW()-ROW(CH$102)+1)*3)</f>
        <v>78.3</v>
      </c>
      <c r="CI129" s="113" cm="1">
        <f t="array" ref="CI129">INDEX(BN:BN, (ROW()-ROW(CI$102)+1)*3)</f>
        <v>46109</v>
      </c>
      <c r="DF129" s="230"/>
      <c r="DG129" s="113" cm="1">
        <f t="array" ref="DG129">INDEX(CL:CL, (ROW()-ROW(DG$102)+1)*3)</f>
        <v>46140</v>
      </c>
      <c r="ED129" s="230"/>
      <c r="EE129" s="113" cm="1">
        <f t="array" ref="EE129">INDEX(DJ:DJ, (ROW()-ROW(EE$102)+1)*3)</f>
        <v>46170</v>
      </c>
      <c r="FB129" s="230"/>
      <c r="FC129" s="113" cm="1">
        <f t="array" ref="FC129">INDEX(EH:EH, (ROW()-ROW(FC$102)+1)*3)</f>
        <v>46201</v>
      </c>
      <c r="FZ129" s="230"/>
      <c r="GA129" s="113" cm="1">
        <f t="array" ref="GA129">INDEX(FF:FF, (ROW()-ROW(GA$102)+1)*3)</f>
        <v>46231</v>
      </c>
      <c r="GX129" s="230"/>
      <c r="GY129" s="113" cm="1">
        <f t="array" ref="GY129">INDEX(GD:GD, (ROW()-ROW(GY$102)+1)*3)</f>
        <v>46262</v>
      </c>
      <c r="HV129" s="230"/>
      <c r="HW129" s="113" cm="1">
        <f t="array" ref="HW129">INDEX(HB:HB, (ROW()-ROW(HW$102)+1)*3)</f>
        <v>46293</v>
      </c>
      <c r="IT129" s="230"/>
      <c r="IU129" s="113" cm="1">
        <f t="array" ref="IU129">INDEX(HZ:HZ, (ROW()-ROW(IU$102)+1)*3)</f>
        <v>46323</v>
      </c>
      <c r="JR129" s="230"/>
      <c r="JS129" s="113" cm="1">
        <f t="array" ref="JS129">INDEX(IX:IX, (ROW()-ROW(JS$102)+1)*3)</f>
        <v>46354</v>
      </c>
      <c r="KP129" s="230"/>
      <c r="KQ129" s="113" cm="1">
        <f t="array" ref="KQ129">INDEX(JV:JV, (ROW()-ROW(KQ$102)+1)*3)</f>
        <v>46384</v>
      </c>
      <c r="LN129" s="230"/>
      <c r="LO129" s="113" cm="1">
        <f t="array" ref="LO129">INDEX(KT:KT, (ROW()-ROW(LO$102)+1)*3)</f>
        <v>46415</v>
      </c>
    </row>
    <row r="130" spans="38:328" ht="18.75" customHeight="1">
      <c r="AL130" s="230" cm="1">
        <f t="array" ref="AL130">INDEX(AN:AN, (ROW()-ROW(AL$102)+1)*3)</f>
        <v>78.099999999999994</v>
      </c>
      <c r="AM130" s="113" cm="1">
        <f t="array" ref="AM130">INDEX(R:R, (ROW()-ROW(AM$102)+1)*3)</f>
        <v>46051</v>
      </c>
      <c r="AO130" s="115"/>
      <c r="BJ130" s="119"/>
      <c r="BK130" s="120"/>
      <c r="BM130" s="115"/>
      <c r="CH130" s="230" cm="1">
        <f t="array" ref="CH130">INDEX(CJ:CJ, (ROW()-ROW(CH$102)+1)*3)</f>
        <v>76.8</v>
      </c>
      <c r="CI130" s="113" cm="1">
        <f t="array" ref="CI130">INDEX(BN:BN, (ROW()-ROW(CI$102)+1)*3)</f>
        <v>46110</v>
      </c>
      <c r="DF130" s="230"/>
      <c r="DG130" s="113" cm="1">
        <f t="array" ref="DG130">INDEX(CL:CL, (ROW()-ROW(DG$102)+1)*3)</f>
        <v>46141</v>
      </c>
      <c r="ED130" s="230"/>
      <c r="EE130" s="113" cm="1">
        <f t="array" ref="EE130">INDEX(DJ:DJ, (ROW()-ROW(EE$102)+1)*3)</f>
        <v>46171</v>
      </c>
      <c r="FB130" s="230"/>
      <c r="FC130" s="113" cm="1">
        <f t="array" ref="FC130">INDEX(EH:EH, (ROW()-ROW(FC$102)+1)*3)</f>
        <v>46202</v>
      </c>
      <c r="FZ130" s="230"/>
      <c r="GA130" s="113" cm="1">
        <f t="array" ref="GA130">INDEX(FF:FF, (ROW()-ROW(GA$102)+1)*3)</f>
        <v>46232</v>
      </c>
      <c r="GX130" s="230"/>
      <c r="GY130" s="113" cm="1">
        <f t="array" ref="GY130">INDEX(GD:GD, (ROW()-ROW(GY$102)+1)*3)</f>
        <v>46263</v>
      </c>
      <c r="HV130" s="230"/>
      <c r="HW130" s="113" cm="1">
        <f t="array" ref="HW130">INDEX(HB:HB, (ROW()-ROW(HW$102)+1)*3)</f>
        <v>46294</v>
      </c>
      <c r="IT130" s="230"/>
      <c r="IU130" s="113" cm="1">
        <f t="array" ref="IU130">INDEX(HZ:HZ, (ROW()-ROW(IU$102)+1)*3)</f>
        <v>46324</v>
      </c>
      <c r="JR130" s="230"/>
      <c r="JS130" s="113" cm="1">
        <f t="array" ref="JS130">INDEX(IX:IX, (ROW()-ROW(JS$102)+1)*3)</f>
        <v>46355</v>
      </c>
      <c r="KP130" s="230"/>
      <c r="KQ130" s="113" cm="1">
        <f t="array" ref="KQ130">INDEX(JV:JV, (ROW()-ROW(KQ$102)+1)*3)</f>
        <v>46385</v>
      </c>
      <c r="LN130" s="230"/>
      <c r="LO130" s="113" cm="1">
        <f t="array" ref="LO130">INDEX(KT:KT, (ROW()-ROW(LO$102)+1)*3)</f>
        <v>46416</v>
      </c>
    </row>
    <row r="131" spans="38:328" ht="18.75" customHeight="1">
      <c r="AL131" s="230" cm="1">
        <f t="array" ref="AL131">INDEX(AN:AN, (ROW()-ROW(AL$102)+1)*3)</f>
        <v>78.599999999999994</v>
      </c>
      <c r="AM131" s="113" cm="1">
        <f t="array" ref="AM131">INDEX(R:R, (ROW()-ROW(AM$102)+1)*3)</f>
        <v>46052</v>
      </c>
      <c r="AN131" s="112"/>
      <c r="AO131" s="112"/>
      <c r="BJ131" s="119"/>
      <c r="BK131" s="120"/>
      <c r="BL131" s="112"/>
      <c r="BM131" s="115"/>
      <c r="CH131" s="230" cm="1">
        <f t="array" ref="CH131">INDEX(CJ:CJ, (ROW()-ROW(CH$102)+1)*3)</f>
        <v>77.3</v>
      </c>
      <c r="CI131" s="113" cm="1">
        <f t="array" ref="CI131">INDEX(BN:BN, (ROW()-ROW(CI$102)+1)*3)</f>
        <v>46111</v>
      </c>
      <c r="CJ131" s="112"/>
      <c r="DF131" s="230"/>
      <c r="DG131" s="113" cm="1">
        <f t="array" ref="DG131">INDEX(CL:CL, (ROW()-ROW(DG$102)+1)*3)</f>
        <v>46142</v>
      </c>
      <c r="DH131" s="112"/>
      <c r="ED131" s="230"/>
      <c r="EE131" s="113" cm="1">
        <f t="array" ref="EE131">INDEX(DJ:DJ, (ROW()-ROW(EE$102)+1)*3)</f>
        <v>46172</v>
      </c>
      <c r="EF131" s="112"/>
      <c r="FB131" s="230"/>
      <c r="FC131" s="113" cm="1">
        <f t="array" ref="FC131">INDEX(EH:EH, (ROW()-ROW(FC$102)+1)*3)</f>
        <v>46203</v>
      </c>
      <c r="FD131" s="112"/>
      <c r="FZ131" s="230"/>
      <c r="GA131" s="113" cm="1">
        <f t="array" ref="GA131">INDEX(FF:FF, (ROW()-ROW(GA$102)+1)*3)</f>
        <v>46233</v>
      </c>
      <c r="GB131" s="112"/>
      <c r="GX131" s="230"/>
      <c r="GY131" s="113" cm="1">
        <f t="array" ref="GY131">INDEX(GD:GD, (ROW()-ROW(GY$102)+1)*3)</f>
        <v>46264</v>
      </c>
      <c r="GZ131" s="112"/>
      <c r="HV131" s="230"/>
      <c r="HW131" s="113" cm="1">
        <f t="array" ref="HW131">INDEX(HB:HB, (ROW()-ROW(HW$102)+1)*3)</f>
        <v>46295</v>
      </c>
      <c r="HX131" s="112"/>
      <c r="IT131" s="230"/>
      <c r="IU131" s="113" cm="1">
        <f t="array" ref="IU131">INDEX(HZ:HZ, (ROW()-ROW(IU$102)+1)*3)</f>
        <v>46325</v>
      </c>
      <c r="IV131" s="112"/>
      <c r="JR131" s="230"/>
      <c r="JS131" s="113" cm="1">
        <f t="array" ref="JS131">INDEX(IX:IX, (ROW()-ROW(JS$102)+1)*3)</f>
        <v>46356</v>
      </c>
      <c r="JT131" s="112"/>
      <c r="KP131" s="230"/>
      <c r="KQ131" s="113" cm="1">
        <f t="array" ref="KQ131">INDEX(JV:JV, (ROW()-ROW(KQ$102)+1)*3)</f>
        <v>46386</v>
      </c>
      <c r="KR131" s="112"/>
      <c r="LN131" s="230"/>
      <c r="LO131" s="113" cm="1">
        <f t="array" ref="LO131">INDEX(KT:KT, (ROW()-ROW(LO$102)+1)*3)</f>
        <v>46417</v>
      </c>
      <c r="LP131" s="112"/>
    </row>
    <row r="132" spans="38:328" ht="18.75" customHeight="1">
      <c r="AL132" s="230" cm="1">
        <f t="array" ref="AL132">INDEX(AN:AN, (ROW()-ROW(AL$102)+1)*3)</f>
        <v>78.599999999999994</v>
      </c>
      <c r="AM132" s="113" cm="1">
        <f t="array" ref="AM132">INDEX(R:R, (ROW()-ROW(AM$102)+1)*3)</f>
        <v>46053</v>
      </c>
      <c r="AN132" s="112"/>
      <c r="AO132" s="112"/>
      <c r="BJ132" s="119"/>
      <c r="BK132" s="120"/>
      <c r="BL132" s="112"/>
      <c r="BM132" s="112"/>
      <c r="CH132" s="230" cm="1">
        <f t="array" ref="CH132">INDEX(CJ:CJ, (ROW()-ROW(CH$102)+1)*3)</f>
        <v>78.599999999999994</v>
      </c>
      <c r="CI132" s="113" cm="1">
        <f t="array" ref="CI132">INDEX(BN:BN, (ROW()-ROW(CI$102)+1)*3)</f>
        <v>46112</v>
      </c>
      <c r="CJ132" s="112"/>
      <c r="DF132" s="230"/>
      <c r="DG132" s="113" cm="1">
        <f t="array" ref="DG132">INDEX(CL:CL, (ROW()-ROW(DG$102)+1)*3)</f>
        <v>0</v>
      </c>
      <c r="DH132" s="112"/>
      <c r="ED132" s="230"/>
      <c r="EE132" s="113" cm="1">
        <f t="array" ref="EE132">INDEX(DJ:DJ, (ROW()-ROW(EE$102)+1)*3)</f>
        <v>46173</v>
      </c>
      <c r="EF132" s="112"/>
      <c r="FB132" s="230"/>
      <c r="FC132" s="113" cm="1">
        <f t="array" ref="FC132">INDEX(EH:EH, (ROW()-ROW(FC$102)+1)*3)</f>
        <v>0</v>
      </c>
      <c r="FD132" s="112"/>
      <c r="FZ132" s="230"/>
      <c r="GA132" s="113" cm="1">
        <f t="array" ref="GA132">INDEX(FF:FF, (ROW()-ROW(GA$102)+1)*3)</f>
        <v>46234</v>
      </c>
      <c r="GB132" s="112"/>
      <c r="GX132" s="230"/>
      <c r="GY132" s="113" cm="1">
        <f t="array" ref="GY132">INDEX(GD:GD, (ROW()-ROW(GY$102)+1)*3)</f>
        <v>46265</v>
      </c>
      <c r="GZ132" s="112"/>
      <c r="HV132" s="230"/>
      <c r="HW132" s="113" cm="1">
        <f t="array" ref="HW132">INDEX(HB:HB, (ROW()-ROW(HW$102)+1)*3)</f>
        <v>0</v>
      </c>
      <c r="HX132" s="112"/>
      <c r="IT132" s="230"/>
      <c r="IU132" s="113" cm="1">
        <f t="array" ref="IU132">INDEX(HZ:HZ, (ROW()-ROW(IU$102)+1)*3)</f>
        <v>46326</v>
      </c>
      <c r="IV132" s="112"/>
      <c r="JR132" s="230"/>
      <c r="JS132" s="113" cm="1">
        <f t="array" ref="JS132">INDEX(IX:IX, (ROW()-ROW(JS$102)+1)*3)</f>
        <v>0</v>
      </c>
      <c r="JT132" s="112"/>
      <c r="KP132" s="230"/>
      <c r="KQ132" s="113" cm="1">
        <f t="array" ref="KQ132">INDEX(JV:JV, (ROW()-ROW(KQ$102)+1)*3)</f>
        <v>46387</v>
      </c>
      <c r="KR132" s="112"/>
      <c r="LN132" s="230"/>
      <c r="LO132" s="113" cm="1">
        <f t="array" ref="LO132">INDEX(KT:KT, (ROW()-ROW(LO$102)+1)*3)</f>
        <v>46418</v>
      </c>
      <c r="LP132" s="112"/>
    </row>
    <row r="133" spans="38:328" ht="18.75" customHeight="1">
      <c r="AL133" s="111"/>
      <c r="AM133" s="111"/>
      <c r="AN133" s="112"/>
      <c r="AO133" s="112"/>
      <c r="BJ133" s="111"/>
      <c r="BK133" s="111"/>
      <c r="BL133" s="112"/>
      <c r="BM133" s="112"/>
      <c r="CH133" s="111"/>
      <c r="CI133" s="111"/>
      <c r="CJ133" s="112"/>
      <c r="DF133" s="111"/>
      <c r="DG133" s="111"/>
      <c r="DH133" s="112"/>
      <c r="ED133" s="111"/>
      <c r="EE133" s="111"/>
      <c r="EF133" s="112"/>
      <c r="FB133" s="111"/>
      <c r="FC133" s="111"/>
      <c r="FD133" s="112"/>
      <c r="FZ133" s="111"/>
      <c r="GA133" s="111"/>
      <c r="GB133" s="112"/>
      <c r="GX133" s="111"/>
      <c r="GY133" s="111"/>
      <c r="GZ133" s="112"/>
      <c r="HV133" s="111"/>
      <c r="HW133" s="111"/>
      <c r="HX133" s="112"/>
      <c r="IT133" s="111"/>
      <c r="IU133" s="111"/>
      <c r="IV133" s="112"/>
      <c r="JR133" s="111"/>
      <c r="JS133" s="111"/>
      <c r="JT133" s="112"/>
      <c r="KP133" s="111"/>
      <c r="KQ133" s="111"/>
      <c r="KR133" s="112"/>
      <c r="LN133" s="111"/>
      <c r="LO133" s="111"/>
      <c r="LP133" s="112"/>
    </row>
    <row r="134" spans="38:328" ht="18.75" customHeight="1">
      <c r="AL134" s="111"/>
      <c r="AM134" s="111"/>
      <c r="AN134" s="112"/>
      <c r="AO134" s="112"/>
      <c r="BJ134" s="111"/>
      <c r="BK134" s="111"/>
      <c r="BL134" s="112"/>
      <c r="BM134" s="112"/>
      <c r="CH134" s="111"/>
      <c r="CI134" s="111"/>
      <c r="CJ134" s="112"/>
      <c r="DF134" s="111"/>
      <c r="DG134" s="111"/>
      <c r="DH134" s="112"/>
      <c r="ED134" s="111"/>
      <c r="EE134" s="111"/>
      <c r="EF134" s="112"/>
      <c r="FB134" s="111"/>
      <c r="FC134" s="111"/>
      <c r="FD134" s="112"/>
      <c r="FZ134" s="111"/>
      <c r="GA134" s="111"/>
      <c r="GB134" s="112"/>
      <c r="GX134" s="111"/>
      <c r="GY134" s="111"/>
      <c r="GZ134" s="112"/>
      <c r="HV134" s="111"/>
      <c r="HW134" s="111"/>
      <c r="HX134" s="112"/>
      <c r="IT134" s="111"/>
      <c r="IU134" s="111"/>
      <c r="IV134" s="112"/>
      <c r="JR134" s="111"/>
      <c r="JS134" s="111"/>
      <c r="JT134" s="112"/>
      <c r="KP134" s="111"/>
      <c r="KQ134" s="111"/>
      <c r="KR134" s="112"/>
      <c r="LN134" s="111"/>
      <c r="LO134" s="111"/>
      <c r="LP134" s="112"/>
    </row>
    <row r="135" spans="38:328" ht="18.75" customHeight="1">
      <c r="AL135" s="111"/>
      <c r="AM135" s="111"/>
      <c r="AN135" s="112"/>
      <c r="AO135" s="112"/>
      <c r="BJ135" s="111"/>
      <c r="BK135" s="111"/>
      <c r="BL135" s="112"/>
      <c r="BM135" s="112"/>
      <c r="CH135" s="111"/>
      <c r="CI135" s="111"/>
      <c r="CJ135" s="112"/>
      <c r="DF135" s="111"/>
      <c r="DG135" s="111"/>
      <c r="DH135" s="112"/>
      <c r="ED135" s="111"/>
      <c r="EE135" s="111"/>
      <c r="EF135" s="112"/>
      <c r="FB135" s="111"/>
      <c r="FC135" s="111"/>
      <c r="FD135" s="112"/>
      <c r="FZ135" s="111"/>
      <c r="GA135" s="111"/>
      <c r="GB135" s="112"/>
      <c r="GX135" s="111"/>
      <c r="GY135" s="111"/>
      <c r="GZ135" s="112"/>
      <c r="HV135" s="111"/>
      <c r="HW135" s="111"/>
      <c r="HX135" s="112"/>
      <c r="IT135" s="111"/>
      <c r="IU135" s="111"/>
      <c r="IV135" s="112"/>
      <c r="JR135" s="111"/>
      <c r="JS135" s="111"/>
      <c r="JT135" s="112"/>
      <c r="KP135" s="111"/>
      <c r="KQ135" s="111"/>
      <c r="KR135" s="112"/>
      <c r="LN135" s="111"/>
      <c r="LO135" s="111"/>
      <c r="LP135" s="112"/>
    </row>
    <row r="136" spans="38:328" ht="18.75" customHeight="1">
      <c r="AL136" s="111"/>
      <c r="AM136" s="111"/>
      <c r="AN136" s="112"/>
      <c r="AO136" s="112"/>
      <c r="BJ136" s="111"/>
      <c r="BK136" s="111"/>
      <c r="BL136" s="112"/>
      <c r="BM136" s="112"/>
      <c r="CH136" s="111"/>
      <c r="CI136" s="111"/>
      <c r="CJ136" s="112"/>
      <c r="DF136" s="111"/>
      <c r="DG136" s="111"/>
      <c r="DH136" s="112"/>
      <c r="ED136" s="111"/>
      <c r="EE136" s="111"/>
      <c r="EF136" s="112"/>
      <c r="FB136" s="111"/>
      <c r="FC136" s="111"/>
      <c r="FD136" s="112"/>
      <c r="FZ136" s="111"/>
      <c r="GA136" s="111"/>
      <c r="GB136" s="112"/>
      <c r="GX136" s="111"/>
      <c r="GY136" s="111"/>
      <c r="GZ136" s="112"/>
      <c r="HV136" s="111"/>
      <c r="HW136" s="111"/>
      <c r="HX136" s="112"/>
      <c r="IT136" s="111"/>
      <c r="IU136" s="111"/>
      <c r="IV136" s="112"/>
      <c r="JR136" s="111"/>
      <c r="JS136" s="111"/>
      <c r="JT136" s="112"/>
      <c r="KP136" s="111"/>
      <c r="KQ136" s="111"/>
      <c r="KR136" s="112"/>
      <c r="LN136" s="111"/>
      <c r="LO136" s="111"/>
      <c r="LP136" s="112"/>
    </row>
    <row r="137" spans="38:328" ht="18.75" customHeight="1">
      <c r="AL137" s="111"/>
      <c r="AM137" s="111"/>
      <c r="AN137" s="112"/>
      <c r="AO137" s="112"/>
      <c r="BJ137" s="111"/>
      <c r="BK137" s="111"/>
      <c r="BL137" s="112"/>
      <c r="BM137" s="112"/>
      <c r="CH137" s="111"/>
      <c r="CI137" s="111"/>
      <c r="CJ137" s="112"/>
      <c r="DF137" s="111"/>
      <c r="DG137" s="111"/>
      <c r="DH137" s="112"/>
      <c r="ED137" s="111"/>
      <c r="EE137" s="111"/>
      <c r="EF137" s="112"/>
      <c r="FB137" s="111"/>
      <c r="FC137" s="111"/>
      <c r="FD137" s="112"/>
      <c r="FZ137" s="111"/>
      <c r="GA137" s="111"/>
      <c r="GB137" s="112"/>
      <c r="GX137" s="111"/>
      <c r="GY137" s="111"/>
      <c r="GZ137" s="112"/>
      <c r="HV137" s="111"/>
      <c r="HW137" s="111"/>
      <c r="HX137" s="112"/>
      <c r="IT137" s="111"/>
      <c r="IU137" s="111"/>
      <c r="IV137" s="112"/>
      <c r="JR137" s="111"/>
      <c r="JS137" s="111"/>
      <c r="JT137" s="112"/>
      <c r="KP137" s="111"/>
      <c r="KQ137" s="111"/>
      <c r="KR137" s="112"/>
      <c r="LN137" s="111"/>
      <c r="LO137" s="111"/>
      <c r="LP137" s="112"/>
    </row>
    <row r="138" spans="38:328" ht="18.75" customHeight="1">
      <c r="AL138" s="111"/>
      <c r="AM138" s="111"/>
      <c r="AN138" s="112"/>
      <c r="AO138" s="112"/>
      <c r="BJ138" s="111"/>
      <c r="BK138" s="111"/>
      <c r="BL138" s="112"/>
      <c r="BM138" s="112"/>
      <c r="CH138" s="111"/>
      <c r="CI138" s="111"/>
      <c r="CJ138" s="112"/>
      <c r="DF138" s="111"/>
      <c r="DG138" s="111"/>
      <c r="DH138" s="112"/>
      <c r="ED138" s="111"/>
      <c r="EE138" s="111"/>
      <c r="EF138" s="112"/>
      <c r="FB138" s="111"/>
      <c r="FC138" s="111"/>
      <c r="FD138" s="112"/>
      <c r="FZ138" s="111"/>
      <c r="GA138" s="111"/>
      <c r="GB138" s="112"/>
      <c r="GX138" s="111"/>
      <c r="GY138" s="111"/>
      <c r="GZ138" s="112"/>
      <c r="HV138" s="111"/>
      <c r="HW138" s="111"/>
      <c r="HX138" s="112"/>
      <c r="IT138" s="111"/>
      <c r="IU138" s="111"/>
      <c r="IV138" s="112"/>
      <c r="JR138" s="111"/>
      <c r="JS138" s="111"/>
      <c r="JT138" s="112"/>
      <c r="KP138" s="111"/>
      <c r="KQ138" s="111"/>
      <c r="KR138" s="112"/>
      <c r="LN138" s="111"/>
      <c r="LO138" s="111"/>
      <c r="LP138" s="112"/>
    </row>
    <row r="139" spans="38:328" ht="18.75" customHeight="1">
      <c r="AL139" s="111"/>
      <c r="AM139" s="111"/>
      <c r="AN139" s="112"/>
      <c r="AO139" s="112"/>
      <c r="BJ139" s="111"/>
      <c r="BK139" s="111"/>
      <c r="BL139" s="112"/>
      <c r="BM139" s="112"/>
      <c r="CH139" s="111"/>
      <c r="CI139" s="111"/>
      <c r="CJ139" s="112"/>
      <c r="DF139" s="111"/>
      <c r="DG139" s="111"/>
      <c r="DH139" s="112"/>
      <c r="ED139" s="111"/>
      <c r="EE139" s="111"/>
      <c r="EF139" s="112"/>
      <c r="FB139" s="111"/>
      <c r="FC139" s="111"/>
      <c r="FD139" s="112"/>
      <c r="FZ139" s="111"/>
      <c r="GA139" s="111"/>
      <c r="GB139" s="112"/>
      <c r="GX139" s="111"/>
      <c r="GY139" s="111"/>
      <c r="GZ139" s="112"/>
      <c r="HV139" s="111"/>
      <c r="HW139" s="111"/>
      <c r="HX139" s="112"/>
      <c r="IT139" s="111"/>
      <c r="IU139" s="111"/>
      <c r="IV139" s="112"/>
      <c r="JR139" s="111"/>
      <c r="JS139" s="111"/>
      <c r="JT139" s="112"/>
      <c r="KP139" s="111"/>
      <c r="KQ139" s="111"/>
      <c r="KR139" s="112"/>
      <c r="LN139" s="111"/>
      <c r="LO139" s="111"/>
      <c r="LP139" s="112"/>
    </row>
    <row r="140" spans="38:328" ht="18.75" customHeight="1">
      <c r="AL140" s="111"/>
      <c r="AM140" s="111"/>
      <c r="AN140" s="112"/>
      <c r="AO140" s="112"/>
      <c r="BJ140" s="111"/>
      <c r="BK140" s="111"/>
      <c r="BL140" s="112"/>
      <c r="BM140" s="112"/>
      <c r="CH140" s="111"/>
      <c r="CI140" s="111"/>
      <c r="CJ140" s="112"/>
      <c r="DF140" s="111"/>
      <c r="DG140" s="111"/>
      <c r="DH140" s="112"/>
      <c r="ED140" s="111"/>
      <c r="EE140" s="111"/>
      <c r="EF140" s="112"/>
      <c r="FB140" s="111"/>
      <c r="FC140" s="111"/>
      <c r="FD140" s="112"/>
      <c r="FZ140" s="111"/>
      <c r="GA140" s="111"/>
      <c r="GB140" s="112"/>
      <c r="GX140" s="111"/>
      <c r="GY140" s="111"/>
      <c r="GZ140" s="112"/>
      <c r="HV140" s="111"/>
      <c r="HW140" s="111"/>
      <c r="HX140" s="112"/>
      <c r="IT140" s="111"/>
      <c r="IU140" s="111"/>
      <c r="IV140" s="112"/>
      <c r="JR140" s="111"/>
      <c r="JS140" s="111"/>
      <c r="JT140" s="112"/>
      <c r="KP140" s="111"/>
      <c r="KQ140" s="111"/>
      <c r="KR140" s="112"/>
      <c r="LN140" s="111"/>
      <c r="LO140" s="111"/>
      <c r="LP140" s="112"/>
    </row>
    <row r="141" spans="38:328" ht="18.75" customHeight="1">
      <c r="AL141" s="111"/>
      <c r="AM141" s="111"/>
      <c r="AN141" s="112"/>
      <c r="AO141" s="112"/>
      <c r="BJ141" s="111"/>
      <c r="BK141" s="111"/>
      <c r="BL141" s="112"/>
      <c r="BM141" s="112"/>
      <c r="CH141" s="111"/>
      <c r="CI141" s="111"/>
      <c r="CJ141" s="112"/>
      <c r="DF141" s="111"/>
      <c r="DG141" s="111"/>
      <c r="DH141" s="112"/>
      <c r="ED141" s="111"/>
      <c r="EE141" s="111"/>
      <c r="EF141" s="112"/>
      <c r="FB141" s="111"/>
      <c r="FC141" s="111"/>
      <c r="FD141" s="112"/>
      <c r="FZ141" s="111"/>
      <c r="GA141" s="111"/>
      <c r="GB141" s="112"/>
      <c r="GX141" s="111"/>
      <c r="GY141" s="111"/>
      <c r="GZ141" s="112"/>
      <c r="HV141" s="111"/>
      <c r="HW141" s="111"/>
      <c r="HX141" s="112"/>
      <c r="IT141" s="111"/>
      <c r="IU141" s="111"/>
      <c r="IV141" s="112"/>
      <c r="JR141" s="111"/>
      <c r="JS141" s="111"/>
      <c r="JT141" s="112"/>
      <c r="KP141" s="111"/>
      <c r="KQ141" s="111"/>
      <c r="KR141" s="112"/>
      <c r="LN141" s="111"/>
      <c r="LO141" s="111"/>
      <c r="LP141" s="112"/>
    </row>
    <row r="142" spans="38:328" ht="18.75" customHeight="1">
      <c r="AL142" s="111"/>
      <c r="AM142" s="111"/>
      <c r="AN142" s="112"/>
      <c r="AO142" s="112"/>
      <c r="BJ142" s="111"/>
      <c r="BK142" s="111"/>
      <c r="BL142" s="112"/>
      <c r="BM142" s="112"/>
      <c r="CH142" s="111"/>
      <c r="CI142" s="111"/>
      <c r="CJ142" s="112"/>
      <c r="DF142" s="111"/>
      <c r="DG142" s="111"/>
      <c r="DH142" s="112"/>
      <c r="ED142" s="111"/>
      <c r="EE142" s="111"/>
      <c r="EF142" s="112"/>
      <c r="FB142" s="111"/>
      <c r="FC142" s="111"/>
      <c r="FD142" s="112"/>
      <c r="FZ142" s="111"/>
      <c r="GA142" s="111"/>
      <c r="GB142" s="112"/>
      <c r="GX142" s="111"/>
      <c r="GY142" s="111"/>
      <c r="GZ142" s="112"/>
      <c r="HV142" s="111"/>
      <c r="HW142" s="111"/>
      <c r="HX142" s="112"/>
      <c r="IT142" s="111"/>
      <c r="IU142" s="111"/>
      <c r="IV142" s="112"/>
      <c r="JR142" s="111"/>
      <c r="JS142" s="111"/>
      <c r="JT142" s="112"/>
      <c r="KP142" s="111"/>
      <c r="KQ142" s="111"/>
      <c r="KR142" s="112"/>
      <c r="LN142" s="111"/>
      <c r="LO142" s="111"/>
      <c r="LP142" s="112"/>
    </row>
    <row r="143" spans="38:328" ht="18.75" customHeight="1">
      <c r="AL143" s="111"/>
      <c r="AM143" s="111"/>
      <c r="AN143" s="112"/>
      <c r="AO143" s="112"/>
      <c r="BJ143" s="111"/>
      <c r="BK143" s="111"/>
      <c r="BL143" s="112"/>
      <c r="BM143" s="112"/>
      <c r="CH143" s="111"/>
      <c r="CI143" s="111"/>
      <c r="CJ143" s="112"/>
      <c r="DF143" s="111"/>
      <c r="DG143" s="111"/>
      <c r="DH143" s="112"/>
      <c r="ED143" s="111"/>
      <c r="EE143" s="111"/>
      <c r="EF143" s="112"/>
      <c r="FB143" s="111"/>
      <c r="FC143" s="111"/>
      <c r="FD143" s="112"/>
      <c r="FZ143" s="111"/>
      <c r="GA143" s="111"/>
      <c r="GB143" s="112"/>
      <c r="GX143" s="111"/>
      <c r="GY143" s="111"/>
      <c r="GZ143" s="112"/>
      <c r="HV143" s="111"/>
      <c r="HW143" s="111"/>
      <c r="HX143" s="112"/>
      <c r="IT143" s="111"/>
      <c r="IU143" s="111"/>
      <c r="IV143" s="112"/>
      <c r="JR143" s="111"/>
      <c r="JS143" s="111"/>
      <c r="JT143" s="112"/>
      <c r="KP143" s="111"/>
      <c r="KQ143" s="111"/>
      <c r="KR143" s="112"/>
      <c r="LN143" s="111"/>
      <c r="LO143" s="111"/>
      <c r="LP143" s="112"/>
    </row>
    <row r="144" spans="38:328" ht="18.75" customHeight="1">
      <c r="AL144" s="111"/>
      <c r="AM144" s="111"/>
      <c r="AN144" s="112"/>
      <c r="AO144" s="112"/>
      <c r="BJ144" s="111"/>
      <c r="BK144" s="111"/>
      <c r="BL144" s="112"/>
      <c r="BM144" s="112"/>
      <c r="CH144" s="111"/>
      <c r="CI144" s="111"/>
      <c r="CJ144" s="112"/>
      <c r="DF144" s="111"/>
      <c r="DG144" s="111"/>
      <c r="DH144" s="112"/>
      <c r="ED144" s="111"/>
      <c r="EE144" s="111"/>
      <c r="EF144" s="112"/>
      <c r="FB144" s="111"/>
      <c r="FC144" s="111"/>
      <c r="FD144" s="112"/>
      <c r="FZ144" s="111"/>
      <c r="GA144" s="111"/>
      <c r="GB144" s="112"/>
      <c r="GX144" s="111"/>
      <c r="GY144" s="111"/>
      <c r="GZ144" s="112"/>
      <c r="HV144" s="111"/>
      <c r="HW144" s="111"/>
      <c r="HX144" s="112"/>
      <c r="IT144" s="111"/>
      <c r="IU144" s="111"/>
      <c r="IV144" s="112"/>
      <c r="JR144" s="111"/>
      <c r="JS144" s="111"/>
      <c r="JT144" s="112"/>
      <c r="KP144" s="111"/>
      <c r="KQ144" s="111"/>
      <c r="KR144" s="112"/>
      <c r="LN144" s="111"/>
      <c r="LO144" s="111"/>
      <c r="LP144" s="112"/>
    </row>
    <row r="145" spans="38:328" ht="18.75" customHeight="1">
      <c r="AL145" s="111"/>
      <c r="AM145" s="111"/>
      <c r="AN145" s="112"/>
      <c r="AO145" s="112"/>
      <c r="BJ145" s="111"/>
      <c r="BK145" s="111"/>
      <c r="BL145" s="112"/>
      <c r="BM145" s="112"/>
      <c r="CH145" s="111"/>
      <c r="CI145" s="111"/>
      <c r="CJ145" s="112"/>
      <c r="DF145" s="111"/>
      <c r="DG145" s="111"/>
      <c r="DH145" s="112"/>
      <c r="ED145" s="111"/>
      <c r="EE145" s="111"/>
      <c r="EF145" s="112"/>
      <c r="FB145" s="111"/>
      <c r="FC145" s="111"/>
      <c r="FD145" s="112"/>
      <c r="FZ145" s="111"/>
      <c r="GA145" s="111"/>
      <c r="GB145" s="112"/>
      <c r="GX145" s="111"/>
      <c r="GY145" s="111"/>
      <c r="GZ145" s="112"/>
      <c r="HV145" s="111"/>
      <c r="HW145" s="111"/>
      <c r="HX145" s="112"/>
      <c r="IT145" s="111"/>
      <c r="IU145" s="111"/>
      <c r="IV145" s="112"/>
      <c r="JR145" s="111"/>
      <c r="JS145" s="111"/>
      <c r="JT145" s="112"/>
      <c r="KP145" s="111"/>
      <c r="KQ145" s="111"/>
      <c r="KR145" s="112"/>
      <c r="LN145" s="111"/>
      <c r="LO145" s="111"/>
      <c r="LP145" s="112"/>
    </row>
    <row r="146" spans="38:328" ht="18.75" customHeight="1">
      <c r="AL146" s="111"/>
      <c r="AM146" s="111"/>
      <c r="AN146" s="112"/>
      <c r="AO146" s="112"/>
      <c r="BJ146" s="111"/>
      <c r="BK146" s="111"/>
      <c r="BL146" s="112"/>
      <c r="BM146" s="112"/>
      <c r="CH146" s="111"/>
      <c r="CI146" s="111"/>
      <c r="CJ146" s="112"/>
      <c r="DF146" s="111"/>
      <c r="DG146" s="111"/>
      <c r="DH146" s="112"/>
      <c r="ED146" s="111"/>
      <c r="EE146" s="111"/>
      <c r="EF146" s="112"/>
      <c r="FB146" s="111"/>
      <c r="FC146" s="111"/>
      <c r="FD146" s="112"/>
      <c r="FZ146" s="111"/>
      <c r="GA146" s="111"/>
      <c r="GB146" s="112"/>
      <c r="GX146" s="111"/>
      <c r="GY146" s="111"/>
      <c r="GZ146" s="112"/>
      <c r="HV146" s="111"/>
      <c r="HW146" s="111"/>
      <c r="HX146" s="112"/>
      <c r="IT146" s="111"/>
      <c r="IU146" s="111"/>
      <c r="IV146" s="112"/>
      <c r="JR146" s="111"/>
      <c r="JS146" s="111"/>
      <c r="JT146" s="112"/>
      <c r="KP146" s="111"/>
      <c r="KQ146" s="111"/>
      <c r="KR146" s="112"/>
      <c r="LN146" s="111"/>
      <c r="LO146" s="111"/>
      <c r="LP146" s="112"/>
    </row>
    <row r="147" spans="38:328" ht="18.75" customHeight="1">
      <c r="AL147" s="111"/>
      <c r="AM147" s="111"/>
      <c r="AN147" s="112"/>
      <c r="AO147" s="112"/>
      <c r="BJ147" s="111"/>
      <c r="BK147" s="111"/>
      <c r="BL147" s="112"/>
      <c r="BM147" s="112"/>
      <c r="CH147" s="111"/>
      <c r="CI147" s="111"/>
      <c r="CJ147" s="112"/>
      <c r="DF147" s="111"/>
      <c r="DG147" s="111"/>
      <c r="DH147" s="112"/>
      <c r="ED147" s="111"/>
      <c r="EE147" s="111"/>
      <c r="EF147" s="112"/>
      <c r="FB147" s="111"/>
      <c r="FC147" s="111"/>
      <c r="FD147" s="112"/>
      <c r="FZ147" s="111"/>
      <c r="GA147" s="111"/>
      <c r="GB147" s="112"/>
      <c r="GX147" s="111"/>
      <c r="GY147" s="111"/>
      <c r="GZ147" s="112"/>
      <c r="HV147" s="111"/>
      <c r="HW147" s="111"/>
      <c r="HX147" s="112"/>
      <c r="IT147" s="111"/>
      <c r="IU147" s="111"/>
      <c r="IV147" s="112"/>
      <c r="JR147" s="111"/>
      <c r="JS147" s="111"/>
      <c r="JT147" s="112"/>
      <c r="KP147" s="111"/>
      <c r="KQ147" s="111"/>
      <c r="KR147" s="112"/>
      <c r="LN147" s="111"/>
      <c r="LO147" s="111"/>
      <c r="LP147" s="112"/>
    </row>
    <row r="148" spans="38:328" ht="18.75" customHeight="1">
      <c r="AL148" s="111"/>
      <c r="AM148" s="111"/>
      <c r="AN148" s="112"/>
      <c r="AO148" s="112"/>
      <c r="BJ148" s="111"/>
      <c r="BK148" s="111"/>
      <c r="BL148" s="112"/>
      <c r="BM148" s="112"/>
      <c r="CH148" s="111"/>
      <c r="CI148" s="111"/>
      <c r="CJ148" s="112"/>
      <c r="DF148" s="111"/>
      <c r="DG148" s="111"/>
      <c r="DH148" s="112"/>
      <c r="ED148" s="111"/>
      <c r="EE148" s="111"/>
      <c r="EF148" s="112"/>
      <c r="FB148" s="111"/>
      <c r="FC148" s="111"/>
      <c r="FD148" s="112"/>
      <c r="FZ148" s="111"/>
      <c r="GA148" s="111"/>
      <c r="GB148" s="112"/>
      <c r="GX148" s="111"/>
      <c r="GY148" s="111"/>
      <c r="GZ148" s="112"/>
      <c r="HV148" s="111"/>
      <c r="HW148" s="111"/>
      <c r="HX148" s="112"/>
      <c r="IT148" s="111"/>
      <c r="IU148" s="111"/>
      <c r="IV148" s="112"/>
      <c r="JR148" s="111"/>
      <c r="JS148" s="111"/>
      <c r="JT148" s="112"/>
      <c r="KP148" s="111"/>
      <c r="KQ148" s="111"/>
      <c r="KR148" s="112"/>
      <c r="LN148" s="111"/>
      <c r="LO148" s="111"/>
      <c r="LP148" s="112"/>
    </row>
    <row r="149" spans="38:328" ht="18.75" customHeight="1">
      <c r="AL149" s="111"/>
      <c r="AM149" s="111"/>
      <c r="AN149" s="112"/>
      <c r="AO149" s="112"/>
      <c r="BJ149" s="111"/>
      <c r="BK149" s="111"/>
      <c r="BL149" s="112"/>
      <c r="BM149" s="112"/>
      <c r="CH149" s="111"/>
      <c r="CI149" s="111"/>
      <c r="CJ149" s="112"/>
      <c r="DF149" s="111"/>
      <c r="DG149" s="111"/>
      <c r="DH149" s="112"/>
      <c r="ED149" s="111"/>
      <c r="EE149" s="111"/>
      <c r="EF149" s="112"/>
      <c r="FB149" s="111"/>
      <c r="FC149" s="111"/>
      <c r="FD149" s="112"/>
      <c r="FZ149" s="111"/>
      <c r="GA149" s="111"/>
      <c r="GB149" s="112"/>
      <c r="GX149" s="111"/>
      <c r="GY149" s="111"/>
      <c r="GZ149" s="112"/>
      <c r="HV149" s="111"/>
      <c r="HW149" s="111"/>
      <c r="HX149" s="112"/>
      <c r="IT149" s="111"/>
      <c r="IU149" s="111"/>
      <c r="IV149" s="112"/>
      <c r="JR149" s="111"/>
      <c r="JS149" s="111"/>
      <c r="JT149" s="112"/>
      <c r="KP149" s="111"/>
      <c r="KQ149" s="111"/>
      <c r="KR149" s="112"/>
      <c r="LN149" s="111"/>
      <c r="LO149" s="111"/>
      <c r="LP149" s="112"/>
    </row>
    <row r="150" spans="38:328" ht="18.75" customHeight="1">
      <c r="AL150" s="111"/>
      <c r="AM150" s="111"/>
      <c r="AN150" s="112"/>
      <c r="AO150" s="112"/>
      <c r="BJ150" s="111"/>
      <c r="BK150" s="111"/>
      <c r="BL150" s="112"/>
      <c r="BM150" s="112"/>
      <c r="CH150" s="111"/>
      <c r="CI150" s="111"/>
      <c r="CJ150" s="112"/>
      <c r="DF150" s="111"/>
      <c r="DG150" s="111"/>
      <c r="DH150" s="112"/>
      <c r="ED150" s="111"/>
      <c r="EE150" s="111"/>
      <c r="EF150" s="112"/>
      <c r="FB150" s="111"/>
      <c r="FC150" s="111"/>
      <c r="FD150" s="112"/>
      <c r="FZ150" s="111"/>
      <c r="GA150" s="111"/>
      <c r="GB150" s="112"/>
      <c r="GX150" s="111"/>
      <c r="GY150" s="111"/>
      <c r="GZ150" s="112"/>
      <c r="HV150" s="111"/>
      <c r="HW150" s="111"/>
      <c r="HX150" s="112"/>
      <c r="IT150" s="111"/>
      <c r="IU150" s="111"/>
      <c r="IV150" s="112"/>
      <c r="JR150" s="111"/>
      <c r="JS150" s="111"/>
      <c r="JT150" s="112"/>
      <c r="KP150" s="111"/>
      <c r="KQ150" s="111"/>
      <c r="KR150" s="112"/>
      <c r="LN150" s="111"/>
      <c r="LO150" s="111"/>
      <c r="LP150" s="112"/>
    </row>
    <row r="151" spans="38:328" ht="18.75" customHeight="1">
      <c r="AL151" s="111"/>
      <c r="AM151" s="111"/>
      <c r="AN151" s="112"/>
      <c r="AO151" s="112"/>
      <c r="BJ151" s="111"/>
      <c r="BK151" s="111"/>
      <c r="BL151" s="112"/>
      <c r="BM151" s="112"/>
      <c r="CH151" s="111"/>
      <c r="CI151" s="111"/>
      <c r="CJ151" s="112"/>
      <c r="DF151" s="111"/>
      <c r="DG151" s="111"/>
      <c r="DH151" s="112"/>
      <c r="ED151" s="111"/>
      <c r="EE151" s="111"/>
      <c r="EF151" s="112"/>
      <c r="FB151" s="111"/>
      <c r="FC151" s="111"/>
      <c r="FD151" s="112"/>
      <c r="FZ151" s="111"/>
      <c r="GA151" s="111"/>
      <c r="GB151" s="112"/>
      <c r="GX151" s="111"/>
      <c r="GY151" s="111"/>
      <c r="GZ151" s="112"/>
      <c r="HV151" s="111"/>
      <c r="HW151" s="111"/>
      <c r="HX151" s="112"/>
      <c r="IT151" s="111"/>
      <c r="IU151" s="111"/>
      <c r="IV151" s="112"/>
      <c r="JR151" s="111"/>
      <c r="JS151" s="111"/>
      <c r="JT151" s="112"/>
      <c r="KP151" s="111"/>
      <c r="KQ151" s="111"/>
      <c r="KR151" s="112"/>
      <c r="LN151" s="111"/>
      <c r="LO151" s="111"/>
      <c r="LP151" s="112"/>
    </row>
    <row r="152" spans="38:328" ht="18.75" customHeight="1">
      <c r="AL152" s="111"/>
      <c r="AM152" s="111"/>
      <c r="AN152" s="112"/>
      <c r="AO152" s="112"/>
      <c r="BJ152" s="111"/>
      <c r="BK152" s="111"/>
      <c r="BL152" s="112"/>
      <c r="BM152" s="112"/>
      <c r="CH152" s="111"/>
      <c r="CI152" s="111"/>
      <c r="CJ152" s="112"/>
      <c r="DF152" s="111"/>
      <c r="DG152" s="111"/>
      <c r="DH152" s="112"/>
      <c r="ED152" s="111"/>
      <c r="EE152" s="111"/>
      <c r="EF152" s="112"/>
      <c r="FB152" s="111"/>
      <c r="FC152" s="111"/>
      <c r="FD152" s="112"/>
      <c r="FZ152" s="111"/>
      <c r="GA152" s="111"/>
      <c r="GB152" s="112"/>
      <c r="GX152" s="111"/>
      <c r="GY152" s="111"/>
      <c r="GZ152" s="112"/>
      <c r="HV152" s="111"/>
      <c r="HW152" s="111"/>
      <c r="HX152" s="112"/>
      <c r="IT152" s="111"/>
      <c r="IU152" s="111"/>
      <c r="IV152" s="112"/>
      <c r="JR152" s="111"/>
      <c r="JS152" s="111"/>
      <c r="JT152" s="112"/>
      <c r="KP152" s="111"/>
      <c r="KQ152" s="111"/>
      <c r="KR152" s="112"/>
      <c r="LN152" s="111"/>
      <c r="LO152" s="111"/>
      <c r="LP152" s="112"/>
    </row>
    <row r="153" spans="38:328" ht="18.75" customHeight="1">
      <c r="AL153" s="111"/>
      <c r="AM153" s="111"/>
      <c r="AN153" s="112"/>
      <c r="AO153" s="112"/>
      <c r="BJ153" s="111"/>
      <c r="BK153" s="111"/>
      <c r="BL153" s="112"/>
      <c r="BM153" s="112"/>
      <c r="CH153" s="111"/>
      <c r="CI153" s="111"/>
      <c r="CJ153" s="112"/>
      <c r="DF153" s="111"/>
      <c r="DG153" s="111"/>
      <c r="DH153" s="112"/>
      <c r="ED153" s="111"/>
      <c r="EE153" s="111"/>
      <c r="EF153" s="112"/>
      <c r="FB153" s="111"/>
      <c r="FC153" s="111"/>
      <c r="FD153" s="112"/>
      <c r="FZ153" s="111"/>
      <c r="GA153" s="111"/>
      <c r="GB153" s="112"/>
      <c r="GX153" s="111"/>
      <c r="GY153" s="111"/>
      <c r="GZ153" s="112"/>
      <c r="HV153" s="111"/>
      <c r="HW153" s="111"/>
      <c r="HX153" s="112"/>
      <c r="IT153" s="111"/>
      <c r="IU153" s="111"/>
      <c r="IV153" s="112"/>
      <c r="JR153" s="111"/>
      <c r="JS153" s="111"/>
      <c r="JT153" s="112"/>
      <c r="KP153" s="111"/>
      <c r="KQ153" s="111"/>
      <c r="KR153" s="112"/>
      <c r="LN153" s="111"/>
      <c r="LO153" s="111"/>
      <c r="LP153" s="112"/>
    </row>
    <row r="154" spans="38:328" ht="18.75" customHeight="1">
      <c r="AL154" s="111"/>
      <c r="AM154" s="111"/>
      <c r="AN154" s="112"/>
      <c r="AO154" s="112"/>
      <c r="BJ154" s="111"/>
      <c r="BK154" s="111"/>
      <c r="BL154" s="112"/>
      <c r="BM154" s="112"/>
      <c r="CH154" s="111"/>
      <c r="CI154" s="111"/>
      <c r="CJ154" s="112"/>
      <c r="DF154" s="111"/>
      <c r="DG154" s="111"/>
      <c r="DH154" s="112"/>
      <c r="ED154" s="111"/>
      <c r="EE154" s="111"/>
      <c r="EF154" s="112"/>
      <c r="FB154" s="111"/>
      <c r="FC154" s="111"/>
      <c r="FD154" s="112"/>
      <c r="FZ154" s="111"/>
      <c r="GA154" s="111"/>
      <c r="GB154" s="112"/>
      <c r="GX154" s="111"/>
      <c r="GY154" s="111"/>
      <c r="GZ154" s="112"/>
      <c r="HV154" s="111"/>
      <c r="HW154" s="111"/>
      <c r="HX154" s="112"/>
      <c r="IT154" s="111"/>
      <c r="IU154" s="111"/>
      <c r="IV154" s="112"/>
      <c r="JR154" s="111"/>
      <c r="JS154" s="111"/>
      <c r="JT154" s="112"/>
      <c r="KP154" s="111"/>
      <c r="KQ154" s="111"/>
      <c r="KR154" s="112"/>
      <c r="LN154" s="111"/>
      <c r="LO154" s="111"/>
      <c r="LP154" s="112"/>
    </row>
    <row r="155" spans="38:328" ht="18.75" customHeight="1">
      <c r="AL155" s="111"/>
      <c r="AM155" s="111"/>
      <c r="AN155" s="112"/>
      <c r="AO155" s="112"/>
      <c r="BJ155" s="111"/>
      <c r="BK155" s="111"/>
      <c r="BL155" s="112"/>
      <c r="BM155" s="112"/>
      <c r="CH155" s="111"/>
      <c r="CI155" s="111"/>
      <c r="CJ155" s="112"/>
      <c r="DF155" s="111"/>
      <c r="DG155" s="111"/>
      <c r="DH155" s="112"/>
      <c r="ED155" s="111"/>
      <c r="EE155" s="111"/>
      <c r="EF155" s="112"/>
      <c r="FB155" s="111"/>
      <c r="FC155" s="111"/>
      <c r="FD155" s="112"/>
      <c r="FZ155" s="111"/>
      <c r="GA155" s="111"/>
      <c r="GB155" s="112"/>
      <c r="GX155" s="111"/>
      <c r="GY155" s="111"/>
      <c r="GZ155" s="112"/>
      <c r="HV155" s="111"/>
      <c r="HW155" s="111"/>
      <c r="HX155" s="112"/>
      <c r="IT155" s="111"/>
      <c r="IU155" s="111"/>
      <c r="IV155" s="112"/>
      <c r="JR155" s="111"/>
      <c r="JS155" s="111"/>
      <c r="JT155" s="112"/>
      <c r="KP155" s="111"/>
      <c r="KQ155" s="111"/>
      <c r="KR155" s="112"/>
      <c r="LN155" s="111"/>
      <c r="LO155" s="111"/>
      <c r="LP155" s="112"/>
    </row>
    <row r="156" spans="38:328" ht="18.75" customHeight="1">
      <c r="AL156" s="111"/>
      <c r="AM156" s="111"/>
      <c r="AN156" s="112"/>
      <c r="AO156" s="112"/>
      <c r="BJ156" s="111"/>
      <c r="BK156" s="111"/>
      <c r="BL156" s="112"/>
      <c r="BM156" s="112"/>
      <c r="CH156" s="111"/>
      <c r="CI156" s="111"/>
      <c r="CJ156" s="112"/>
      <c r="DF156" s="111"/>
      <c r="DG156" s="111"/>
      <c r="DH156" s="112"/>
      <c r="ED156" s="111"/>
      <c r="EE156" s="111"/>
      <c r="EF156" s="112"/>
      <c r="FB156" s="111"/>
      <c r="FC156" s="111"/>
      <c r="FD156" s="112"/>
      <c r="FZ156" s="111"/>
      <c r="GA156" s="111"/>
      <c r="GB156" s="112"/>
      <c r="GX156" s="111"/>
      <c r="GY156" s="111"/>
      <c r="GZ156" s="112"/>
      <c r="HV156" s="111"/>
      <c r="HW156" s="111"/>
      <c r="HX156" s="112"/>
      <c r="IT156" s="111"/>
      <c r="IU156" s="111"/>
      <c r="IV156" s="112"/>
      <c r="JR156" s="111"/>
      <c r="JS156" s="111"/>
      <c r="JT156" s="112"/>
      <c r="KP156" s="111"/>
      <c r="KQ156" s="111"/>
      <c r="KR156" s="112"/>
      <c r="LN156" s="111"/>
      <c r="LO156" s="111"/>
      <c r="LP156" s="112"/>
    </row>
    <row r="157" spans="38:328" ht="18.75" customHeight="1">
      <c r="AL157" s="111"/>
      <c r="AM157" s="111"/>
      <c r="AN157" s="112"/>
      <c r="AO157" s="112"/>
      <c r="BJ157" s="111"/>
      <c r="BK157" s="111"/>
      <c r="BL157" s="112"/>
      <c r="BM157" s="112"/>
      <c r="CH157" s="111"/>
      <c r="CI157" s="111"/>
      <c r="CJ157" s="112"/>
      <c r="DF157" s="111"/>
      <c r="DG157" s="111"/>
      <c r="DH157" s="112"/>
      <c r="ED157" s="111"/>
      <c r="EE157" s="111"/>
      <c r="EF157" s="112"/>
      <c r="FB157" s="111"/>
      <c r="FC157" s="111"/>
      <c r="FD157" s="112"/>
      <c r="FZ157" s="111"/>
      <c r="GA157" s="111"/>
      <c r="GB157" s="112"/>
      <c r="GX157" s="111"/>
      <c r="GY157" s="111"/>
      <c r="GZ157" s="112"/>
      <c r="HV157" s="111"/>
      <c r="HW157" s="111"/>
      <c r="HX157" s="112"/>
      <c r="IT157" s="111"/>
      <c r="IU157" s="111"/>
      <c r="IV157" s="112"/>
      <c r="JR157" s="111"/>
      <c r="JS157" s="111"/>
      <c r="JT157" s="112"/>
      <c r="KP157" s="111"/>
      <c r="KQ157" s="111"/>
      <c r="KR157" s="112"/>
      <c r="LN157" s="111"/>
      <c r="LO157" s="111"/>
      <c r="LP157" s="112"/>
    </row>
    <row r="158" spans="38:328" ht="18.75" customHeight="1">
      <c r="AL158" s="111"/>
      <c r="AM158" s="111"/>
      <c r="AN158" s="112"/>
      <c r="AO158" s="112"/>
      <c r="BJ158" s="111"/>
      <c r="BK158" s="111"/>
      <c r="BL158" s="112"/>
      <c r="BM158" s="112"/>
      <c r="CH158" s="111"/>
      <c r="CI158" s="111"/>
      <c r="CJ158" s="112"/>
      <c r="DF158" s="111"/>
      <c r="DG158" s="111"/>
      <c r="DH158" s="112"/>
      <c r="ED158" s="111"/>
      <c r="EE158" s="111"/>
      <c r="EF158" s="112"/>
      <c r="FB158" s="111"/>
      <c r="FC158" s="111"/>
      <c r="FD158" s="112"/>
      <c r="FZ158" s="111"/>
      <c r="GA158" s="111"/>
      <c r="GB158" s="112"/>
      <c r="GX158" s="111"/>
      <c r="GY158" s="111"/>
      <c r="GZ158" s="112"/>
      <c r="HV158" s="111"/>
      <c r="HW158" s="111"/>
      <c r="HX158" s="112"/>
      <c r="IT158" s="111"/>
      <c r="IU158" s="111"/>
      <c r="IV158" s="112"/>
      <c r="JR158" s="111"/>
      <c r="JS158" s="111"/>
      <c r="JT158" s="112"/>
      <c r="KP158" s="111"/>
      <c r="KQ158" s="111"/>
      <c r="KR158" s="112"/>
      <c r="LN158" s="111"/>
      <c r="LO158" s="111"/>
      <c r="LP158" s="112"/>
    </row>
    <row r="159" spans="38:328" ht="18.75" customHeight="1">
      <c r="AL159" s="111"/>
      <c r="AM159" s="111"/>
      <c r="AN159" s="112"/>
      <c r="AO159" s="112"/>
      <c r="BJ159" s="111"/>
      <c r="BK159" s="111"/>
      <c r="BL159" s="112"/>
      <c r="BM159" s="112"/>
      <c r="CH159" s="111"/>
      <c r="CI159" s="111"/>
      <c r="CJ159" s="112"/>
      <c r="DF159" s="111"/>
      <c r="DG159" s="111"/>
      <c r="DH159" s="112"/>
      <c r="ED159" s="111"/>
      <c r="EE159" s="111"/>
      <c r="EF159" s="112"/>
      <c r="FB159" s="111"/>
      <c r="FC159" s="111"/>
      <c r="FD159" s="112"/>
      <c r="FZ159" s="111"/>
      <c r="GA159" s="111"/>
      <c r="GB159" s="112"/>
      <c r="GX159" s="111"/>
      <c r="GY159" s="111"/>
      <c r="GZ159" s="112"/>
      <c r="HV159" s="111"/>
      <c r="HW159" s="111"/>
      <c r="HX159" s="112"/>
      <c r="IT159" s="111"/>
      <c r="IU159" s="111"/>
      <c r="IV159" s="112"/>
      <c r="JR159" s="111"/>
      <c r="JS159" s="111"/>
      <c r="JT159" s="112"/>
      <c r="KP159" s="111"/>
      <c r="KQ159" s="111"/>
      <c r="KR159" s="112"/>
      <c r="LN159" s="111"/>
      <c r="LO159" s="111"/>
      <c r="LP159" s="112"/>
    </row>
    <row r="160" spans="38:328" ht="18.75" customHeight="1">
      <c r="AL160" s="111"/>
      <c r="AM160" s="111"/>
      <c r="AN160" s="112"/>
      <c r="AO160" s="112"/>
      <c r="BJ160" s="111"/>
      <c r="BK160" s="111"/>
      <c r="BL160" s="112"/>
      <c r="BM160" s="112"/>
      <c r="CH160" s="111"/>
      <c r="CI160" s="111"/>
      <c r="CJ160" s="112"/>
      <c r="DF160" s="111"/>
      <c r="DG160" s="111"/>
      <c r="DH160" s="112"/>
      <c r="ED160" s="111"/>
      <c r="EE160" s="111"/>
      <c r="EF160" s="112"/>
      <c r="FB160" s="111"/>
      <c r="FC160" s="111"/>
      <c r="FD160" s="112"/>
      <c r="FZ160" s="111"/>
      <c r="GA160" s="111"/>
      <c r="GB160" s="112"/>
      <c r="GX160" s="111"/>
      <c r="GY160" s="111"/>
      <c r="GZ160" s="112"/>
      <c r="HV160" s="111"/>
      <c r="HW160" s="111"/>
      <c r="HX160" s="112"/>
      <c r="IT160" s="111"/>
      <c r="IU160" s="111"/>
      <c r="IV160" s="112"/>
      <c r="JR160" s="111"/>
      <c r="JS160" s="111"/>
      <c r="JT160" s="112"/>
      <c r="KP160" s="111"/>
      <c r="KQ160" s="111"/>
      <c r="KR160" s="112"/>
      <c r="LN160" s="111"/>
      <c r="LO160" s="111"/>
      <c r="LP160" s="112"/>
    </row>
    <row r="161" spans="38:328" ht="18.75" customHeight="1">
      <c r="AL161" s="111"/>
      <c r="AM161" s="111"/>
      <c r="AN161" s="112"/>
      <c r="AO161" s="112"/>
      <c r="BJ161" s="111"/>
      <c r="BK161" s="111"/>
      <c r="BL161" s="112"/>
      <c r="BM161" s="112"/>
      <c r="CH161" s="111"/>
      <c r="CI161" s="111"/>
      <c r="CJ161" s="112"/>
      <c r="DF161" s="111"/>
      <c r="DG161" s="111"/>
      <c r="DH161" s="112"/>
      <c r="ED161" s="111"/>
      <c r="EE161" s="111"/>
      <c r="EF161" s="112"/>
      <c r="FB161" s="111"/>
      <c r="FC161" s="111"/>
      <c r="FD161" s="112"/>
      <c r="FZ161" s="111"/>
      <c r="GA161" s="111"/>
      <c r="GB161" s="112"/>
      <c r="GX161" s="111"/>
      <c r="GY161" s="111"/>
      <c r="GZ161" s="112"/>
      <c r="HV161" s="111"/>
      <c r="HW161" s="111"/>
      <c r="HX161" s="112"/>
      <c r="IT161" s="111"/>
      <c r="IU161" s="111"/>
      <c r="IV161" s="112"/>
      <c r="JR161" s="111"/>
      <c r="JS161" s="111"/>
      <c r="JT161" s="112"/>
      <c r="KP161" s="111"/>
      <c r="KQ161" s="111"/>
      <c r="KR161" s="112"/>
      <c r="LN161" s="111"/>
      <c r="LO161" s="111"/>
      <c r="LP161" s="112"/>
    </row>
    <row r="162" spans="38:328" ht="18.75" customHeight="1">
      <c r="AL162" s="111"/>
      <c r="AM162" s="111"/>
      <c r="AN162" s="112"/>
      <c r="AO162" s="112"/>
      <c r="BJ162" s="111"/>
      <c r="BK162" s="111"/>
      <c r="BL162" s="112"/>
      <c r="BM162" s="112"/>
      <c r="CH162" s="111"/>
      <c r="CI162" s="111"/>
      <c r="CJ162" s="112"/>
      <c r="DF162" s="111"/>
      <c r="DG162" s="111"/>
      <c r="DH162" s="112"/>
      <c r="ED162" s="111"/>
      <c r="EE162" s="111"/>
      <c r="EF162" s="112"/>
      <c r="FB162" s="111"/>
      <c r="FC162" s="111"/>
      <c r="FD162" s="112"/>
      <c r="FZ162" s="111"/>
      <c r="GA162" s="111"/>
      <c r="GB162" s="112"/>
      <c r="GX162" s="111"/>
      <c r="GY162" s="111"/>
      <c r="GZ162" s="112"/>
      <c r="HV162" s="111"/>
      <c r="HW162" s="111"/>
      <c r="HX162" s="112"/>
      <c r="IT162" s="111"/>
      <c r="IU162" s="111"/>
      <c r="IV162" s="112"/>
      <c r="JR162" s="111"/>
      <c r="JS162" s="111"/>
      <c r="JT162" s="112"/>
      <c r="KP162" s="111"/>
      <c r="KQ162" s="111"/>
      <c r="KR162" s="112"/>
      <c r="LN162" s="111"/>
      <c r="LO162" s="111"/>
      <c r="LP162" s="112"/>
    </row>
    <row r="163" spans="38:328" ht="18.75" customHeight="1">
      <c r="AL163" s="111"/>
      <c r="AM163" s="111"/>
      <c r="AN163" s="112"/>
      <c r="AO163" s="112"/>
      <c r="BJ163" s="111"/>
      <c r="BK163" s="111"/>
      <c r="BL163" s="112"/>
      <c r="BM163" s="112"/>
      <c r="CH163" s="111"/>
      <c r="CI163" s="111"/>
      <c r="CJ163" s="112"/>
      <c r="DF163" s="111"/>
      <c r="DG163" s="111"/>
      <c r="DH163" s="112"/>
      <c r="ED163" s="111"/>
      <c r="EE163" s="111"/>
      <c r="EF163" s="112"/>
      <c r="FB163" s="111"/>
      <c r="FC163" s="111"/>
      <c r="FD163" s="112"/>
      <c r="FZ163" s="111"/>
      <c r="GA163" s="111"/>
      <c r="GB163" s="112"/>
      <c r="GX163" s="111"/>
      <c r="GY163" s="111"/>
      <c r="GZ163" s="112"/>
      <c r="HV163" s="111"/>
      <c r="HW163" s="111"/>
      <c r="HX163" s="112"/>
      <c r="IT163" s="111"/>
      <c r="IU163" s="111"/>
      <c r="IV163" s="112"/>
      <c r="JR163" s="111"/>
      <c r="JS163" s="111"/>
      <c r="JT163" s="112"/>
      <c r="KP163" s="111"/>
      <c r="KQ163" s="111"/>
      <c r="KR163" s="112"/>
      <c r="LN163" s="111"/>
      <c r="LO163" s="111"/>
      <c r="LP163" s="112"/>
    </row>
    <row r="164" spans="38:328" ht="18.75" customHeight="1">
      <c r="AL164" s="111"/>
      <c r="AM164" s="111"/>
      <c r="AN164" s="112"/>
      <c r="AO164" s="112"/>
      <c r="BJ164" s="111"/>
      <c r="BK164" s="111"/>
      <c r="BL164" s="112"/>
      <c r="BM164" s="112"/>
      <c r="CH164" s="111"/>
      <c r="CI164" s="111"/>
      <c r="CJ164" s="112"/>
      <c r="DF164" s="111"/>
      <c r="DG164" s="111"/>
      <c r="DH164" s="112"/>
      <c r="ED164" s="111"/>
      <c r="EE164" s="111"/>
      <c r="EF164" s="112"/>
      <c r="FB164" s="111"/>
      <c r="FC164" s="111"/>
      <c r="FD164" s="112"/>
      <c r="FZ164" s="111"/>
      <c r="GA164" s="111"/>
      <c r="GB164" s="112"/>
      <c r="GX164" s="111"/>
      <c r="GY164" s="111"/>
      <c r="GZ164" s="112"/>
      <c r="HV164" s="111"/>
      <c r="HW164" s="111"/>
      <c r="HX164" s="112"/>
      <c r="IT164" s="111"/>
      <c r="IU164" s="111"/>
      <c r="IV164" s="112"/>
      <c r="JR164" s="111"/>
      <c r="JS164" s="111"/>
      <c r="JT164" s="112"/>
      <c r="KP164" s="111"/>
      <c r="KQ164" s="111"/>
      <c r="KR164" s="112"/>
      <c r="LN164" s="111"/>
      <c r="LO164" s="111"/>
      <c r="LP164" s="112"/>
    </row>
    <row r="165" spans="38:328" ht="18.75" customHeight="1">
      <c r="AL165" s="111"/>
      <c r="AM165" s="111"/>
      <c r="AN165" s="112"/>
      <c r="AO165" s="112"/>
      <c r="BJ165" s="111"/>
      <c r="BK165" s="111"/>
      <c r="BL165" s="112"/>
      <c r="BM165" s="112"/>
      <c r="CH165" s="111"/>
      <c r="CI165" s="111"/>
      <c r="CJ165" s="112"/>
      <c r="DF165" s="111"/>
      <c r="DG165" s="111"/>
      <c r="DH165" s="112"/>
      <c r="ED165" s="111"/>
      <c r="EE165" s="111"/>
      <c r="EF165" s="112"/>
      <c r="FB165" s="111"/>
      <c r="FC165" s="111"/>
      <c r="FD165" s="112"/>
      <c r="FZ165" s="111"/>
      <c r="GA165" s="111"/>
      <c r="GB165" s="112"/>
      <c r="GX165" s="111"/>
      <c r="GY165" s="111"/>
      <c r="GZ165" s="112"/>
      <c r="HV165" s="111"/>
      <c r="HW165" s="111"/>
      <c r="HX165" s="112"/>
      <c r="IT165" s="111"/>
      <c r="IU165" s="111"/>
      <c r="IV165" s="112"/>
      <c r="JR165" s="111"/>
      <c r="JS165" s="111"/>
      <c r="JT165" s="112"/>
      <c r="KP165" s="111"/>
      <c r="KQ165" s="111"/>
      <c r="KR165" s="112"/>
      <c r="LN165" s="111"/>
      <c r="LO165" s="111"/>
      <c r="LP165" s="112"/>
    </row>
    <row r="166" spans="38:328" ht="18.75" customHeight="1">
      <c r="AL166" s="111"/>
      <c r="AM166" s="111"/>
      <c r="AN166" s="112"/>
      <c r="AO166" s="112"/>
      <c r="BJ166" s="111"/>
      <c r="BK166" s="111"/>
      <c r="BL166" s="112"/>
      <c r="BM166" s="112"/>
      <c r="CH166" s="111"/>
      <c r="CI166" s="111"/>
      <c r="CJ166" s="112"/>
      <c r="DF166" s="111"/>
      <c r="DG166" s="111"/>
      <c r="DH166" s="112"/>
      <c r="ED166" s="111"/>
      <c r="EE166" s="111"/>
      <c r="EF166" s="112"/>
      <c r="FB166" s="111"/>
      <c r="FC166" s="111"/>
      <c r="FD166" s="112"/>
      <c r="FZ166" s="111"/>
      <c r="GA166" s="111"/>
      <c r="GB166" s="112"/>
      <c r="GX166" s="111"/>
      <c r="GY166" s="111"/>
      <c r="GZ166" s="112"/>
      <c r="HV166" s="111"/>
      <c r="HW166" s="111"/>
      <c r="HX166" s="112"/>
      <c r="IT166" s="111"/>
      <c r="IU166" s="111"/>
      <c r="IV166" s="112"/>
      <c r="JR166" s="111"/>
      <c r="JS166" s="111"/>
      <c r="JT166" s="112"/>
      <c r="KP166" s="111"/>
      <c r="KQ166" s="111"/>
      <c r="KR166" s="112"/>
      <c r="LN166" s="111"/>
      <c r="LO166" s="111"/>
      <c r="LP166" s="112"/>
    </row>
    <row r="167" spans="38:328" ht="18.75" customHeight="1">
      <c r="AL167" s="111"/>
      <c r="AM167" s="111"/>
      <c r="AN167" s="112"/>
      <c r="AO167" s="112"/>
      <c r="BJ167" s="111"/>
      <c r="BK167" s="111"/>
      <c r="BL167" s="112"/>
      <c r="BM167" s="112"/>
      <c r="CH167" s="111"/>
      <c r="CI167" s="111"/>
      <c r="CJ167" s="112"/>
      <c r="DF167" s="111"/>
      <c r="DG167" s="111"/>
      <c r="DH167" s="112"/>
      <c r="ED167" s="111"/>
      <c r="EE167" s="111"/>
      <c r="EF167" s="112"/>
      <c r="FB167" s="111"/>
      <c r="FC167" s="111"/>
      <c r="FD167" s="112"/>
      <c r="FZ167" s="111"/>
      <c r="GA167" s="111"/>
      <c r="GB167" s="112"/>
      <c r="GX167" s="111"/>
      <c r="GY167" s="111"/>
      <c r="GZ167" s="112"/>
      <c r="HV167" s="111"/>
      <c r="HW167" s="111"/>
      <c r="HX167" s="112"/>
      <c r="IT167" s="111"/>
      <c r="IU167" s="111"/>
      <c r="IV167" s="112"/>
      <c r="JR167" s="111"/>
      <c r="JS167" s="111"/>
      <c r="JT167" s="112"/>
      <c r="KP167" s="111"/>
      <c r="KQ167" s="111"/>
      <c r="KR167" s="112"/>
      <c r="LN167" s="111"/>
      <c r="LO167" s="111"/>
      <c r="LP167" s="112"/>
    </row>
    <row r="168" spans="38:328" ht="18.75" customHeight="1">
      <c r="AL168" s="111"/>
      <c r="AM168" s="111"/>
      <c r="AN168" s="112"/>
      <c r="AO168" s="112"/>
      <c r="BJ168" s="111"/>
      <c r="BK168" s="111"/>
      <c r="BL168" s="112"/>
      <c r="BM168" s="112"/>
      <c r="CH168" s="111"/>
      <c r="CI168" s="111"/>
      <c r="CJ168" s="112"/>
      <c r="DF168" s="111"/>
      <c r="DG168" s="111"/>
      <c r="DH168" s="112"/>
      <c r="ED168" s="111"/>
      <c r="EE168" s="111"/>
      <c r="EF168" s="112"/>
      <c r="FB168" s="111"/>
      <c r="FC168" s="111"/>
      <c r="FD168" s="112"/>
      <c r="FZ168" s="111"/>
      <c r="GA168" s="111"/>
      <c r="GB168" s="112"/>
      <c r="GX168" s="111"/>
      <c r="GY168" s="111"/>
      <c r="GZ168" s="112"/>
      <c r="HV168" s="111"/>
      <c r="HW168" s="111"/>
      <c r="HX168" s="112"/>
      <c r="IT168" s="111"/>
      <c r="IU168" s="111"/>
      <c r="IV168" s="112"/>
      <c r="JR168" s="111"/>
      <c r="JS168" s="111"/>
      <c r="JT168" s="112"/>
      <c r="KP168" s="111"/>
      <c r="KQ168" s="111"/>
      <c r="KR168" s="112"/>
      <c r="LN168" s="111"/>
      <c r="LO168" s="111"/>
      <c r="LP168" s="112"/>
    </row>
    <row r="169" spans="38:328" ht="18.75" customHeight="1">
      <c r="AL169" s="111"/>
      <c r="AM169" s="111"/>
      <c r="AN169" s="112"/>
      <c r="AO169" s="112"/>
      <c r="BJ169" s="111"/>
      <c r="BK169" s="111"/>
      <c r="BL169" s="112"/>
      <c r="BM169" s="112"/>
      <c r="CH169" s="111"/>
      <c r="CI169" s="111"/>
      <c r="CJ169" s="112"/>
      <c r="DF169" s="111"/>
      <c r="DG169" s="111"/>
      <c r="DH169" s="112"/>
      <c r="ED169" s="111"/>
      <c r="EE169" s="111"/>
      <c r="EF169" s="112"/>
      <c r="FB169" s="111"/>
      <c r="FC169" s="111"/>
      <c r="FD169" s="112"/>
      <c r="FZ169" s="111"/>
      <c r="GA169" s="111"/>
      <c r="GB169" s="112"/>
      <c r="GX169" s="111"/>
      <c r="GY169" s="111"/>
      <c r="GZ169" s="112"/>
      <c r="HV169" s="111"/>
      <c r="HW169" s="111"/>
      <c r="HX169" s="112"/>
      <c r="IT169" s="111"/>
      <c r="IU169" s="111"/>
      <c r="IV169" s="112"/>
      <c r="JR169" s="111"/>
      <c r="JS169" s="111"/>
      <c r="JT169" s="112"/>
      <c r="KP169" s="111"/>
      <c r="KQ169" s="111"/>
      <c r="KR169" s="112"/>
      <c r="LN169" s="111"/>
      <c r="LO169" s="111"/>
      <c r="LP169" s="112"/>
    </row>
    <row r="170" spans="38:328" ht="18.75" customHeight="1">
      <c r="AL170" s="111"/>
      <c r="AM170" s="111"/>
      <c r="AN170" s="112"/>
      <c r="AO170" s="112"/>
      <c r="BJ170" s="111"/>
      <c r="BK170" s="111"/>
      <c r="BL170" s="112"/>
      <c r="BM170" s="112"/>
      <c r="CH170" s="111"/>
      <c r="CI170" s="111"/>
      <c r="CJ170" s="112"/>
      <c r="DF170" s="111"/>
      <c r="DG170" s="111"/>
      <c r="DH170" s="112"/>
      <c r="ED170" s="111"/>
      <c r="EE170" s="111"/>
      <c r="EF170" s="112"/>
      <c r="FB170" s="111"/>
      <c r="FC170" s="111"/>
      <c r="FD170" s="112"/>
      <c r="FZ170" s="111"/>
      <c r="GA170" s="111"/>
      <c r="GB170" s="112"/>
      <c r="GX170" s="111"/>
      <c r="GY170" s="111"/>
      <c r="GZ170" s="112"/>
      <c r="HV170" s="111"/>
      <c r="HW170" s="111"/>
      <c r="HX170" s="112"/>
      <c r="IT170" s="111"/>
      <c r="IU170" s="111"/>
      <c r="IV170" s="112"/>
      <c r="JR170" s="111"/>
      <c r="JS170" s="111"/>
      <c r="JT170" s="112"/>
      <c r="KP170" s="111"/>
      <c r="KQ170" s="111"/>
      <c r="KR170" s="112"/>
      <c r="LN170" s="111"/>
      <c r="LO170" s="111"/>
      <c r="LP170" s="112"/>
    </row>
    <row r="171" spans="38:328" ht="18.75" customHeight="1">
      <c r="AL171" s="111"/>
      <c r="AM171" s="111"/>
      <c r="AN171" s="112"/>
      <c r="AO171" s="112"/>
      <c r="BJ171" s="111"/>
      <c r="BK171" s="111"/>
      <c r="BL171" s="112"/>
      <c r="BM171" s="112"/>
      <c r="CH171" s="111"/>
      <c r="CI171" s="111"/>
      <c r="CJ171" s="112"/>
      <c r="DF171" s="111"/>
      <c r="DG171" s="111"/>
      <c r="DH171" s="112"/>
      <c r="ED171" s="111"/>
      <c r="EE171" s="111"/>
      <c r="EF171" s="112"/>
      <c r="FB171" s="111"/>
      <c r="FC171" s="111"/>
      <c r="FD171" s="112"/>
      <c r="FZ171" s="111"/>
      <c r="GA171" s="111"/>
      <c r="GB171" s="112"/>
      <c r="GX171" s="111"/>
      <c r="GY171" s="111"/>
      <c r="GZ171" s="112"/>
      <c r="HV171" s="111"/>
      <c r="HW171" s="111"/>
      <c r="HX171" s="112"/>
      <c r="IT171" s="111"/>
      <c r="IU171" s="111"/>
      <c r="IV171" s="112"/>
      <c r="JR171" s="111"/>
      <c r="JS171" s="111"/>
      <c r="JT171" s="112"/>
      <c r="KP171" s="111"/>
      <c r="KQ171" s="111"/>
      <c r="KR171" s="112"/>
      <c r="LN171" s="111"/>
      <c r="LO171" s="111"/>
      <c r="LP171" s="112"/>
    </row>
    <row r="172" spans="38:328" ht="18.75" customHeight="1">
      <c r="AL172" s="111"/>
      <c r="AM172" s="111"/>
      <c r="AN172" s="112"/>
      <c r="AO172" s="112"/>
      <c r="BJ172" s="111"/>
      <c r="BK172" s="111"/>
      <c r="BL172" s="112"/>
      <c r="BM172" s="112"/>
      <c r="CH172" s="111"/>
      <c r="CI172" s="111"/>
      <c r="CJ172" s="112"/>
      <c r="DF172" s="111"/>
      <c r="DG172" s="111"/>
      <c r="DH172" s="112"/>
      <c r="ED172" s="111"/>
      <c r="EE172" s="111"/>
      <c r="EF172" s="112"/>
      <c r="FB172" s="111"/>
      <c r="FC172" s="111"/>
      <c r="FD172" s="112"/>
      <c r="FZ172" s="111"/>
      <c r="GA172" s="111"/>
      <c r="GB172" s="112"/>
      <c r="GX172" s="111"/>
      <c r="GY172" s="111"/>
      <c r="GZ172" s="112"/>
      <c r="HV172" s="111"/>
      <c r="HW172" s="111"/>
      <c r="HX172" s="112"/>
      <c r="IT172" s="111"/>
      <c r="IU172" s="111"/>
      <c r="IV172" s="112"/>
      <c r="JR172" s="111"/>
      <c r="JS172" s="111"/>
      <c r="JT172" s="112"/>
      <c r="KP172" s="111"/>
      <c r="KQ172" s="111"/>
      <c r="KR172" s="112"/>
      <c r="LN172" s="111"/>
      <c r="LO172" s="111"/>
      <c r="LP172" s="112"/>
    </row>
    <row r="173" spans="38:328" ht="18.75" customHeight="1">
      <c r="AL173" s="111"/>
      <c r="AM173" s="111"/>
      <c r="AN173" s="112"/>
      <c r="AO173" s="112"/>
      <c r="BJ173" s="111"/>
      <c r="BK173" s="111"/>
      <c r="BL173" s="112"/>
      <c r="BM173" s="112"/>
      <c r="CH173" s="111"/>
      <c r="CI173" s="111"/>
      <c r="CJ173" s="112"/>
      <c r="DF173" s="111"/>
      <c r="DG173" s="111"/>
      <c r="DH173" s="112"/>
      <c r="ED173" s="111"/>
      <c r="EE173" s="111"/>
      <c r="EF173" s="112"/>
      <c r="FB173" s="111"/>
      <c r="FC173" s="111"/>
      <c r="FD173" s="112"/>
      <c r="FZ173" s="111"/>
      <c r="GA173" s="111"/>
      <c r="GB173" s="112"/>
      <c r="GX173" s="111"/>
      <c r="GY173" s="111"/>
      <c r="GZ173" s="112"/>
      <c r="HV173" s="111"/>
      <c r="HW173" s="111"/>
      <c r="HX173" s="112"/>
      <c r="IT173" s="111"/>
      <c r="IU173" s="111"/>
      <c r="IV173" s="112"/>
      <c r="JR173" s="111"/>
      <c r="JS173" s="111"/>
      <c r="JT173" s="112"/>
      <c r="KP173" s="111"/>
      <c r="KQ173" s="111"/>
      <c r="KR173" s="112"/>
      <c r="LN173" s="111"/>
      <c r="LO173" s="111"/>
      <c r="LP173" s="112"/>
    </row>
    <row r="174" spans="38:328" ht="18.75" customHeight="1">
      <c r="AL174" s="111"/>
      <c r="AM174" s="111"/>
      <c r="AN174" s="112"/>
      <c r="AO174" s="112"/>
      <c r="BJ174" s="111"/>
      <c r="BK174" s="111"/>
      <c r="BL174" s="112"/>
      <c r="BM174" s="112"/>
      <c r="CH174" s="111"/>
      <c r="CI174" s="111"/>
      <c r="CJ174" s="112"/>
      <c r="DF174" s="111"/>
      <c r="DG174" s="111"/>
      <c r="DH174" s="112"/>
      <c r="ED174" s="111"/>
      <c r="EE174" s="111"/>
      <c r="EF174" s="112"/>
      <c r="FB174" s="111"/>
      <c r="FC174" s="111"/>
      <c r="FD174" s="112"/>
      <c r="FZ174" s="111"/>
      <c r="GA174" s="111"/>
      <c r="GB174" s="112"/>
      <c r="GX174" s="111"/>
      <c r="GY174" s="111"/>
      <c r="GZ174" s="112"/>
      <c r="HV174" s="111"/>
      <c r="HW174" s="111"/>
      <c r="HX174" s="112"/>
      <c r="IT174" s="111"/>
      <c r="IU174" s="111"/>
      <c r="IV174" s="112"/>
      <c r="JR174" s="111"/>
      <c r="JS174" s="111"/>
      <c r="JT174" s="112"/>
      <c r="KP174" s="111"/>
      <c r="KQ174" s="111"/>
      <c r="KR174" s="112"/>
      <c r="LN174" s="111"/>
      <c r="LO174" s="111"/>
      <c r="LP174" s="112"/>
    </row>
    <row r="175" spans="38:328" ht="18.75" customHeight="1">
      <c r="AL175" s="111"/>
      <c r="AM175" s="111"/>
      <c r="AN175" s="112"/>
      <c r="AO175" s="112"/>
      <c r="BJ175" s="111"/>
      <c r="BK175" s="111"/>
      <c r="BL175" s="112"/>
      <c r="BM175" s="112"/>
      <c r="CH175" s="111"/>
      <c r="CI175" s="111"/>
      <c r="CJ175" s="112"/>
      <c r="DF175" s="111"/>
      <c r="DG175" s="111"/>
      <c r="DH175" s="112"/>
      <c r="ED175" s="111"/>
      <c r="EE175" s="111"/>
      <c r="EF175" s="112"/>
      <c r="FB175" s="111"/>
      <c r="FC175" s="111"/>
      <c r="FD175" s="112"/>
      <c r="FZ175" s="111"/>
      <c r="GA175" s="111"/>
      <c r="GB175" s="112"/>
      <c r="GX175" s="111"/>
      <c r="GY175" s="111"/>
      <c r="GZ175" s="112"/>
      <c r="HV175" s="111"/>
      <c r="HW175" s="111"/>
      <c r="HX175" s="112"/>
      <c r="IT175" s="111"/>
      <c r="IU175" s="111"/>
      <c r="IV175" s="112"/>
      <c r="JR175" s="111"/>
      <c r="JS175" s="111"/>
      <c r="JT175" s="112"/>
      <c r="KP175" s="111"/>
      <c r="KQ175" s="111"/>
      <c r="KR175" s="112"/>
      <c r="LN175" s="111"/>
      <c r="LO175" s="111"/>
      <c r="LP175" s="112"/>
    </row>
    <row r="176" spans="38:328" ht="18.75" customHeight="1">
      <c r="AL176" s="111"/>
      <c r="AM176" s="111"/>
      <c r="AN176" s="112"/>
      <c r="AO176" s="112"/>
      <c r="BJ176" s="111"/>
      <c r="BK176" s="111"/>
      <c r="BL176" s="112"/>
      <c r="BM176" s="112"/>
      <c r="CH176" s="111"/>
      <c r="CI176" s="111"/>
      <c r="CJ176" s="112"/>
      <c r="DF176" s="111"/>
      <c r="DG176" s="111"/>
      <c r="DH176" s="112"/>
      <c r="ED176" s="111"/>
      <c r="EE176" s="111"/>
      <c r="EF176" s="112"/>
      <c r="FB176" s="111"/>
      <c r="FC176" s="111"/>
      <c r="FD176" s="112"/>
      <c r="FZ176" s="111"/>
      <c r="GA176" s="111"/>
      <c r="GB176" s="112"/>
      <c r="GX176" s="111"/>
      <c r="GY176" s="111"/>
      <c r="GZ176" s="112"/>
      <c r="HV176" s="111"/>
      <c r="HW176" s="111"/>
      <c r="HX176" s="112"/>
      <c r="IT176" s="111"/>
      <c r="IU176" s="111"/>
      <c r="IV176" s="112"/>
      <c r="JR176" s="111"/>
      <c r="JS176" s="111"/>
      <c r="JT176" s="112"/>
      <c r="KP176" s="111"/>
      <c r="KQ176" s="111"/>
      <c r="KR176" s="112"/>
      <c r="LN176" s="111"/>
      <c r="LO176" s="111"/>
      <c r="LP176" s="112"/>
    </row>
    <row r="177" spans="38:328" ht="18.75" customHeight="1">
      <c r="AL177" s="111"/>
      <c r="AM177" s="111"/>
      <c r="AN177" s="112"/>
      <c r="AO177" s="112"/>
      <c r="BJ177" s="111"/>
      <c r="BK177" s="111"/>
      <c r="BL177" s="112"/>
      <c r="BM177" s="112"/>
      <c r="CH177" s="111"/>
      <c r="CI177" s="111"/>
      <c r="CJ177" s="112"/>
      <c r="DF177" s="111"/>
      <c r="DG177" s="111"/>
      <c r="DH177" s="112"/>
      <c r="ED177" s="111"/>
      <c r="EE177" s="111"/>
      <c r="EF177" s="112"/>
      <c r="FB177" s="111"/>
      <c r="FC177" s="111"/>
      <c r="FD177" s="112"/>
      <c r="FZ177" s="111"/>
      <c r="GA177" s="111"/>
      <c r="GB177" s="112"/>
      <c r="GX177" s="111"/>
      <c r="GY177" s="111"/>
      <c r="GZ177" s="112"/>
      <c r="HV177" s="111"/>
      <c r="HW177" s="111"/>
      <c r="HX177" s="112"/>
      <c r="IT177" s="111"/>
      <c r="IU177" s="111"/>
      <c r="IV177" s="112"/>
      <c r="JR177" s="111"/>
      <c r="JS177" s="111"/>
      <c r="JT177" s="112"/>
      <c r="KP177" s="111"/>
      <c r="KQ177" s="111"/>
      <c r="KR177" s="112"/>
      <c r="LN177" s="111"/>
      <c r="LO177" s="111"/>
      <c r="LP177" s="112"/>
    </row>
    <row r="178" spans="38:328" ht="18.75" customHeight="1">
      <c r="AL178" s="111"/>
      <c r="AM178" s="111"/>
      <c r="AN178" s="112"/>
      <c r="AO178" s="112"/>
      <c r="BJ178" s="111"/>
      <c r="BK178" s="111"/>
      <c r="BL178" s="112"/>
      <c r="BM178" s="112"/>
      <c r="CH178" s="111"/>
      <c r="CI178" s="111"/>
      <c r="CJ178" s="112"/>
      <c r="DF178" s="111"/>
      <c r="DG178" s="111"/>
      <c r="DH178" s="112"/>
      <c r="ED178" s="111"/>
      <c r="EE178" s="111"/>
      <c r="EF178" s="112"/>
      <c r="FB178" s="111"/>
      <c r="FC178" s="111"/>
      <c r="FD178" s="112"/>
      <c r="FZ178" s="111"/>
      <c r="GA178" s="111"/>
      <c r="GB178" s="112"/>
      <c r="GX178" s="111"/>
      <c r="GY178" s="111"/>
      <c r="GZ178" s="112"/>
      <c r="HV178" s="111"/>
      <c r="HW178" s="111"/>
      <c r="HX178" s="112"/>
      <c r="IT178" s="111"/>
      <c r="IU178" s="111"/>
      <c r="IV178" s="112"/>
      <c r="JR178" s="111"/>
      <c r="JS178" s="111"/>
      <c r="JT178" s="112"/>
      <c r="KP178" s="111"/>
      <c r="KQ178" s="111"/>
      <c r="KR178" s="112"/>
      <c r="LN178" s="111"/>
      <c r="LO178" s="111"/>
      <c r="LP178" s="112"/>
    </row>
    <row r="179" spans="38:328" ht="18.75" customHeight="1">
      <c r="AL179" s="111"/>
      <c r="AM179" s="111"/>
      <c r="AN179" s="112"/>
      <c r="AO179" s="112"/>
      <c r="BJ179" s="111"/>
      <c r="BK179" s="111"/>
      <c r="BL179" s="112"/>
      <c r="BM179" s="112"/>
      <c r="CH179" s="111"/>
      <c r="CI179" s="111"/>
      <c r="CJ179" s="112"/>
      <c r="DF179" s="111"/>
      <c r="DG179" s="111"/>
      <c r="DH179" s="112"/>
      <c r="ED179" s="111"/>
      <c r="EE179" s="111"/>
      <c r="EF179" s="112"/>
      <c r="FB179" s="111"/>
      <c r="FC179" s="111"/>
      <c r="FD179" s="112"/>
      <c r="FZ179" s="111"/>
      <c r="GA179" s="111"/>
      <c r="GB179" s="112"/>
      <c r="GX179" s="111"/>
      <c r="GY179" s="111"/>
      <c r="GZ179" s="112"/>
      <c r="HV179" s="111"/>
      <c r="HW179" s="111"/>
      <c r="HX179" s="112"/>
      <c r="IT179" s="111"/>
      <c r="IU179" s="111"/>
      <c r="IV179" s="112"/>
      <c r="JR179" s="111"/>
      <c r="JS179" s="111"/>
      <c r="JT179" s="112"/>
      <c r="KP179" s="111"/>
      <c r="KQ179" s="111"/>
      <c r="KR179" s="112"/>
      <c r="LN179" s="111"/>
      <c r="LO179" s="111"/>
      <c r="LP179" s="112"/>
    </row>
    <row r="180" spans="38:328" ht="18.75" customHeight="1">
      <c r="AL180" s="111"/>
      <c r="AM180" s="111"/>
      <c r="AN180" s="112"/>
      <c r="AO180" s="112"/>
      <c r="BJ180" s="111"/>
      <c r="BK180" s="111"/>
      <c r="BL180" s="112"/>
      <c r="BM180" s="112"/>
      <c r="CH180" s="111"/>
      <c r="CI180" s="111"/>
      <c r="CJ180" s="112"/>
      <c r="DF180" s="111"/>
      <c r="DG180" s="111"/>
      <c r="DH180" s="112"/>
      <c r="ED180" s="111"/>
      <c r="EE180" s="111"/>
      <c r="EF180" s="112"/>
      <c r="FB180" s="111"/>
      <c r="FC180" s="111"/>
      <c r="FD180" s="112"/>
      <c r="FZ180" s="111"/>
      <c r="GA180" s="111"/>
      <c r="GB180" s="112"/>
      <c r="GX180" s="111"/>
      <c r="GY180" s="111"/>
      <c r="GZ180" s="112"/>
      <c r="HV180" s="111"/>
      <c r="HW180" s="111"/>
      <c r="HX180" s="112"/>
      <c r="IT180" s="111"/>
      <c r="IU180" s="111"/>
      <c r="IV180" s="112"/>
      <c r="JR180" s="111"/>
      <c r="JS180" s="111"/>
      <c r="JT180" s="112"/>
      <c r="KP180" s="111"/>
      <c r="KQ180" s="111"/>
      <c r="KR180" s="112"/>
      <c r="LN180" s="111"/>
      <c r="LO180" s="111"/>
      <c r="LP180" s="112"/>
    </row>
    <row r="181" spans="38:328" ht="18.75" customHeight="1">
      <c r="AL181" s="111"/>
      <c r="AM181" s="111"/>
      <c r="AN181" s="112"/>
      <c r="AO181" s="112"/>
      <c r="BJ181" s="111"/>
      <c r="BK181" s="111"/>
      <c r="BL181" s="112"/>
      <c r="BM181" s="112"/>
      <c r="CH181" s="111"/>
      <c r="CI181" s="111"/>
      <c r="CJ181" s="112"/>
      <c r="DF181" s="111"/>
      <c r="DG181" s="111"/>
      <c r="DH181" s="112"/>
      <c r="ED181" s="111"/>
      <c r="EE181" s="111"/>
      <c r="EF181" s="112"/>
      <c r="FB181" s="111"/>
      <c r="FC181" s="111"/>
      <c r="FD181" s="112"/>
      <c r="FZ181" s="111"/>
      <c r="GA181" s="111"/>
      <c r="GB181" s="112"/>
      <c r="GX181" s="111"/>
      <c r="GY181" s="111"/>
      <c r="GZ181" s="112"/>
      <c r="HV181" s="111"/>
      <c r="HW181" s="111"/>
      <c r="HX181" s="112"/>
      <c r="IT181" s="111"/>
      <c r="IU181" s="111"/>
      <c r="IV181" s="112"/>
      <c r="JR181" s="111"/>
      <c r="JS181" s="111"/>
      <c r="JT181" s="112"/>
      <c r="KP181" s="111"/>
      <c r="KQ181" s="111"/>
      <c r="KR181" s="112"/>
      <c r="LN181" s="111"/>
      <c r="LO181" s="111"/>
      <c r="LP181" s="112"/>
    </row>
    <row r="182" spans="38:328" ht="18.75" customHeight="1">
      <c r="AL182" s="111"/>
      <c r="AM182" s="111"/>
      <c r="AN182" s="112"/>
      <c r="AO182" s="112"/>
      <c r="BJ182" s="111"/>
      <c r="BK182" s="111"/>
      <c r="BL182" s="112"/>
      <c r="BM182" s="112"/>
      <c r="CH182" s="111"/>
      <c r="CI182" s="111"/>
      <c r="CJ182" s="112"/>
      <c r="DF182" s="111"/>
      <c r="DG182" s="111"/>
      <c r="DH182" s="112"/>
      <c r="ED182" s="111"/>
      <c r="EE182" s="111"/>
      <c r="EF182" s="112"/>
      <c r="FB182" s="111"/>
      <c r="FC182" s="111"/>
      <c r="FD182" s="112"/>
      <c r="FZ182" s="111"/>
      <c r="GA182" s="111"/>
      <c r="GB182" s="112"/>
      <c r="GX182" s="111"/>
      <c r="GY182" s="111"/>
      <c r="GZ182" s="112"/>
      <c r="HV182" s="111"/>
      <c r="HW182" s="111"/>
      <c r="HX182" s="112"/>
      <c r="IT182" s="111"/>
      <c r="IU182" s="111"/>
      <c r="IV182" s="112"/>
      <c r="JR182" s="111"/>
      <c r="JS182" s="111"/>
      <c r="JT182" s="112"/>
      <c r="KP182" s="111"/>
      <c r="KQ182" s="111"/>
      <c r="KR182" s="112"/>
      <c r="LN182" s="111"/>
      <c r="LO182" s="111"/>
      <c r="LP182" s="112"/>
    </row>
    <row r="183" spans="38:328" ht="18.75" customHeight="1">
      <c r="AL183" s="111"/>
      <c r="AM183" s="111"/>
      <c r="AN183" s="112"/>
      <c r="AO183" s="112"/>
      <c r="BJ183" s="111"/>
      <c r="BK183" s="111"/>
      <c r="BL183" s="112"/>
      <c r="BM183" s="112"/>
      <c r="CH183" s="111"/>
      <c r="CI183" s="111"/>
      <c r="CJ183" s="112"/>
      <c r="DF183" s="111"/>
      <c r="DG183" s="111"/>
      <c r="DH183" s="112"/>
      <c r="ED183" s="111"/>
      <c r="EE183" s="111"/>
      <c r="EF183" s="112"/>
      <c r="FB183" s="111"/>
      <c r="FC183" s="111"/>
      <c r="FD183" s="112"/>
      <c r="FZ183" s="111"/>
      <c r="GA183" s="111"/>
      <c r="GB183" s="112"/>
      <c r="GX183" s="111"/>
      <c r="GY183" s="111"/>
      <c r="GZ183" s="112"/>
      <c r="HV183" s="111"/>
      <c r="HW183" s="111"/>
      <c r="HX183" s="112"/>
      <c r="IT183" s="111"/>
      <c r="IU183" s="111"/>
      <c r="IV183" s="112"/>
      <c r="JR183" s="111"/>
      <c r="JS183" s="111"/>
      <c r="JT183" s="112"/>
      <c r="KP183" s="111"/>
      <c r="KQ183" s="111"/>
      <c r="KR183" s="112"/>
      <c r="LN183" s="111"/>
      <c r="LO183" s="111"/>
      <c r="LP183" s="112"/>
    </row>
    <row r="184" spans="38:328" ht="18.75" customHeight="1">
      <c r="AL184" s="111"/>
      <c r="AM184" s="111"/>
      <c r="AN184" s="112"/>
      <c r="AO184" s="112"/>
      <c r="BJ184" s="111"/>
      <c r="BK184" s="111"/>
      <c r="BL184" s="112"/>
      <c r="BM184" s="112"/>
      <c r="CH184" s="111"/>
      <c r="CI184" s="111"/>
      <c r="CJ184" s="112"/>
      <c r="DF184" s="111"/>
      <c r="DG184" s="111"/>
      <c r="DH184" s="112"/>
      <c r="ED184" s="111"/>
      <c r="EE184" s="111"/>
      <c r="EF184" s="112"/>
      <c r="FB184" s="111"/>
      <c r="FC184" s="111"/>
      <c r="FD184" s="112"/>
      <c r="FZ184" s="111"/>
      <c r="GA184" s="111"/>
      <c r="GB184" s="112"/>
      <c r="GX184" s="111"/>
      <c r="GY184" s="111"/>
      <c r="GZ184" s="112"/>
      <c r="HV184" s="111"/>
      <c r="HW184" s="111"/>
      <c r="HX184" s="112"/>
      <c r="IT184" s="111"/>
      <c r="IU184" s="111"/>
      <c r="IV184" s="112"/>
      <c r="JR184" s="111"/>
      <c r="JS184" s="111"/>
      <c r="JT184" s="112"/>
      <c r="KP184" s="111"/>
      <c r="KQ184" s="111"/>
      <c r="KR184" s="112"/>
      <c r="LN184" s="111"/>
      <c r="LO184" s="111"/>
      <c r="LP184" s="112"/>
    </row>
    <row r="185" spans="38:328" ht="18.75" customHeight="1">
      <c r="AL185" s="111"/>
      <c r="AM185" s="111"/>
      <c r="AN185" s="112"/>
      <c r="AO185" s="112"/>
      <c r="BJ185" s="111"/>
      <c r="BK185" s="111"/>
      <c r="BL185" s="112"/>
      <c r="BM185" s="112"/>
      <c r="CH185" s="111"/>
      <c r="CI185" s="111"/>
      <c r="CJ185" s="112"/>
      <c r="DF185" s="111"/>
      <c r="DG185" s="111"/>
      <c r="DH185" s="112"/>
      <c r="ED185" s="111"/>
      <c r="EE185" s="111"/>
      <c r="EF185" s="112"/>
      <c r="FB185" s="111"/>
      <c r="FC185" s="111"/>
      <c r="FD185" s="112"/>
      <c r="FZ185" s="111"/>
      <c r="GA185" s="111"/>
      <c r="GB185" s="112"/>
      <c r="GX185" s="111"/>
      <c r="GY185" s="111"/>
      <c r="GZ185" s="112"/>
      <c r="HV185" s="111"/>
      <c r="HW185" s="111"/>
      <c r="HX185" s="112"/>
      <c r="IT185" s="111"/>
      <c r="IU185" s="111"/>
      <c r="IV185" s="112"/>
      <c r="JR185" s="111"/>
      <c r="JS185" s="111"/>
      <c r="JT185" s="112"/>
      <c r="KP185" s="111"/>
      <c r="KQ185" s="111"/>
      <c r="KR185" s="112"/>
      <c r="LN185" s="111"/>
      <c r="LO185" s="111"/>
      <c r="LP185" s="112"/>
    </row>
    <row r="186" spans="38:328" ht="18.75" customHeight="1">
      <c r="AL186" s="111"/>
      <c r="AM186" s="111"/>
      <c r="AN186" s="112"/>
      <c r="AO186" s="112"/>
      <c r="BJ186" s="111"/>
      <c r="BK186" s="111"/>
      <c r="BL186" s="112"/>
      <c r="BM186" s="112"/>
      <c r="CH186" s="111"/>
      <c r="CI186" s="111"/>
      <c r="CJ186" s="112"/>
      <c r="DF186" s="111"/>
      <c r="DG186" s="111"/>
      <c r="DH186" s="112"/>
      <c r="ED186" s="111"/>
      <c r="EE186" s="111"/>
      <c r="EF186" s="112"/>
      <c r="FB186" s="111"/>
      <c r="FC186" s="111"/>
      <c r="FD186" s="112"/>
      <c r="FZ186" s="111"/>
      <c r="GA186" s="111"/>
      <c r="GB186" s="112"/>
      <c r="GX186" s="111"/>
      <c r="GY186" s="111"/>
      <c r="GZ186" s="112"/>
      <c r="HV186" s="111"/>
      <c r="HW186" s="111"/>
      <c r="HX186" s="112"/>
      <c r="IT186" s="111"/>
      <c r="IU186" s="111"/>
      <c r="IV186" s="112"/>
      <c r="JR186" s="111"/>
      <c r="JS186" s="111"/>
      <c r="JT186" s="112"/>
      <c r="KP186" s="111"/>
      <c r="KQ186" s="111"/>
      <c r="KR186" s="112"/>
      <c r="LN186" s="111"/>
      <c r="LO186" s="111"/>
      <c r="LP186" s="112"/>
    </row>
    <row r="187" spans="38:328" ht="18.75" customHeight="1">
      <c r="AL187" s="111"/>
      <c r="AM187" s="111"/>
      <c r="AN187" s="112"/>
      <c r="AO187" s="112"/>
      <c r="BJ187" s="111"/>
      <c r="BK187" s="111"/>
      <c r="BL187" s="112"/>
      <c r="BM187" s="112"/>
      <c r="CH187" s="111"/>
      <c r="CI187" s="111"/>
      <c r="CJ187" s="112"/>
      <c r="DF187" s="111"/>
      <c r="DG187" s="111"/>
      <c r="DH187" s="112"/>
      <c r="ED187" s="111"/>
      <c r="EE187" s="111"/>
      <c r="EF187" s="112"/>
      <c r="FB187" s="111"/>
      <c r="FC187" s="111"/>
      <c r="FD187" s="112"/>
      <c r="FZ187" s="111"/>
      <c r="GA187" s="111"/>
      <c r="GB187" s="112"/>
      <c r="GX187" s="111"/>
      <c r="GY187" s="111"/>
      <c r="GZ187" s="112"/>
      <c r="HV187" s="111"/>
      <c r="HW187" s="111"/>
      <c r="HX187" s="112"/>
      <c r="IT187" s="111"/>
      <c r="IU187" s="111"/>
      <c r="IV187" s="112"/>
      <c r="JR187" s="111"/>
      <c r="JS187" s="111"/>
      <c r="JT187" s="112"/>
      <c r="KP187" s="111"/>
      <c r="KQ187" s="111"/>
      <c r="KR187" s="112"/>
      <c r="LN187" s="111"/>
      <c r="LO187" s="111"/>
      <c r="LP187" s="112"/>
    </row>
    <row r="188" spans="38:328" ht="18.75" customHeight="1">
      <c r="AL188" s="111"/>
      <c r="AM188" s="111"/>
      <c r="AN188" s="112"/>
      <c r="AO188" s="112"/>
      <c r="BJ188" s="111"/>
      <c r="BK188" s="111"/>
      <c r="BL188" s="112"/>
      <c r="BM188" s="112"/>
      <c r="CH188" s="111"/>
      <c r="CI188" s="111"/>
      <c r="CJ188" s="112"/>
      <c r="DF188" s="111"/>
      <c r="DG188" s="111"/>
      <c r="DH188" s="112"/>
      <c r="ED188" s="111"/>
      <c r="EE188" s="111"/>
      <c r="EF188" s="112"/>
      <c r="FB188" s="111"/>
      <c r="FC188" s="111"/>
      <c r="FD188" s="112"/>
      <c r="FZ188" s="111"/>
      <c r="GA188" s="111"/>
      <c r="GB188" s="112"/>
      <c r="GX188" s="111"/>
      <c r="GY188" s="111"/>
      <c r="GZ188" s="112"/>
      <c r="HV188" s="111"/>
      <c r="HW188" s="111"/>
      <c r="HX188" s="112"/>
      <c r="IT188" s="111"/>
      <c r="IU188" s="111"/>
      <c r="IV188" s="112"/>
      <c r="JR188" s="111"/>
      <c r="JS188" s="111"/>
      <c r="JT188" s="112"/>
      <c r="KP188" s="111"/>
      <c r="KQ188" s="111"/>
      <c r="KR188" s="112"/>
      <c r="LN188" s="111"/>
      <c r="LO188" s="111"/>
      <c r="LP188" s="112"/>
    </row>
    <row r="189" spans="38:328" ht="18.75" customHeight="1">
      <c r="AL189" s="111"/>
      <c r="AM189" s="111"/>
      <c r="AN189" s="112"/>
      <c r="AO189" s="112"/>
      <c r="BJ189" s="111"/>
      <c r="BK189" s="111"/>
      <c r="BL189" s="112"/>
      <c r="BM189" s="112"/>
      <c r="CH189" s="111"/>
      <c r="CI189" s="111"/>
      <c r="CJ189" s="112"/>
      <c r="DF189" s="111"/>
      <c r="DG189" s="111"/>
      <c r="DH189" s="112"/>
      <c r="ED189" s="111"/>
      <c r="EE189" s="111"/>
      <c r="EF189" s="112"/>
      <c r="FB189" s="111"/>
      <c r="FC189" s="111"/>
      <c r="FD189" s="112"/>
      <c r="FZ189" s="111"/>
      <c r="GA189" s="111"/>
      <c r="GB189" s="112"/>
      <c r="GX189" s="111"/>
      <c r="GY189" s="111"/>
      <c r="GZ189" s="112"/>
      <c r="HV189" s="111"/>
      <c r="HW189" s="111"/>
      <c r="HX189" s="112"/>
      <c r="IT189" s="111"/>
      <c r="IU189" s="111"/>
      <c r="IV189" s="112"/>
      <c r="JR189" s="111"/>
      <c r="JS189" s="111"/>
      <c r="JT189" s="112"/>
      <c r="KP189" s="111"/>
      <c r="KQ189" s="111"/>
      <c r="KR189" s="112"/>
      <c r="LN189" s="111"/>
      <c r="LO189" s="111"/>
      <c r="LP189" s="112"/>
    </row>
    <row r="190" spans="38:328" ht="18.75" customHeight="1">
      <c r="AL190" s="111"/>
      <c r="AM190" s="111"/>
      <c r="AN190" s="112"/>
      <c r="AO190" s="112"/>
      <c r="BJ190" s="111"/>
      <c r="BK190" s="111"/>
      <c r="BL190" s="112"/>
      <c r="BM190" s="112"/>
      <c r="CH190" s="111"/>
      <c r="CI190" s="111"/>
      <c r="CJ190" s="112"/>
      <c r="DF190" s="111"/>
      <c r="DG190" s="111"/>
      <c r="DH190" s="112"/>
      <c r="ED190" s="111"/>
      <c r="EE190" s="111"/>
      <c r="EF190" s="112"/>
      <c r="FB190" s="111"/>
      <c r="FC190" s="111"/>
      <c r="FD190" s="112"/>
      <c r="FZ190" s="111"/>
      <c r="GA190" s="111"/>
      <c r="GB190" s="112"/>
      <c r="GX190" s="111"/>
      <c r="GY190" s="111"/>
      <c r="GZ190" s="112"/>
      <c r="HV190" s="111"/>
      <c r="HW190" s="111"/>
      <c r="HX190" s="112"/>
      <c r="IT190" s="111"/>
      <c r="IU190" s="111"/>
      <c r="IV190" s="112"/>
      <c r="JR190" s="111"/>
      <c r="JS190" s="111"/>
      <c r="JT190" s="112"/>
      <c r="KP190" s="111"/>
      <c r="KQ190" s="111"/>
      <c r="KR190" s="112"/>
      <c r="LN190" s="111"/>
      <c r="LO190" s="111"/>
      <c r="LP190" s="112"/>
    </row>
    <row r="191" spans="38:328" ht="18.75" customHeight="1">
      <c r="AL191" s="111"/>
      <c r="AM191" s="111"/>
      <c r="AN191" s="112"/>
      <c r="AO191" s="112"/>
      <c r="BJ191" s="111"/>
      <c r="BK191" s="111"/>
      <c r="BL191" s="112"/>
      <c r="BM191" s="112"/>
      <c r="CH191" s="111"/>
      <c r="CI191" s="111"/>
      <c r="CJ191" s="112"/>
      <c r="DF191" s="111"/>
      <c r="DG191" s="111"/>
      <c r="DH191" s="112"/>
      <c r="ED191" s="111"/>
      <c r="EE191" s="111"/>
      <c r="EF191" s="112"/>
      <c r="FB191" s="111"/>
      <c r="FC191" s="111"/>
      <c r="FD191" s="112"/>
      <c r="FZ191" s="111"/>
      <c r="GA191" s="111"/>
      <c r="GB191" s="112"/>
      <c r="GX191" s="111"/>
      <c r="GY191" s="111"/>
      <c r="GZ191" s="112"/>
      <c r="HV191" s="111"/>
      <c r="HW191" s="111"/>
      <c r="HX191" s="112"/>
      <c r="IT191" s="111"/>
      <c r="IU191" s="111"/>
      <c r="IV191" s="112"/>
      <c r="JR191" s="111"/>
      <c r="JS191" s="111"/>
      <c r="JT191" s="112"/>
      <c r="KP191" s="111"/>
      <c r="KQ191" s="111"/>
      <c r="KR191" s="112"/>
      <c r="LN191" s="111"/>
      <c r="LO191" s="111"/>
      <c r="LP191" s="112"/>
    </row>
    <row r="192" spans="38:328" ht="18.75" customHeight="1">
      <c r="AL192" s="111"/>
      <c r="AM192" s="111"/>
      <c r="AN192" s="112"/>
      <c r="AO192" s="112"/>
      <c r="BJ192" s="111"/>
      <c r="BK192" s="111"/>
      <c r="BL192" s="112"/>
      <c r="BM192" s="112"/>
      <c r="CH192" s="111"/>
      <c r="CI192" s="111"/>
      <c r="CJ192" s="112"/>
      <c r="DF192" s="111"/>
      <c r="DG192" s="111"/>
      <c r="DH192" s="112"/>
      <c r="ED192" s="111"/>
      <c r="EE192" s="111"/>
      <c r="EF192" s="112"/>
      <c r="FB192" s="111"/>
      <c r="FC192" s="111"/>
      <c r="FD192" s="112"/>
      <c r="FZ192" s="111"/>
      <c r="GA192" s="111"/>
      <c r="GB192" s="112"/>
      <c r="GX192" s="111"/>
      <c r="GY192" s="111"/>
      <c r="GZ192" s="112"/>
      <c r="HV192" s="111"/>
      <c r="HW192" s="111"/>
      <c r="HX192" s="112"/>
      <c r="IT192" s="111"/>
      <c r="IU192" s="111"/>
      <c r="IV192" s="112"/>
      <c r="JR192" s="111"/>
      <c r="JS192" s="111"/>
      <c r="JT192" s="112"/>
      <c r="KP192" s="111"/>
      <c r="KQ192" s="111"/>
      <c r="KR192" s="112"/>
      <c r="LN192" s="111"/>
      <c r="LO192" s="111"/>
      <c r="LP192" s="112"/>
    </row>
    <row r="193" spans="40:328" ht="18.75" customHeight="1">
      <c r="AN193" s="112"/>
      <c r="AO193" s="112"/>
      <c r="BL193" s="112"/>
      <c r="BM193" s="112"/>
      <c r="CJ193" s="112"/>
      <c r="DH193" s="112"/>
      <c r="EF193" s="112"/>
      <c r="FD193" s="112"/>
      <c r="GB193" s="112"/>
      <c r="GZ193" s="112"/>
      <c r="HX193" s="112"/>
      <c r="IV193" s="112"/>
      <c r="JT193" s="112"/>
      <c r="KR193" s="112"/>
      <c r="LP193" s="112"/>
    </row>
    <row r="194" spans="40:328" ht="18.75" customHeight="1">
      <c r="AN194" s="112"/>
      <c r="AO194" s="112"/>
      <c r="BL194" s="112"/>
      <c r="BM194" s="112"/>
      <c r="CJ194" s="112"/>
      <c r="DH194" s="112"/>
      <c r="EF194" s="112"/>
      <c r="FD194" s="112"/>
      <c r="GB194" s="112"/>
      <c r="GZ194" s="112"/>
      <c r="HX194" s="112"/>
      <c r="IV194" s="112"/>
      <c r="JT194" s="112"/>
      <c r="KR194" s="112"/>
      <c r="LP194" s="112"/>
    </row>
    <row r="195" spans="40:328" ht="18.75" customHeight="1">
      <c r="AN195" s="112"/>
      <c r="AO195" s="112"/>
      <c r="BL195" s="112"/>
      <c r="BM195" s="112"/>
      <c r="CJ195" s="112"/>
      <c r="DH195" s="112"/>
      <c r="EF195" s="112"/>
      <c r="FD195" s="112"/>
      <c r="GB195" s="112"/>
      <c r="GZ195" s="112"/>
      <c r="HX195" s="112"/>
      <c r="IV195" s="112"/>
      <c r="JT195" s="112"/>
      <c r="KR195" s="112"/>
      <c r="LP195" s="112"/>
    </row>
    <row r="196" spans="40:328" ht="18.75" customHeight="1">
      <c r="AN196" s="112"/>
      <c r="AO196" s="112"/>
      <c r="BL196" s="112"/>
      <c r="BM196" s="112"/>
      <c r="CJ196" s="112"/>
      <c r="DH196" s="112"/>
      <c r="EF196" s="112"/>
      <c r="FD196" s="112"/>
      <c r="GB196" s="112"/>
      <c r="GZ196" s="112"/>
      <c r="HX196" s="112"/>
      <c r="IV196" s="112"/>
      <c r="JT196" s="112"/>
      <c r="KR196" s="112"/>
      <c r="LP196" s="112"/>
    </row>
    <row r="197" spans="40:328" ht="18.75" customHeight="1">
      <c r="AN197" s="112"/>
      <c r="AO197" s="112"/>
      <c r="BL197" s="112"/>
      <c r="BM197" s="112"/>
      <c r="CJ197" s="112"/>
      <c r="DH197" s="112"/>
      <c r="EF197" s="112"/>
      <c r="FD197" s="112"/>
      <c r="GB197" s="112"/>
      <c r="GZ197" s="112"/>
      <c r="HX197" s="112"/>
      <c r="IV197" s="112"/>
      <c r="JT197" s="112"/>
      <c r="KR197" s="112"/>
      <c r="LP197" s="112"/>
    </row>
    <row r="198" spans="40:328" ht="18.75" customHeight="1">
      <c r="AN198" s="112"/>
      <c r="AO198" s="112"/>
      <c r="BL198" s="112"/>
      <c r="BM198" s="112"/>
      <c r="CJ198" s="112"/>
      <c r="DH198" s="112"/>
      <c r="EF198" s="112"/>
      <c r="FD198" s="112"/>
      <c r="GB198" s="112"/>
      <c r="GZ198" s="112"/>
      <c r="HX198" s="112"/>
      <c r="IV198" s="112"/>
      <c r="JT198" s="112"/>
      <c r="KR198" s="112"/>
      <c r="LP198" s="112"/>
    </row>
    <row r="199" spans="40:328" ht="18.75" customHeight="1">
      <c r="AN199" s="112"/>
      <c r="AO199" s="112"/>
      <c r="BL199" s="112"/>
      <c r="BM199" s="112"/>
      <c r="CJ199" s="112"/>
      <c r="DH199" s="112"/>
      <c r="EF199" s="112"/>
      <c r="FD199" s="112"/>
      <c r="GB199" s="112"/>
      <c r="GZ199" s="112"/>
      <c r="HX199" s="112"/>
      <c r="IV199" s="112"/>
      <c r="JT199" s="112"/>
      <c r="KR199" s="112"/>
      <c r="LP199" s="112"/>
    </row>
    <row r="200" spans="40:328" ht="18.75" customHeight="1">
      <c r="AN200" s="112"/>
      <c r="AO200" s="112"/>
      <c r="BL200" s="112"/>
      <c r="BM200" s="112"/>
      <c r="CJ200" s="112"/>
      <c r="DH200" s="112"/>
      <c r="EF200" s="112"/>
      <c r="FD200" s="112"/>
      <c r="GB200" s="112"/>
      <c r="GZ200" s="112"/>
      <c r="HX200" s="112"/>
      <c r="IV200" s="112"/>
      <c r="JT200" s="112"/>
      <c r="KR200" s="112"/>
      <c r="LP200" s="112"/>
    </row>
    <row r="201" spans="40:328" ht="18.75" customHeight="1">
      <c r="AN201" s="112"/>
      <c r="AO201" s="112"/>
      <c r="BL201" s="112"/>
      <c r="BM201" s="112"/>
      <c r="CJ201" s="112"/>
      <c r="DH201" s="112"/>
      <c r="EF201" s="112"/>
      <c r="FD201" s="112"/>
      <c r="GB201" s="112"/>
      <c r="GZ201" s="112"/>
      <c r="HX201" s="112"/>
      <c r="IV201" s="112"/>
      <c r="JT201" s="112"/>
      <c r="KR201" s="112"/>
      <c r="LP201" s="112"/>
    </row>
    <row r="202" spans="40:328" ht="18.75" customHeight="1">
      <c r="AN202" s="112"/>
      <c r="AO202" s="112"/>
      <c r="BL202" s="112"/>
      <c r="BM202" s="112"/>
      <c r="CJ202" s="112"/>
      <c r="DH202" s="112"/>
      <c r="EF202" s="112"/>
      <c r="FD202" s="112"/>
      <c r="GB202" s="112"/>
      <c r="GZ202" s="112"/>
      <c r="HX202" s="112"/>
      <c r="IV202" s="112"/>
      <c r="JT202" s="112"/>
      <c r="KR202" s="112"/>
      <c r="LP202" s="112"/>
    </row>
    <row r="203" spans="40:328" ht="18.75" customHeight="1">
      <c r="AN203" s="112"/>
      <c r="AO203" s="112"/>
      <c r="BL203" s="112"/>
      <c r="BM203" s="112"/>
      <c r="CJ203" s="112"/>
      <c r="DH203" s="112"/>
      <c r="EF203" s="112"/>
      <c r="FD203" s="112"/>
      <c r="GB203" s="112"/>
      <c r="GZ203" s="112"/>
      <c r="HX203" s="112"/>
      <c r="IV203" s="112"/>
      <c r="JT203" s="112"/>
      <c r="KR203" s="112"/>
      <c r="LP203" s="112"/>
    </row>
    <row r="204" spans="40:328" ht="18.75" customHeight="1">
      <c r="AN204" s="112"/>
      <c r="AO204" s="112"/>
      <c r="BL204" s="112"/>
      <c r="BM204" s="112"/>
      <c r="CJ204" s="112"/>
      <c r="DH204" s="112"/>
      <c r="EF204" s="112"/>
      <c r="FD204" s="112"/>
      <c r="GB204" s="112"/>
      <c r="GZ204" s="112"/>
      <c r="HX204" s="112"/>
      <c r="IV204" s="112"/>
      <c r="JT204" s="112"/>
      <c r="KR204" s="112"/>
      <c r="LP204" s="112"/>
    </row>
    <row r="205" spans="40:328" ht="18.75" customHeight="1">
      <c r="AN205" s="112"/>
      <c r="AO205" s="112"/>
      <c r="BL205" s="112"/>
      <c r="BM205" s="112"/>
      <c r="CJ205" s="112"/>
      <c r="DH205" s="112"/>
      <c r="EF205" s="112"/>
      <c r="FD205" s="112"/>
      <c r="GB205" s="112"/>
      <c r="GZ205" s="112"/>
      <c r="HX205" s="112"/>
      <c r="IV205" s="112"/>
      <c r="JT205" s="112"/>
      <c r="KR205" s="112"/>
      <c r="LP205" s="112"/>
    </row>
    <row r="206" spans="40:328" ht="18.75" customHeight="1">
      <c r="AN206" s="112"/>
      <c r="AO206" s="112"/>
      <c r="BL206" s="112"/>
      <c r="BM206" s="112"/>
      <c r="CJ206" s="112"/>
      <c r="DH206" s="112"/>
      <c r="EF206" s="112"/>
      <c r="FD206" s="112"/>
      <c r="GB206" s="112"/>
      <c r="GZ206" s="112"/>
      <c r="HX206" s="112"/>
      <c r="IV206" s="112"/>
      <c r="JT206" s="112"/>
      <c r="KR206" s="112"/>
      <c r="LP206" s="112"/>
    </row>
    <row r="207" spans="40:328" ht="18.75" customHeight="1">
      <c r="AN207" s="112"/>
      <c r="AO207" s="112"/>
      <c r="BL207" s="112"/>
      <c r="BM207" s="112"/>
      <c r="CJ207" s="112"/>
      <c r="DH207" s="112"/>
      <c r="EF207" s="112"/>
      <c r="FD207" s="112"/>
      <c r="GB207" s="112"/>
      <c r="GZ207" s="112"/>
      <c r="HX207" s="112"/>
      <c r="IV207" s="112"/>
      <c r="JT207" s="112"/>
      <c r="KR207" s="112"/>
      <c r="LP207" s="112"/>
    </row>
    <row r="208" spans="40:328" ht="18.75" customHeight="1">
      <c r="AN208" s="112"/>
      <c r="AO208" s="112"/>
      <c r="BL208" s="112"/>
      <c r="BM208" s="112"/>
      <c r="CJ208" s="112"/>
      <c r="DH208" s="112"/>
      <c r="EF208" s="112"/>
      <c r="FD208" s="112"/>
      <c r="GB208" s="112"/>
      <c r="GZ208" s="112"/>
      <c r="HX208" s="112"/>
      <c r="IV208" s="112"/>
      <c r="JT208" s="112"/>
      <c r="KR208" s="112"/>
      <c r="LP208" s="112"/>
    </row>
    <row r="209" spans="40:328" ht="18.75" customHeight="1">
      <c r="AN209" s="112"/>
      <c r="AO209" s="112"/>
      <c r="BL209" s="112"/>
      <c r="BM209" s="112"/>
      <c r="CJ209" s="112"/>
      <c r="DH209" s="112"/>
      <c r="EF209" s="112"/>
      <c r="FD209" s="112"/>
      <c r="GB209" s="112"/>
      <c r="GZ209" s="112"/>
      <c r="HX209" s="112"/>
      <c r="IV209" s="112"/>
      <c r="JT209" s="112"/>
      <c r="KR209" s="112"/>
      <c r="LP209" s="112"/>
    </row>
    <row r="210" spans="40:328" ht="18.75" customHeight="1">
      <c r="AN210" s="112"/>
      <c r="AO210" s="112"/>
      <c r="BL210" s="112"/>
      <c r="BM210" s="112"/>
      <c r="CJ210" s="112"/>
      <c r="DH210" s="112"/>
      <c r="EF210" s="112"/>
      <c r="FD210" s="112"/>
      <c r="GB210" s="112"/>
      <c r="GZ210" s="112"/>
      <c r="HX210" s="112"/>
      <c r="IV210" s="112"/>
      <c r="JT210" s="112"/>
      <c r="KR210" s="112"/>
      <c r="LP210" s="112"/>
    </row>
    <row r="211" spans="40:328" ht="18.75" customHeight="1">
      <c r="AN211" s="112"/>
      <c r="AO211" s="112"/>
      <c r="BL211" s="112"/>
      <c r="BM211" s="112"/>
      <c r="CJ211" s="112"/>
      <c r="DH211" s="112"/>
      <c r="EF211" s="112"/>
      <c r="FD211" s="112"/>
      <c r="GB211" s="112"/>
      <c r="GZ211" s="112"/>
      <c r="HX211" s="112"/>
      <c r="IV211" s="112"/>
      <c r="JT211" s="112"/>
      <c r="KR211" s="112"/>
      <c r="LP211" s="112"/>
    </row>
    <row r="212" spans="40:328" ht="18.75" customHeight="1">
      <c r="AN212" s="112"/>
      <c r="AO212" s="112"/>
      <c r="BL212" s="112"/>
      <c r="BM212" s="112"/>
      <c r="CJ212" s="112"/>
      <c r="DH212" s="112"/>
      <c r="EF212" s="112"/>
      <c r="FD212" s="112"/>
      <c r="GB212" s="112"/>
      <c r="GZ212" s="112"/>
      <c r="HX212" s="112"/>
      <c r="IV212" s="112"/>
      <c r="JT212" s="112"/>
      <c r="KR212" s="112"/>
      <c r="LP212" s="112"/>
    </row>
    <row r="213" spans="40:328" ht="18.75" customHeight="1">
      <c r="AN213" s="112"/>
      <c r="AO213" s="112"/>
      <c r="BL213" s="112"/>
      <c r="BM213" s="112"/>
      <c r="CJ213" s="112"/>
      <c r="DH213" s="112"/>
      <c r="EF213" s="112"/>
      <c r="FD213" s="112"/>
      <c r="GB213" s="112"/>
      <c r="GZ213" s="112"/>
      <c r="HX213" s="112"/>
      <c r="IV213" s="112"/>
      <c r="JT213" s="112"/>
      <c r="KR213" s="112"/>
      <c r="LP213" s="112"/>
    </row>
    <row r="214" spans="40:328" ht="18.75" customHeight="1">
      <c r="AN214" s="112"/>
      <c r="AO214" s="112"/>
      <c r="BL214" s="112"/>
      <c r="BM214" s="112"/>
      <c r="CJ214" s="112"/>
      <c r="DH214" s="112"/>
      <c r="EF214" s="112"/>
      <c r="FD214" s="112"/>
      <c r="GB214" s="112"/>
      <c r="GZ214" s="112"/>
      <c r="HX214" s="112"/>
      <c r="IV214" s="112"/>
      <c r="JT214" s="112"/>
      <c r="KR214" s="112"/>
      <c r="LP214" s="112"/>
    </row>
    <row r="215" spans="40:328" ht="18.75" customHeight="1">
      <c r="AN215" s="112"/>
      <c r="AO215" s="112"/>
      <c r="BL215" s="112"/>
      <c r="BM215" s="112"/>
      <c r="CJ215" s="112"/>
      <c r="DH215" s="112"/>
      <c r="EF215" s="112"/>
      <c r="FD215" s="112"/>
      <c r="GB215" s="112"/>
      <c r="GZ215" s="112"/>
      <c r="HX215" s="112"/>
      <c r="IV215" s="112"/>
      <c r="JT215" s="112"/>
      <c r="KR215" s="112"/>
      <c r="LP215" s="112"/>
    </row>
    <row r="216" spans="40:328" ht="18.75" customHeight="1">
      <c r="AN216" s="112"/>
      <c r="AO216" s="112"/>
      <c r="BL216" s="112"/>
      <c r="BM216" s="112"/>
      <c r="CJ216" s="112"/>
      <c r="DH216" s="112"/>
      <c r="EF216" s="112"/>
      <c r="FD216" s="112"/>
      <c r="GB216" s="112"/>
      <c r="GZ216" s="112"/>
      <c r="HX216" s="112"/>
      <c r="IV216" s="112"/>
      <c r="JT216" s="112"/>
      <c r="KR216" s="112"/>
      <c r="LP216" s="112"/>
    </row>
    <row r="217" spans="40:328" ht="18.75" customHeight="1">
      <c r="AN217" s="112"/>
      <c r="AO217" s="112"/>
      <c r="BL217" s="112"/>
      <c r="BM217" s="112"/>
      <c r="CJ217" s="112"/>
      <c r="DH217" s="112"/>
      <c r="EF217" s="112"/>
      <c r="FD217" s="112"/>
      <c r="GB217" s="112"/>
      <c r="GZ217" s="112"/>
      <c r="HX217" s="112"/>
      <c r="IV217" s="112"/>
      <c r="JT217" s="112"/>
      <c r="KR217" s="112"/>
      <c r="LP217" s="112"/>
    </row>
    <row r="218" spans="40:328" ht="18.75" customHeight="1">
      <c r="AN218" s="112"/>
      <c r="AO218" s="112"/>
      <c r="BL218" s="112"/>
      <c r="BM218" s="112"/>
      <c r="CJ218" s="112"/>
      <c r="DH218" s="112"/>
      <c r="EF218" s="112"/>
      <c r="FD218" s="112"/>
      <c r="GB218" s="112"/>
      <c r="GZ218" s="112"/>
      <c r="HX218" s="112"/>
      <c r="IV218" s="112"/>
      <c r="JT218" s="112"/>
      <c r="KR218" s="112"/>
      <c r="LP218" s="112"/>
    </row>
    <row r="219" spans="40:328" ht="18.75" customHeight="1">
      <c r="AN219" s="112"/>
      <c r="AO219" s="112"/>
      <c r="BL219" s="112"/>
      <c r="BM219" s="112"/>
      <c r="CJ219" s="112"/>
      <c r="DH219" s="112"/>
      <c r="EF219" s="112"/>
      <c r="FD219" s="112"/>
      <c r="GB219" s="112"/>
      <c r="GZ219" s="112"/>
      <c r="HX219" s="112"/>
      <c r="IV219" s="112"/>
      <c r="JT219" s="112"/>
      <c r="KR219" s="112"/>
      <c r="LP219" s="112"/>
    </row>
    <row r="220" spans="40:328" ht="18.75" customHeight="1">
      <c r="AN220" s="112"/>
      <c r="AO220" s="112"/>
      <c r="BL220" s="112"/>
      <c r="BM220" s="112"/>
      <c r="CJ220" s="112"/>
      <c r="DH220" s="112"/>
      <c r="EF220" s="112"/>
      <c r="FD220" s="112"/>
      <c r="GB220" s="112"/>
      <c r="GZ220" s="112"/>
      <c r="HX220" s="112"/>
      <c r="IV220" s="112"/>
      <c r="JT220" s="112"/>
      <c r="KR220" s="112"/>
      <c r="LP220" s="112"/>
    </row>
    <row r="221" spans="40:328" ht="18.75" customHeight="1">
      <c r="AN221" s="112"/>
      <c r="AO221" s="112"/>
      <c r="BL221" s="112"/>
      <c r="BM221" s="112"/>
      <c r="CJ221" s="112"/>
      <c r="DH221" s="112"/>
      <c r="EF221" s="112"/>
      <c r="FD221" s="112"/>
      <c r="GB221" s="112"/>
      <c r="GZ221" s="112"/>
      <c r="HX221" s="112"/>
      <c r="IV221" s="112"/>
      <c r="JT221" s="112"/>
      <c r="KR221" s="112"/>
      <c r="LP221" s="112"/>
    </row>
    <row r="222" spans="40:328" ht="18.75" customHeight="1">
      <c r="AN222" s="112"/>
      <c r="AO222" s="112"/>
      <c r="BL222" s="112"/>
      <c r="BM222" s="112"/>
      <c r="CJ222" s="112"/>
      <c r="DH222" s="112"/>
      <c r="EF222" s="112"/>
      <c r="FD222" s="112"/>
      <c r="GB222" s="112"/>
      <c r="GZ222" s="112"/>
      <c r="HX222" s="112"/>
      <c r="IV222" s="112"/>
      <c r="JT222" s="112"/>
      <c r="KR222" s="112"/>
      <c r="LP222" s="112"/>
    </row>
    <row r="223" spans="40:328" ht="18.75" customHeight="1">
      <c r="AN223" s="112"/>
      <c r="AO223" s="112"/>
      <c r="BL223" s="112"/>
      <c r="BM223" s="112"/>
      <c r="CJ223" s="112"/>
      <c r="DH223" s="112"/>
      <c r="EF223" s="112"/>
      <c r="FD223" s="112"/>
      <c r="GB223" s="112"/>
      <c r="GZ223" s="112"/>
      <c r="HX223" s="112"/>
      <c r="IV223" s="112"/>
      <c r="JT223" s="112"/>
      <c r="KR223" s="112"/>
      <c r="LP223" s="112"/>
    </row>
    <row r="224" spans="40:328" ht="18.75" customHeight="1">
      <c r="AN224" s="112"/>
      <c r="AO224" s="112"/>
      <c r="BL224" s="112"/>
      <c r="BM224" s="112"/>
      <c r="CJ224" s="112"/>
      <c r="DH224" s="112"/>
      <c r="EF224" s="112"/>
      <c r="FD224" s="112"/>
      <c r="GB224" s="112"/>
      <c r="GZ224" s="112"/>
      <c r="HX224" s="112"/>
      <c r="IV224" s="112"/>
      <c r="JT224" s="112"/>
      <c r="KR224" s="112"/>
      <c r="LP224" s="112"/>
    </row>
    <row r="225" spans="40:328" ht="18.75" customHeight="1">
      <c r="AN225" s="112"/>
      <c r="AO225" s="112"/>
      <c r="BL225" s="112"/>
      <c r="BM225" s="112"/>
      <c r="CJ225" s="112"/>
      <c r="DH225" s="112"/>
      <c r="EF225" s="112"/>
      <c r="FD225" s="112"/>
      <c r="GB225" s="112"/>
      <c r="GZ225" s="112"/>
      <c r="HX225" s="112"/>
      <c r="IV225" s="112"/>
      <c r="JT225" s="112"/>
      <c r="KR225" s="112"/>
      <c r="LP225" s="112"/>
    </row>
    <row r="226" spans="40:328" ht="18.75" customHeight="1">
      <c r="AN226" s="112"/>
      <c r="AO226" s="112"/>
      <c r="BL226" s="112"/>
      <c r="BM226" s="112"/>
      <c r="CJ226" s="112"/>
      <c r="DH226" s="112"/>
      <c r="EF226" s="112"/>
      <c r="FD226" s="112"/>
      <c r="GB226" s="112"/>
      <c r="GZ226" s="112"/>
      <c r="HX226" s="112"/>
      <c r="IV226" s="112"/>
      <c r="JT226" s="112"/>
      <c r="KR226" s="112"/>
      <c r="LP226" s="112"/>
    </row>
    <row r="227" spans="40:328" ht="18.75" customHeight="1">
      <c r="AN227" s="112"/>
      <c r="AO227" s="112"/>
      <c r="BL227" s="112"/>
      <c r="BM227" s="112"/>
      <c r="CJ227" s="112"/>
      <c r="DH227" s="112"/>
      <c r="EF227" s="112"/>
      <c r="FD227" s="112"/>
      <c r="GB227" s="112"/>
      <c r="GZ227" s="112"/>
      <c r="HX227" s="112"/>
      <c r="IV227" s="112"/>
      <c r="JT227" s="112"/>
      <c r="KR227" s="112"/>
      <c r="LP227" s="112"/>
    </row>
    <row r="228" spans="40:328" ht="18.75" customHeight="1">
      <c r="AN228" s="112"/>
      <c r="AO228" s="112"/>
      <c r="BL228" s="112"/>
      <c r="BM228" s="112"/>
      <c r="CJ228" s="112"/>
      <c r="DH228" s="112"/>
      <c r="EF228" s="112"/>
      <c r="FD228" s="112"/>
      <c r="GB228" s="112"/>
      <c r="GZ228" s="112"/>
      <c r="HX228" s="112"/>
      <c r="IV228" s="112"/>
      <c r="JT228" s="112"/>
      <c r="KR228" s="112"/>
      <c r="LP228" s="112"/>
    </row>
    <row r="229" spans="40:328" ht="18.75" customHeight="1">
      <c r="AN229" s="112"/>
      <c r="AO229" s="112"/>
      <c r="BL229" s="112"/>
      <c r="BM229" s="112"/>
      <c r="CJ229" s="112"/>
      <c r="DH229" s="112"/>
      <c r="EF229" s="112"/>
      <c r="FD229" s="112"/>
      <c r="GB229" s="112"/>
      <c r="GZ229" s="112"/>
      <c r="HX229" s="112"/>
      <c r="IV229" s="112"/>
      <c r="JT229" s="112"/>
      <c r="KR229" s="112"/>
      <c r="LP229" s="112"/>
    </row>
    <row r="230" spans="40:328" ht="18.75" customHeight="1">
      <c r="AN230" s="112"/>
      <c r="AO230" s="112"/>
      <c r="BL230" s="112"/>
      <c r="BM230" s="112"/>
      <c r="CJ230" s="112"/>
      <c r="DH230" s="112"/>
      <c r="EF230" s="112"/>
      <c r="FD230" s="112"/>
      <c r="GB230" s="112"/>
      <c r="GZ230" s="112"/>
      <c r="HX230" s="112"/>
      <c r="IV230" s="112"/>
      <c r="JT230" s="112"/>
      <c r="KR230" s="112"/>
      <c r="LP230" s="112"/>
    </row>
    <row r="231" spans="40:328" ht="18.75" customHeight="1">
      <c r="AN231" s="112"/>
      <c r="AO231" s="112"/>
      <c r="BL231" s="112"/>
      <c r="BM231" s="112"/>
      <c r="CJ231" s="112"/>
      <c r="DH231" s="112"/>
      <c r="EF231" s="112"/>
      <c r="FD231" s="112"/>
      <c r="GB231" s="112"/>
      <c r="GZ231" s="112"/>
      <c r="HX231" s="112"/>
      <c r="IV231" s="112"/>
      <c r="JT231" s="112"/>
      <c r="KR231" s="112"/>
      <c r="LP231" s="112"/>
    </row>
  </sheetData>
  <mergeCells count="4672">
    <mergeCell ref="MN34:MN35"/>
    <mergeCell ref="MP34:MP35"/>
    <mergeCell ref="KT93:KT95"/>
    <mergeCell ref="KU93:KW93"/>
    <mergeCell ref="KX93:KZ93"/>
    <mergeCell ref="LA93:LC93"/>
    <mergeCell ref="LD93:LF93"/>
    <mergeCell ref="LG93:LI93"/>
    <mergeCell ref="LJ93:LL93"/>
    <mergeCell ref="LO93:LO95"/>
    <mergeCell ref="LP93:LP95"/>
    <mergeCell ref="LM94:LM95"/>
    <mergeCell ref="LN94:LN95"/>
    <mergeCell ref="LO96:LO97"/>
    <mergeCell ref="LP96:LP97"/>
    <mergeCell ref="LX1:LY1"/>
    <mergeCell ref="LZ1:MA1"/>
    <mergeCell ref="MB1:MC1"/>
    <mergeCell ref="MP1:MQ1"/>
    <mergeCell ref="MN1:MO1"/>
    <mergeCell ref="ML1:MM1"/>
    <mergeCell ref="MJ1:MK1"/>
    <mergeCell ref="MH1:MI1"/>
    <mergeCell ref="MF1:MG1"/>
    <mergeCell ref="MD1:ME1"/>
    <mergeCell ref="LX34:LX35"/>
    <mergeCell ref="LZ34:LZ35"/>
    <mergeCell ref="MB34:MB35"/>
    <mergeCell ref="MJ34:MJ35"/>
    <mergeCell ref="MH34:MH35"/>
    <mergeCell ref="MF34:MF35"/>
    <mergeCell ref="MD34:MD35"/>
    <mergeCell ref="ML34:ML35"/>
    <mergeCell ref="KT87:KT89"/>
    <mergeCell ref="KU87:KW87"/>
    <mergeCell ref="KX87:KZ87"/>
    <mergeCell ref="LA87:LC87"/>
    <mergeCell ref="LD87:LF87"/>
    <mergeCell ref="LG87:LI87"/>
    <mergeCell ref="LJ87:LL87"/>
    <mergeCell ref="LO87:LO89"/>
    <mergeCell ref="LP87:LP89"/>
    <mergeCell ref="LM88:LM89"/>
    <mergeCell ref="LN88:LN89"/>
    <mergeCell ref="KT90:KT92"/>
    <mergeCell ref="KU90:KW90"/>
    <mergeCell ref="KX90:KZ90"/>
    <mergeCell ref="LA90:LC90"/>
    <mergeCell ref="LD90:LF90"/>
    <mergeCell ref="LG90:LI90"/>
    <mergeCell ref="LJ90:LL90"/>
    <mergeCell ref="LO90:LO92"/>
    <mergeCell ref="LP90:LP92"/>
    <mergeCell ref="LM91:LM92"/>
    <mergeCell ref="LN91:LN92"/>
    <mergeCell ref="KT81:KT83"/>
    <mergeCell ref="KU81:KW81"/>
    <mergeCell ref="KX81:KZ81"/>
    <mergeCell ref="LA81:LC81"/>
    <mergeCell ref="LD81:LF81"/>
    <mergeCell ref="LG81:LI81"/>
    <mergeCell ref="LJ81:LL81"/>
    <mergeCell ref="LO81:LO83"/>
    <mergeCell ref="LP81:LP83"/>
    <mergeCell ref="LM82:LM83"/>
    <mergeCell ref="LN82:LN83"/>
    <mergeCell ref="KT84:KT86"/>
    <mergeCell ref="KU84:KW84"/>
    <mergeCell ref="KX84:KZ84"/>
    <mergeCell ref="LA84:LC84"/>
    <mergeCell ref="LD84:LF84"/>
    <mergeCell ref="LG84:LI84"/>
    <mergeCell ref="LJ84:LL84"/>
    <mergeCell ref="LO84:LO86"/>
    <mergeCell ref="LP84:LP86"/>
    <mergeCell ref="LM85:LM86"/>
    <mergeCell ref="LN85:LN86"/>
    <mergeCell ref="KT75:KT77"/>
    <mergeCell ref="KU75:KW75"/>
    <mergeCell ref="KX75:KZ75"/>
    <mergeCell ref="LA75:LC75"/>
    <mergeCell ref="LD75:LF75"/>
    <mergeCell ref="LG75:LI75"/>
    <mergeCell ref="LJ75:LL75"/>
    <mergeCell ref="LO75:LO77"/>
    <mergeCell ref="LP75:LP77"/>
    <mergeCell ref="LM76:LM77"/>
    <mergeCell ref="LN76:LN77"/>
    <mergeCell ref="KT78:KT80"/>
    <mergeCell ref="KU78:KW78"/>
    <mergeCell ref="KX78:KZ78"/>
    <mergeCell ref="LA78:LC78"/>
    <mergeCell ref="LD78:LF78"/>
    <mergeCell ref="LG78:LI78"/>
    <mergeCell ref="LJ78:LL78"/>
    <mergeCell ref="LO78:LO80"/>
    <mergeCell ref="LP78:LP80"/>
    <mergeCell ref="LM79:LM80"/>
    <mergeCell ref="LN79:LN80"/>
    <mergeCell ref="KT69:KT71"/>
    <mergeCell ref="KU69:KW69"/>
    <mergeCell ref="KX69:KZ69"/>
    <mergeCell ref="LA69:LC69"/>
    <mergeCell ref="LD69:LF69"/>
    <mergeCell ref="LG69:LI69"/>
    <mergeCell ref="LJ69:LL69"/>
    <mergeCell ref="LO69:LO71"/>
    <mergeCell ref="LP69:LP71"/>
    <mergeCell ref="LM70:LM71"/>
    <mergeCell ref="LN70:LN71"/>
    <mergeCell ref="KT72:KT74"/>
    <mergeCell ref="KU72:KW72"/>
    <mergeCell ref="KX72:KZ72"/>
    <mergeCell ref="LA72:LC72"/>
    <mergeCell ref="LD72:LF72"/>
    <mergeCell ref="LG72:LI72"/>
    <mergeCell ref="LJ72:LL72"/>
    <mergeCell ref="LO72:LO74"/>
    <mergeCell ref="LP72:LP74"/>
    <mergeCell ref="LM73:LM74"/>
    <mergeCell ref="LN73:LN74"/>
    <mergeCell ref="KT63:KT65"/>
    <mergeCell ref="KU63:KW63"/>
    <mergeCell ref="KX63:KZ63"/>
    <mergeCell ref="LA63:LC63"/>
    <mergeCell ref="LD63:LF63"/>
    <mergeCell ref="LG63:LI63"/>
    <mergeCell ref="LJ63:LL63"/>
    <mergeCell ref="LO63:LO65"/>
    <mergeCell ref="LP63:LP65"/>
    <mergeCell ref="LM64:LM65"/>
    <mergeCell ref="LN64:LN65"/>
    <mergeCell ref="KT66:KT68"/>
    <mergeCell ref="KU66:KW66"/>
    <mergeCell ref="KX66:KZ66"/>
    <mergeCell ref="LA66:LC66"/>
    <mergeCell ref="LD66:LF66"/>
    <mergeCell ref="LG66:LI66"/>
    <mergeCell ref="LJ66:LL66"/>
    <mergeCell ref="LO66:LO68"/>
    <mergeCell ref="LP66:LP68"/>
    <mergeCell ref="LM67:LM68"/>
    <mergeCell ref="LN67:LN68"/>
    <mergeCell ref="KT57:KT59"/>
    <mergeCell ref="KU57:KW57"/>
    <mergeCell ref="KX57:KZ57"/>
    <mergeCell ref="LA57:LC57"/>
    <mergeCell ref="LD57:LF57"/>
    <mergeCell ref="LG57:LI57"/>
    <mergeCell ref="LJ57:LL57"/>
    <mergeCell ref="LO57:LO59"/>
    <mergeCell ref="LP57:LP59"/>
    <mergeCell ref="LM58:LM59"/>
    <mergeCell ref="LN58:LN59"/>
    <mergeCell ref="KT60:KT62"/>
    <mergeCell ref="KU60:KW60"/>
    <mergeCell ref="KX60:KZ60"/>
    <mergeCell ref="LA60:LC60"/>
    <mergeCell ref="LD60:LF60"/>
    <mergeCell ref="LG60:LI60"/>
    <mergeCell ref="LJ60:LL60"/>
    <mergeCell ref="LO60:LO62"/>
    <mergeCell ref="LP60:LP62"/>
    <mergeCell ref="LM61:LM62"/>
    <mergeCell ref="LN61:LN62"/>
    <mergeCell ref="KT51:KT53"/>
    <mergeCell ref="KU51:KW51"/>
    <mergeCell ref="KX51:KZ51"/>
    <mergeCell ref="LA51:LC51"/>
    <mergeCell ref="LD51:LF51"/>
    <mergeCell ref="LG51:LI51"/>
    <mergeCell ref="LJ51:LL51"/>
    <mergeCell ref="LO51:LO53"/>
    <mergeCell ref="LP51:LP53"/>
    <mergeCell ref="LM52:LM53"/>
    <mergeCell ref="LN52:LN53"/>
    <mergeCell ref="KT54:KT56"/>
    <mergeCell ref="KU54:KW54"/>
    <mergeCell ref="KX54:KZ54"/>
    <mergeCell ref="LA54:LC54"/>
    <mergeCell ref="LD54:LF54"/>
    <mergeCell ref="LG54:LI54"/>
    <mergeCell ref="LJ54:LL54"/>
    <mergeCell ref="LO54:LO56"/>
    <mergeCell ref="LP54:LP56"/>
    <mergeCell ref="LM55:LM56"/>
    <mergeCell ref="LN55:LN56"/>
    <mergeCell ref="KT45:KT47"/>
    <mergeCell ref="KU45:KW45"/>
    <mergeCell ref="KX45:KZ45"/>
    <mergeCell ref="LA45:LC45"/>
    <mergeCell ref="LD45:LF45"/>
    <mergeCell ref="LG45:LI45"/>
    <mergeCell ref="LJ45:LL45"/>
    <mergeCell ref="LO45:LO47"/>
    <mergeCell ref="LP45:LP47"/>
    <mergeCell ref="LM46:LM47"/>
    <mergeCell ref="LN46:LN47"/>
    <mergeCell ref="KT48:KT50"/>
    <mergeCell ref="KU48:KW48"/>
    <mergeCell ref="KX48:KZ48"/>
    <mergeCell ref="LA48:LC48"/>
    <mergeCell ref="LD48:LF48"/>
    <mergeCell ref="LG48:LI48"/>
    <mergeCell ref="LJ48:LL48"/>
    <mergeCell ref="LO48:LO50"/>
    <mergeCell ref="LP48:LP50"/>
    <mergeCell ref="LM49:LM50"/>
    <mergeCell ref="LN49:LN50"/>
    <mergeCell ref="KT39:KT41"/>
    <mergeCell ref="KU39:KW39"/>
    <mergeCell ref="KX39:KZ39"/>
    <mergeCell ref="LA39:LC39"/>
    <mergeCell ref="LD39:LF39"/>
    <mergeCell ref="LG39:LI39"/>
    <mergeCell ref="LJ39:LL39"/>
    <mergeCell ref="LO39:LO41"/>
    <mergeCell ref="LP39:LP41"/>
    <mergeCell ref="LM40:LM41"/>
    <mergeCell ref="LN40:LN41"/>
    <mergeCell ref="KT42:KT44"/>
    <mergeCell ref="KU42:KW42"/>
    <mergeCell ref="KX42:KZ42"/>
    <mergeCell ref="LA42:LC42"/>
    <mergeCell ref="LD42:LF42"/>
    <mergeCell ref="LG42:LI42"/>
    <mergeCell ref="LJ42:LL42"/>
    <mergeCell ref="LO42:LO44"/>
    <mergeCell ref="LP42:LP44"/>
    <mergeCell ref="LM43:LM44"/>
    <mergeCell ref="LN43:LN44"/>
    <mergeCell ref="KT33:KT35"/>
    <mergeCell ref="KU33:KW33"/>
    <mergeCell ref="KX33:KZ33"/>
    <mergeCell ref="LA33:LC33"/>
    <mergeCell ref="LD33:LF33"/>
    <mergeCell ref="LG33:LI33"/>
    <mergeCell ref="LJ33:LL33"/>
    <mergeCell ref="LO33:LO35"/>
    <mergeCell ref="LP33:LP35"/>
    <mergeCell ref="LM34:LM35"/>
    <mergeCell ref="LN34:LN35"/>
    <mergeCell ref="KT36:KT38"/>
    <mergeCell ref="KU36:KW36"/>
    <mergeCell ref="KX36:KZ36"/>
    <mergeCell ref="LA36:LC36"/>
    <mergeCell ref="LD36:LF36"/>
    <mergeCell ref="LG36:LI36"/>
    <mergeCell ref="LJ36:LL36"/>
    <mergeCell ref="LO36:LO38"/>
    <mergeCell ref="LP36:LP38"/>
    <mergeCell ref="LM37:LM38"/>
    <mergeCell ref="LN37:LN38"/>
    <mergeCell ref="KT27:KT29"/>
    <mergeCell ref="KU27:KW27"/>
    <mergeCell ref="KX27:KZ27"/>
    <mergeCell ref="LA27:LC27"/>
    <mergeCell ref="LD27:LF27"/>
    <mergeCell ref="LG27:LI27"/>
    <mergeCell ref="LJ27:LL27"/>
    <mergeCell ref="LO27:LO29"/>
    <mergeCell ref="LP27:LP29"/>
    <mergeCell ref="LM28:LM29"/>
    <mergeCell ref="LN28:LN29"/>
    <mergeCell ref="KT30:KT32"/>
    <mergeCell ref="KU30:KW30"/>
    <mergeCell ref="KX30:KZ30"/>
    <mergeCell ref="LA30:LC30"/>
    <mergeCell ref="LD30:LF30"/>
    <mergeCell ref="LG30:LI30"/>
    <mergeCell ref="LJ30:LL30"/>
    <mergeCell ref="LO30:LO32"/>
    <mergeCell ref="LP30:LP32"/>
    <mergeCell ref="LM31:LM32"/>
    <mergeCell ref="LN31:LN32"/>
    <mergeCell ref="KT21:KT23"/>
    <mergeCell ref="KU21:KW21"/>
    <mergeCell ref="KX21:KZ21"/>
    <mergeCell ref="LA21:LC21"/>
    <mergeCell ref="LD21:LF21"/>
    <mergeCell ref="LG21:LI21"/>
    <mergeCell ref="LJ21:LL21"/>
    <mergeCell ref="LO21:LO23"/>
    <mergeCell ref="LP21:LP23"/>
    <mergeCell ref="LM22:LM23"/>
    <mergeCell ref="LN22:LN23"/>
    <mergeCell ref="KT24:KT26"/>
    <mergeCell ref="KU24:KW24"/>
    <mergeCell ref="KX24:KZ24"/>
    <mergeCell ref="LA24:LC24"/>
    <mergeCell ref="LD24:LF24"/>
    <mergeCell ref="LG24:LI24"/>
    <mergeCell ref="LJ24:LL24"/>
    <mergeCell ref="LO24:LO26"/>
    <mergeCell ref="LP24:LP26"/>
    <mergeCell ref="LM25:LM26"/>
    <mergeCell ref="LN25:LN26"/>
    <mergeCell ref="KT15:KT17"/>
    <mergeCell ref="KU15:KW15"/>
    <mergeCell ref="KX15:KZ15"/>
    <mergeCell ref="LA15:LC15"/>
    <mergeCell ref="LD15:LF15"/>
    <mergeCell ref="LG15:LI15"/>
    <mergeCell ref="LJ15:LL15"/>
    <mergeCell ref="LO15:LO17"/>
    <mergeCell ref="LP15:LP17"/>
    <mergeCell ref="LM16:LM17"/>
    <mergeCell ref="LN16:LN17"/>
    <mergeCell ref="KT18:KT20"/>
    <mergeCell ref="KU18:KW18"/>
    <mergeCell ref="KX18:KZ18"/>
    <mergeCell ref="LA18:LC18"/>
    <mergeCell ref="LD18:LF18"/>
    <mergeCell ref="LG18:LI18"/>
    <mergeCell ref="LJ18:LL18"/>
    <mergeCell ref="LO18:LO20"/>
    <mergeCell ref="LP18:LP20"/>
    <mergeCell ref="LM19:LM20"/>
    <mergeCell ref="LN19:LN20"/>
    <mergeCell ref="LO6:LO8"/>
    <mergeCell ref="LP6:LP8"/>
    <mergeCell ref="LM7:LM8"/>
    <mergeCell ref="LN7:LN8"/>
    <mergeCell ref="KT9:KT11"/>
    <mergeCell ref="KU9:KW9"/>
    <mergeCell ref="KX9:KZ9"/>
    <mergeCell ref="LA9:LC9"/>
    <mergeCell ref="LD9:LF9"/>
    <mergeCell ref="LG9:LI9"/>
    <mergeCell ref="LJ9:LL9"/>
    <mergeCell ref="LO9:LO11"/>
    <mergeCell ref="LP9:LP11"/>
    <mergeCell ref="LM10:LM11"/>
    <mergeCell ref="LN10:LN11"/>
    <mergeCell ref="KT12:KT14"/>
    <mergeCell ref="KU12:KW12"/>
    <mergeCell ref="KX12:KZ12"/>
    <mergeCell ref="LA12:LC12"/>
    <mergeCell ref="LD12:LF12"/>
    <mergeCell ref="LG12:LI12"/>
    <mergeCell ref="LJ12:LL12"/>
    <mergeCell ref="LO12:LO14"/>
    <mergeCell ref="LP12:LP14"/>
    <mergeCell ref="LM13:LM14"/>
    <mergeCell ref="LN13:LN14"/>
    <mergeCell ref="KQ96:KQ97"/>
    <mergeCell ref="KR96:KR97"/>
    <mergeCell ref="KT1:KT2"/>
    <mergeCell ref="KU1:LL1"/>
    <mergeCell ref="LM1:LM2"/>
    <mergeCell ref="LN1:LN2"/>
    <mergeCell ref="LO1:LO2"/>
    <mergeCell ref="LP1:LP2"/>
    <mergeCell ref="KU2:KW2"/>
    <mergeCell ref="KX2:KZ2"/>
    <mergeCell ref="LA2:LC2"/>
    <mergeCell ref="LD2:LF2"/>
    <mergeCell ref="LG2:LI2"/>
    <mergeCell ref="LJ2:LL2"/>
    <mergeCell ref="KT3:KT5"/>
    <mergeCell ref="KU3:KW3"/>
    <mergeCell ref="KX3:KZ3"/>
    <mergeCell ref="LA3:LC3"/>
    <mergeCell ref="LD3:LF3"/>
    <mergeCell ref="LG3:LI3"/>
    <mergeCell ref="LJ3:LL3"/>
    <mergeCell ref="LO3:LO5"/>
    <mergeCell ref="LP3:LP5"/>
    <mergeCell ref="LM4:LM5"/>
    <mergeCell ref="LN4:LN5"/>
    <mergeCell ref="KT6:KT8"/>
    <mergeCell ref="KU6:KW6"/>
    <mergeCell ref="KX6:KZ6"/>
    <mergeCell ref="LA6:LC6"/>
    <mergeCell ref="LD6:LF6"/>
    <mergeCell ref="LG6:LI6"/>
    <mergeCell ref="LJ6:LL6"/>
    <mergeCell ref="JV90:JV92"/>
    <mergeCell ref="JW90:JY90"/>
    <mergeCell ref="JZ90:KB90"/>
    <mergeCell ref="KC90:KE90"/>
    <mergeCell ref="KF90:KH90"/>
    <mergeCell ref="KI90:KK90"/>
    <mergeCell ref="KL90:KN90"/>
    <mergeCell ref="KQ90:KQ92"/>
    <mergeCell ref="KR90:KR92"/>
    <mergeCell ref="KO91:KO92"/>
    <mergeCell ref="KP91:KP92"/>
    <mergeCell ref="JV93:JV95"/>
    <mergeCell ref="JW93:JY93"/>
    <mergeCell ref="JZ93:KB93"/>
    <mergeCell ref="KC93:KE93"/>
    <mergeCell ref="KF93:KH93"/>
    <mergeCell ref="KI93:KK93"/>
    <mergeCell ref="KL93:KN93"/>
    <mergeCell ref="KQ93:KQ95"/>
    <mergeCell ref="KR93:KR95"/>
    <mergeCell ref="KO94:KO95"/>
    <mergeCell ref="KP94:KP95"/>
    <mergeCell ref="JV84:JV86"/>
    <mergeCell ref="JW84:JY84"/>
    <mergeCell ref="JZ84:KB84"/>
    <mergeCell ref="KC84:KE84"/>
    <mergeCell ref="KF84:KH84"/>
    <mergeCell ref="KI84:KK84"/>
    <mergeCell ref="KL84:KN84"/>
    <mergeCell ref="KQ84:KQ86"/>
    <mergeCell ref="KR84:KR86"/>
    <mergeCell ref="KO85:KO86"/>
    <mergeCell ref="KP85:KP86"/>
    <mergeCell ref="JV87:JV89"/>
    <mergeCell ref="JW87:JY87"/>
    <mergeCell ref="JZ87:KB87"/>
    <mergeCell ref="KC87:KE87"/>
    <mergeCell ref="KF87:KH87"/>
    <mergeCell ref="KI87:KK87"/>
    <mergeCell ref="KL87:KN87"/>
    <mergeCell ref="KQ87:KQ89"/>
    <mergeCell ref="KR87:KR89"/>
    <mergeCell ref="KO88:KO89"/>
    <mergeCell ref="KP88:KP89"/>
    <mergeCell ref="JV78:JV80"/>
    <mergeCell ref="JW78:JY78"/>
    <mergeCell ref="JZ78:KB78"/>
    <mergeCell ref="KC78:KE78"/>
    <mergeCell ref="KF78:KH78"/>
    <mergeCell ref="KI78:KK78"/>
    <mergeCell ref="KL78:KN78"/>
    <mergeCell ref="KQ78:KQ80"/>
    <mergeCell ref="KR78:KR80"/>
    <mergeCell ref="KO79:KO80"/>
    <mergeCell ref="KP79:KP80"/>
    <mergeCell ref="JV81:JV83"/>
    <mergeCell ref="JW81:JY81"/>
    <mergeCell ref="JZ81:KB81"/>
    <mergeCell ref="KC81:KE81"/>
    <mergeCell ref="KF81:KH81"/>
    <mergeCell ref="KI81:KK81"/>
    <mergeCell ref="KL81:KN81"/>
    <mergeCell ref="KQ81:KQ83"/>
    <mergeCell ref="KR81:KR83"/>
    <mergeCell ref="KO82:KO83"/>
    <mergeCell ref="KP82:KP83"/>
    <mergeCell ref="JV72:JV74"/>
    <mergeCell ref="JW72:JY72"/>
    <mergeCell ref="JZ72:KB72"/>
    <mergeCell ref="KC72:KE72"/>
    <mergeCell ref="KF72:KH72"/>
    <mergeCell ref="KI72:KK72"/>
    <mergeCell ref="KL72:KN72"/>
    <mergeCell ref="KQ72:KQ74"/>
    <mergeCell ref="KR72:KR74"/>
    <mergeCell ref="KO73:KO74"/>
    <mergeCell ref="KP73:KP74"/>
    <mergeCell ref="JV75:JV77"/>
    <mergeCell ref="JW75:JY75"/>
    <mergeCell ref="JZ75:KB75"/>
    <mergeCell ref="KC75:KE75"/>
    <mergeCell ref="KF75:KH75"/>
    <mergeCell ref="KI75:KK75"/>
    <mergeCell ref="KL75:KN75"/>
    <mergeCell ref="KQ75:KQ77"/>
    <mergeCell ref="KR75:KR77"/>
    <mergeCell ref="KO76:KO77"/>
    <mergeCell ref="KP76:KP77"/>
    <mergeCell ref="JV66:JV68"/>
    <mergeCell ref="JW66:JY66"/>
    <mergeCell ref="JZ66:KB66"/>
    <mergeCell ref="KC66:KE66"/>
    <mergeCell ref="KF66:KH66"/>
    <mergeCell ref="KI66:KK66"/>
    <mergeCell ref="KL66:KN66"/>
    <mergeCell ref="KQ66:KQ68"/>
    <mergeCell ref="KR66:KR68"/>
    <mergeCell ref="KO67:KO68"/>
    <mergeCell ref="KP67:KP68"/>
    <mergeCell ref="JV69:JV71"/>
    <mergeCell ref="JW69:JY69"/>
    <mergeCell ref="JZ69:KB69"/>
    <mergeCell ref="KC69:KE69"/>
    <mergeCell ref="KF69:KH69"/>
    <mergeCell ref="KI69:KK69"/>
    <mergeCell ref="KL69:KN69"/>
    <mergeCell ref="KQ69:KQ71"/>
    <mergeCell ref="KR69:KR71"/>
    <mergeCell ref="KO70:KO71"/>
    <mergeCell ref="KP70:KP71"/>
    <mergeCell ref="JV60:JV62"/>
    <mergeCell ref="JW60:JY60"/>
    <mergeCell ref="JZ60:KB60"/>
    <mergeCell ref="KC60:KE60"/>
    <mergeCell ref="KF60:KH60"/>
    <mergeCell ref="KI60:KK60"/>
    <mergeCell ref="KL60:KN60"/>
    <mergeCell ref="KQ60:KQ62"/>
    <mergeCell ref="KR60:KR62"/>
    <mergeCell ref="KO61:KO62"/>
    <mergeCell ref="KP61:KP62"/>
    <mergeCell ref="JV63:JV65"/>
    <mergeCell ref="JW63:JY63"/>
    <mergeCell ref="JZ63:KB63"/>
    <mergeCell ref="KC63:KE63"/>
    <mergeCell ref="KF63:KH63"/>
    <mergeCell ref="KI63:KK63"/>
    <mergeCell ref="KL63:KN63"/>
    <mergeCell ref="KQ63:KQ65"/>
    <mergeCell ref="KR63:KR65"/>
    <mergeCell ref="KO64:KO65"/>
    <mergeCell ref="KP64:KP65"/>
    <mergeCell ref="JV54:JV56"/>
    <mergeCell ref="JW54:JY54"/>
    <mergeCell ref="JZ54:KB54"/>
    <mergeCell ref="KC54:KE54"/>
    <mergeCell ref="KF54:KH54"/>
    <mergeCell ref="KI54:KK54"/>
    <mergeCell ref="KL54:KN54"/>
    <mergeCell ref="KQ54:KQ56"/>
    <mergeCell ref="KR54:KR56"/>
    <mergeCell ref="KO55:KO56"/>
    <mergeCell ref="KP55:KP56"/>
    <mergeCell ref="JV57:JV59"/>
    <mergeCell ref="JW57:JY57"/>
    <mergeCell ref="JZ57:KB57"/>
    <mergeCell ref="KC57:KE57"/>
    <mergeCell ref="KF57:KH57"/>
    <mergeCell ref="KI57:KK57"/>
    <mergeCell ref="KL57:KN57"/>
    <mergeCell ref="KQ57:KQ59"/>
    <mergeCell ref="KR57:KR59"/>
    <mergeCell ref="KO58:KO59"/>
    <mergeCell ref="KP58:KP59"/>
    <mergeCell ref="JV48:JV50"/>
    <mergeCell ref="JW48:JY48"/>
    <mergeCell ref="JZ48:KB48"/>
    <mergeCell ref="KC48:KE48"/>
    <mergeCell ref="KF48:KH48"/>
    <mergeCell ref="KI48:KK48"/>
    <mergeCell ref="KL48:KN48"/>
    <mergeCell ref="KQ48:KQ50"/>
    <mergeCell ref="KR48:KR50"/>
    <mergeCell ref="KO49:KO50"/>
    <mergeCell ref="KP49:KP50"/>
    <mergeCell ref="JV51:JV53"/>
    <mergeCell ref="JW51:JY51"/>
    <mergeCell ref="JZ51:KB51"/>
    <mergeCell ref="KC51:KE51"/>
    <mergeCell ref="KF51:KH51"/>
    <mergeCell ref="KI51:KK51"/>
    <mergeCell ref="KL51:KN51"/>
    <mergeCell ref="KQ51:KQ53"/>
    <mergeCell ref="KR51:KR53"/>
    <mergeCell ref="KO52:KO53"/>
    <mergeCell ref="KP52:KP53"/>
    <mergeCell ref="JV42:JV44"/>
    <mergeCell ref="JW42:JY42"/>
    <mergeCell ref="JZ42:KB42"/>
    <mergeCell ref="KC42:KE42"/>
    <mergeCell ref="KF42:KH42"/>
    <mergeCell ref="KI42:KK42"/>
    <mergeCell ref="KL42:KN42"/>
    <mergeCell ref="KQ42:KQ44"/>
    <mergeCell ref="KR42:KR44"/>
    <mergeCell ref="KO43:KO44"/>
    <mergeCell ref="KP43:KP44"/>
    <mergeCell ref="JV45:JV47"/>
    <mergeCell ref="JW45:JY45"/>
    <mergeCell ref="JZ45:KB45"/>
    <mergeCell ref="KC45:KE45"/>
    <mergeCell ref="KF45:KH45"/>
    <mergeCell ref="KI45:KK45"/>
    <mergeCell ref="KL45:KN45"/>
    <mergeCell ref="KQ45:KQ47"/>
    <mergeCell ref="KR45:KR47"/>
    <mergeCell ref="KO46:KO47"/>
    <mergeCell ref="KP46:KP47"/>
    <mergeCell ref="JV36:JV38"/>
    <mergeCell ref="JW36:JY36"/>
    <mergeCell ref="JZ36:KB36"/>
    <mergeCell ref="KC36:KE36"/>
    <mergeCell ref="KF36:KH36"/>
    <mergeCell ref="KI36:KK36"/>
    <mergeCell ref="KL36:KN36"/>
    <mergeCell ref="KQ36:KQ38"/>
    <mergeCell ref="KR36:KR38"/>
    <mergeCell ref="KO37:KO38"/>
    <mergeCell ref="KP37:KP38"/>
    <mergeCell ref="JV39:JV41"/>
    <mergeCell ref="JW39:JY39"/>
    <mergeCell ref="JZ39:KB39"/>
    <mergeCell ref="KC39:KE39"/>
    <mergeCell ref="KF39:KH39"/>
    <mergeCell ref="KI39:KK39"/>
    <mergeCell ref="KL39:KN39"/>
    <mergeCell ref="KQ39:KQ41"/>
    <mergeCell ref="KR39:KR41"/>
    <mergeCell ref="KO40:KO41"/>
    <mergeCell ref="KP40:KP41"/>
    <mergeCell ref="JV30:JV32"/>
    <mergeCell ref="JW30:JY30"/>
    <mergeCell ref="JZ30:KB30"/>
    <mergeCell ref="KC30:KE30"/>
    <mergeCell ref="KF30:KH30"/>
    <mergeCell ref="KI30:KK30"/>
    <mergeCell ref="KL30:KN30"/>
    <mergeCell ref="KQ30:KQ32"/>
    <mergeCell ref="KR30:KR32"/>
    <mergeCell ref="KO31:KO32"/>
    <mergeCell ref="KP31:KP32"/>
    <mergeCell ref="JV33:JV35"/>
    <mergeCell ref="JW33:JY33"/>
    <mergeCell ref="JZ33:KB33"/>
    <mergeCell ref="KC33:KE33"/>
    <mergeCell ref="KF33:KH33"/>
    <mergeCell ref="KI33:KK33"/>
    <mergeCell ref="KL33:KN33"/>
    <mergeCell ref="KQ33:KQ35"/>
    <mergeCell ref="KR33:KR35"/>
    <mergeCell ref="KO34:KO35"/>
    <mergeCell ref="KP34:KP35"/>
    <mergeCell ref="KC24:KE24"/>
    <mergeCell ref="KF24:KH24"/>
    <mergeCell ref="KI24:KK24"/>
    <mergeCell ref="KL24:KN24"/>
    <mergeCell ref="KQ24:KQ26"/>
    <mergeCell ref="KR24:KR26"/>
    <mergeCell ref="KO25:KO26"/>
    <mergeCell ref="KP25:KP26"/>
    <mergeCell ref="JV27:JV29"/>
    <mergeCell ref="JW27:JY27"/>
    <mergeCell ref="JZ27:KB27"/>
    <mergeCell ref="KC27:KE27"/>
    <mergeCell ref="KF27:KH27"/>
    <mergeCell ref="KI27:KK27"/>
    <mergeCell ref="KL27:KN27"/>
    <mergeCell ref="KQ27:KQ29"/>
    <mergeCell ref="KR27:KR29"/>
    <mergeCell ref="KO28:KO29"/>
    <mergeCell ref="KP28:KP29"/>
    <mergeCell ref="IX93:IX95"/>
    <mergeCell ref="IY93:JA93"/>
    <mergeCell ref="JB93:JD93"/>
    <mergeCell ref="JE93:JG93"/>
    <mergeCell ref="JH93:JJ93"/>
    <mergeCell ref="JK93:JM93"/>
    <mergeCell ref="JN93:JP93"/>
    <mergeCell ref="JS93:JS95"/>
    <mergeCell ref="JT93:JT95"/>
    <mergeCell ref="JQ94:JQ95"/>
    <mergeCell ref="JR94:JR95"/>
    <mergeCell ref="JS96:JS97"/>
    <mergeCell ref="JT96:JT97"/>
    <mergeCell ref="JV18:JV20"/>
    <mergeCell ref="KQ18:KQ20"/>
    <mergeCell ref="KR18:KR20"/>
    <mergeCell ref="KO19:KO20"/>
    <mergeCell ref="KP19:KP20"/>
    <mergeCell ref="JV21:JV23"/>
    <mergeCell ref="JW21:JY21"/>
    <mergeCell ref="JZ21:KB21"/>
    <mergeCell ref="KC21:KE21"/>
    <mergeCell ref="KF21:KH21"/>
    <mergeCell ref="KI21:KK21"/>
    <mergeCell ref="KL21:KN21"/>
    <mergeCell ref="KQ21:KQ23"/>
    <mergeCell ref="KR21:KR23"/>
    <mergeCell ref="KO22:KO23"/>
    <mergeCell ref="KP22:KP23"/>
    <mergeCell ref="JV24:JV26"/>
    <mergeCell ref="JW24:JY24"/>
    <mergeCell ref="JZ24:KB24"/>
    <mergeCell ref="IX87:IX89"/>
    <mergeCell ref="IY87:JA87"/>
    <mergeCell ref="JB87:JD87"/>
    <mergeCell ref="JE87:JG87"/>
    <mergeCell ref="JH87:JJ87"/>
    <mergeCell ref="JK87:JM87"/>
    <mergeCell ref="JN87:JP87"/>
    <mergeCell ref="JS87:JS89"/>
    <mergeCell ref="JT87:JT89"/>
    <mergeCell ref="JQ88:JQ89"/>
    <mergeCell ref="JR88:JR89"/>
    <mergeCell ref="IX90:IX92"/>
    <mergeCell ref="IY90:JA90"/>
    <mergeCell ref="JB90:JD90"/>
    <mergeCell ref="JE90:JG90"/>
    <mergeCell ref="JH90:JJ90"/>
    <mergeCell ref="JK90:JM90"/>
    <mergeCell ref="JN90:JP90"/>
    <mergeCell ref="JS90:JS92"/>
    <mergeCell ref="JT90:JT92"/>
    <mergeCell ref="JQ91:JQ92"/>
    <mergeCell ref="JR91:JR92"/>
    <mergeCell ref="IX81:IX83"/>
    <mergeCell ref="IY81:JA81"/>
    <mergeCell ref="JB81:JD81"/>
    <mergeCell ref="JE81:JG81"/>
    <mergeCell ref="JH81:JJ81"/>
    <mergeCell ref="JK81:JM81"/>
    <mergeCell ref="JN81:JP81"/>
    <mergeCell ref="JS81:JS83"/>
    <mergeCell ref="JT81:JT83"/>
    <mergeCell ref="JQ82:JQ83"/>
    <mergeCell ref="JR82:JR83"/>
    <mergeCell ref="IX84:IX86"/>
    <mergeCell ref="IY84:JA84"/>
    <mergeCell ref="JB84:JD84"/>
    <mergeCell ref="JE84:JG84"/>
    <mergeCell ref="JH84:JJ84"/>
    <mergeCell ref="JK84:JM84"/>
    <mergeCell ref="JN84:JP84"/>
    <mergeCell ref="JS84:JS86"/>
    <mergeCell ref="JT84:JT86"/>
    <mergeCell ref="JQ85:JQ86"/>
    <mergeCell ref="JR85:JR86"/>
    <mergeCell ref="IX75:IX77"/>
    <mergeCell ref="IY75:JA75"/>
    <mergeCell ref="JB75:JD75"/>
    <mergeCell ref="JE75:JG75"/>
    <mergeCell ref="JH75:JJ75"/>
    <mergeCell ref="JK75:JM75"/>
    <mergeCell ref="JN75:JP75"/>
    <mergeCell ref="JS75:JS77"/>
    <mergeCell ref="JT75:JT77"/>
    <mergeCell ref="JQ76:JQ77"/>
    <mergeCell ref="JR76:JR77"/>
    <mergeCell ref="IX78:IX80"/>
    <mergeCell ref="IY78:JA78"/>
    <mergeCell ref="JB78:JD78"/>
    <mergeCell ref="JE78:JG78"/>
    <mergeCell ref="JH78:JJ78"/>
    <mergeCell ref="JK78:JM78"/>
    <mergeCell ref="JN78:JP78"/>
    <mergeCell ref="JS78:JS80"/>
    <mergeCell ref="JT78:JT80"/>
    <mergeCell ref="JQ79:JQ80"/>
    <mergeCell ref="JR79:JR80"/>
    <mergeCell ref="IX69:IX71"/>
    <mergeCell ref="IY69:JA69"/>
    <mergeCell ref="JB69:JD69"/>
    <mergeCell ref="JE69:JG69"/>
    <mergeCell ref="JH69:JJ69"/>
    <mergeCell ref="JK69:JM69"/>
    <mergeCell ref="JN69:JP69"/>
    <mergeCell ref="JS69:JS71"/>
    <mergeCell ref="JT69:JT71"/>
    <mergeCell ref="JQ70:JQ71"/>
    <mergeCell ref="JR70:JR71"/>
    <mergeCell ref="IX72:IX74"/>
    <mergeCell ref="IY72:JA72"/>
    <mergeCell ref="JB72:JD72"/>
    <mergeCell ref="JE72:JG72"/>
    <mergeCell ref="JH72:JJ72"/>
    <mergeCell ref="JK72:JM72"/>
    <mergeCell ref="JN72:JP72"/>
    <mergeCell ref="JS72:JS74"/>
    <mergeCell ref="JT72:JT74"/>
    <mergeCell ref="JQ73:JQ74"/>
    <mergeCell ref="JR73:JR74"/>
    <mergeCell ref="IX63:IX65"/>
    <mergeCell ref="IY63:JA63"/>
    <mergeCell ref="JB63:JD63"/>
    <mergeCell ref="JE63:JG63"/>
    <mergeCell ref="JH63:JJ63"/>
    <mergeCell ref="JK63:JM63"/>
    <mergeCell ref="JN63:JP63"/>
    <mergeCell ref="JS63:JS65"/>
    <mergeCell ref="JT63:JT65"/>
    <mergeCell ref="JQ64:JQ65"/>
    <mergeCell ref="JR64:JR65"/>
    <mergeCell ref="IX66:IX68"/>
    <mergeCell ref="IY66:JA66"/>
    <mergeCell ref="JB66:JD66"/>
    <mergeCell ref="JE66:JG66"/>
    <mergeCell ref="JH66:JJ66"/>
    <mergeCell ref="JK66:JM66"/>
    <mergeCell ref="JN66:JP66"/>
    <mergeCell ref="JS66:JS68"/>
    <mergeCell ref="JT66:JT68"/>
    <mergeCell ref="JQ67:JQ68"/>
    <mergeCell ref="JR67:JR68"/>
    <mergeCell ref="IX57:IX59"/>
    <mergeCell ref="IY57:JA57"/>
    <mergeCell ref="JB57:JD57"/>
    <mergeCell ref="JE57:JG57"/>
    <mergeCell ref="JH57:JJ57"/>
    <mergeCell ref="JK57:JM57"/>
    <mergeCell ref="JN57:JP57"/>
    <mergeCell ref="JS57:JS59"/>
    <mergeCell ref="JT57:JT59"/>
    <mergeCell ref="JQ58:JQ59"/>
    <mergeCell ref="JR58:JR59"/>
    <mergeCell ref="IX60:IX62"/>
    <mergeCell ref="IY60:JA60"/>
    <mergeCell ref="JB60:JD60"/>
    <mergeCell ref="JE60:JG60"/>
    <mergeCell ref="JH60:JJ60"/>
    <mergeCell ref="JK60:JM60"/>
    <mergeCell ref="JN60:JP60"/>
    <mergeCell ref="JS60:JS62"/>
    <mergeCell ref="JT60:JT62"/>
    <mergeCell ref="JQ61:JQ62"/>
    <mergeCell ref="JR61:JR62"/>
    <mergeCell ref="IX51:IX53"/>
    <mergeCell ref="IY51:JA51"/>
    <mergeCell ref="JB51:JD51"/>
    <mergeCell ref="JE51:JG51"/>
    <mergeCell ref="JH51:JJ51"/>
    <mergeCell ref="JK51:JM51"/>
    <mergeCell ref="JN51:JP51"/>
    <mergeCell ref="JS51:JS53"/>
    <mergeCell ref="JT51:JT53"/>
    <mergeCell ref="JQ52:JQ53"/>
    <mergeCell ref="JR52:JR53"/>
    <mergeCell ref="IX54:IX56"/>
    <mergeCell ref="IY54:JA54"/>
    <mergeCell ref="JB54:JD54"/>
    <mergeCell ref="JE54:JG54"/>
    <mergeCell ref="JH54:JJ54"/>
    <mergeCell ref="JK54:JM54"/>
    <mergeCell ref="JN54:JP54"/>
    <mergeCell ref="JS54:JS56"/>
    <mergeCell ref="JT54:JT56"/>
    <mergeCell ref="JQ55:JQ56"/>
    <mergeCell ref="JR55:JR56"/>
    <mergeCell ref="IX45:IX47"/>
    <mergeCell ref="IY45:JA45"/>
    <mergeCell ref="JB45:JD45"/>
    <mergeCell ref="JE45:JG45"/>
    <mergeCell ref="JH45:JJ45"/>
    <mergeCell ref="JK45:JM45"/>
    <mergeCell ref="JN45:JP45"/>
    <mergeCell ref="JS45:JS47"/>
    <mergeCell ref="JT45:JT47"/>
    <mergeCell ref="JQ46:JQ47"/>
    <mergeCell ref="JR46:JR47"/>
    <mergeCell ref="IX48:IX50"/>
    <mergeCell ref="IY48:JA48"/>
    <mergeCell ref="JB48:JD48"/>
    <mergeCell ref="JE48:JG48"/>
    <mergeCell ref="JH48:JJ48"/>
    <mergeCell ref="JK48:JM48"/>
    <mergeCell ref="JN48:JP48"/>
    <mergeCell ref="JS48:JS50"/>
    <mergeCell ref="JT48:JT50"/>
    <mergeCell ref="JQ49:JQ50"/>
    <mergeCell ref="JR49:JR50"/>
    <mergeCell ref="IX39:IX41"/>
    <mergeCell ref="IY39:JA39"/>
    <mergeCell ref="JB39:JD39"/>
    <mergeCell ref="JE39:JG39"/>
    <mergeCell ref="JH39:JJ39"/>
    <mergeCell ref="JK39:JM39"/>
    <mergeCell ref="JN39:JP39"/>
    <mergeCell ref="JS39:JS41"/>
    <mergeCell ref="JT39:JT41"/>
    <mergeCell ref="JQ40:JQ41"/>
    <mergeCell ref="JR40:JR41"/>
    <mergeCell ref="IX42:IX44"/>
    <mergeCell ref="IY42:JA42"/>
    <mergeCell ref="JB42:JD42"/>
    <mergeCell ref="JE42:JG42"/>
    <mergeCell ref="JH42:JJ42"/>
    <mergeCell ref="JK42:JM42"/>
    <mergeCell ref="JN42:JP42"/>
    <mergeCell ref="JS42:JS44"/>
    <mergeCell ref="JT42:JT44"/>
    <mergeCell ref="JQ43:JQ44"/>
    <mergeCell ref="JR43:JR44"/>
    <mergeCell ref="IX33:IX35"/>
    <mergeCell ref="IY33:JA33"/>
    <mergeCell ref="JB33:JD33"/>
    <mergeCell ref="JE33:JG33"/>
    <mergeCell ref="JH33:JJ33"/>
    <mergeCell ref="JK33:JM33"/>
    <mergeCell ref="JN33:JP33"/>
    <mergeCell ref="JS33:JS35"/>
    <mergeCell ref="JT33:JT35"/>
    <mergeCell ref="JQ34:JQ35"/>
    <mergeCell ref="JR34:JR35"/>
    <mergeCell ref="IX36:IX38"/>
    <mergeCell ref="IY36:JA36"/>
    <mergeCell ref="JB36:JD36"/>
    <mergeCell ref="JE36:JG36"/>
    <mergeCell ref="JH36:JJ36"/>
    <mergeCell ref="JK36:JM36"/>
    <mergeCell ref="JN36:JP36"/>
    <mergeCell ref="JS36:JS38"/>
    <mergeCell ref="JT36:JT38"/>
    <mergeCell ref="JQ37:JQ38"/>
    <mergeCell ref="JR37:JR38"/>
    <mergeCell ref="JE27:JG27"/>
    <mergeCell ref="JH27:JJ27"/>
    <mergeCell ref="JK27:JM27"/>
    <mergeCell ref="JN27:JP27"/>
    <mergeCell ref="JS27:JS29"/>
    <mergeCell ref="JT27:JT29"/>
    <mergeCell ref="JQ28:JQ29"/>
    <mergeCell ref="JR28:JR29"/>
    <mergeCell ref="IX30:IX32"/>
    <mergeCell ref="IY30:JA30"/>
    <mergeCell ref="JB30:JD30"/>
    <mergeCell ref="JE30:JG30"/>
    <mergeCell ref="JH30:JJ30"/>
    <mergeCell ref="JK30:JM30"/>
    <mergeCell ref="JN30:JP30"/>
    <mergeCell ref="JS30:JS32"/>
    <mergeCell ref="JT30:JT32"/>
    <mergeCell ref="JQ31:JQ32"/>
    <mergeCell ref="JR31:JR32"/>
    <mergeCell ref="IU96:IU97"/>
    <mergeCell ref="IV96:IV97"/>
    <mergeCell ref="IX18:IX20"/>
    <mergeCell ref="JS18:JS20"/>
    <mergeCell ref="JT18:JT20"/>
    <mergeCell ref="JQ19:JQ20"/>
    <mergeCell ref="JR19:JR20"/>
    <mergeCell ref="IX21:IX23"/>
    <mergeCell ref="IY21:JA21"/>
    <mergeCell ref="JB21:JD21"/>
    <mergeCell ref="JE21:JG21"/>
    <mergeCell ref="JH21:JJ21"/>
    <mergeCell ref="JK21:JM21"/>
    <mergeCell ref="JN21:JP21"/>
    <mergeCell ref="JS21:JS23"/>
    <mergeCell ref="JT21:JT23"/>
    <mergeCell ref="JQ22:JQ23"/>
    <mergeCell ref="JR22:JR23"/>
    <mergeCell ref="IX24:IX26"/>
    <mergeCell ref="IY24:JA24"/>
    <mergeCell ref="JB24:JD24"/>
    <mergeCell ref="JE24:JG24"/>
    <mergeCell ref="JH24:JJ24"/>
    <mergeCell ref="JK24:JM24"/>
    <mergeCell ref="JN24:JP24"/>
    <mergeCell ref="JS24:JS26"/>
    <mergeCell ref="JT24:JT26"/>
    <mergeCell ref="JQ25:JQ26"/>
    <mergeCell ref="JR25:JR26"/>
    <mergeCell ref="IX27:IX29"/>
    <mergeCell ref="IY27:JA27"/>
    <mergeCell ref="JB27:JD27"/>
    <mergeCell ref="HZ90:HZ92"/>
    <mergeCell ref="IA90:IC90"/>
    <mergeCell ref="ID90:IF90"/>
    <mergeCell ref="IG90:II90"/>
    <mergeCell ref="IJ90:IL90"/>
    <mergeCell ref="IM90:IO90"/>
    <mergeCell ref="IP90:IR90"/>
    <mergeCell ref="IU90:IU92"/>
    <mergeCell ref="IV90:IV92"/>
    <mergeCell ref="IS91:IS92"/>
    <mergeCell ref="IT91:IT92"/>
    <mergeCell ref="HZ93:HZ95"/>
    <mergeCell ref="IA93:IC93"/>
    <mergeCell ref="ID93:IF93"/>
    <mergeCell ref="IG93:II93"/>
    <mergeCell ref="IJ93:IL93"/>
    <mergeCell ref="IM93:IO93"/>
    <mergeCell ref="IP93:IR93"/>
    <mergeCell ref="IU93:IU95"/>
    <mergeCell ref="IV93:IV95"/>
    <mergeCell ref="IS94:IS95"/>
    <mergeCell ref="IT94:IT95"/>
    <mergeCell ref="HZ84:HZ86"/>
    <mergeCell ref="IA84:IC84"/>
    <mergeCell ref="ID84:IF84"/>
    <mergeCell ref="IG84:II84"/>
    <mergeCell ref="IJ84:IL84"/>
    <mergeCell ref="IM84:IO84"/>
    <mergeCell ref="IP84:IR84"/>
    <mergeCell ref="IU84:IU86"/>
    <mergeCell ref="IV84:IV86"/>
    <mergeCell ref="IS85:IS86"/>
    <mergeCell ref="IT85:IT86"/>
    <mergeCell ref="HZ87:HZ89"/>
    <mergeCell ref="IA87:IC87"/>
    <mergeCell ref="ID87:IF87"/>
    <mergeCell ref="IG87:II87"/>
    <mergeCell ref="IJ87:IL87"/>
    <mergeCell ref="IM87:IO87"/>
    <mergeCell ref="IP87:IR87"/>
    <mergeCell ref="IU87:IU89"/>
    <mergeCell ref="IV87:IV89"/>
    <mergeCell ref="IS88:IS89"/>
    <mergeCell ref="IT88:IT89"/>
    <mergeCell ref="HZ78:HZ80"/>
    <mergeCell ref="IA78:IC78"/>
    <mergeCell ref="ID78:IF78"/>
    <mergeCell ref="IG78:II78"/>
    <mergeCell ref="IJ78:IL78"/>
    <mergeCell ref="IM78:IO78"/>
    <mergeCell ref="IP78:IR78"/>
    <mergeCell ref="IU78:IU80"/>
    <mergeCell ref="IV78:IV80"/>
    <mergeCell ref="IS79:IS80"/>
    <mergeCell ref="IT79:IT80"/>
    <mergeCell ref="HZ81:HZ83"/>
    <mergeCell ref="IA81:IC81"/>
    <mergeCell ref="ID81:IF81"/>
    <mergeCell ref="IG81:II81"/>
    <mergeCell ref="IJ81:IL81"/>
    <mergeCell ref="IM81:IO81"/>
    <mergeCell ref="IP81:IR81"/>
    <mergeCell ref="IU81:IU83"/>
    <mergeCell ref="IV81:IV83"/>
    <mergeCell ref="IS82:IS83"/>
    <mergeCell ref="IT82:IT83"/>
    <mergeCell ref="HZ72:HZ74"/>
    <mergeCell ref="IA72:IC72"/>
    <mergeCell ref="ID72:IF72"/>
    <mergeCell ref="IG72:II72"/>
    <mergeCell ref="IJ72:IL72"/>
    <mergeCell ref="IM72:IO72"/>
    <mergeCell ref="IP72:IR72"/>
    <mergeCell ref="IU72:IU74"/>
    <mergeCell ref="IV72:IV74"/>
    <mergeCell ref="IS73:IS74"/>
    <mergeCell ref="IT73:IT74"/>
    <mergeCell ref="HZ75:HZ77"/>
    <mergeCell ref="IA75:IC75"/>
    <mergeCell ref="ID75:IF75"/>
    <mergeCell ref="IG75:II75"/>
    <mergeCell ref="IJ75:IL75"/>
    <mergeCell ref="IM75:IO75"/>
    <mergeCell ref="IP75:IR75"/>
    <mergeCell ref="IU75:IU77"/>
    <mergeCell ref="IV75:IV77"/>
    <mergeCell ref="IS76:IS77"/>
    <mergeCell ref="IT76:IT77"/>
    <mergeCell ref="HZ66:HZ68"/>
    <mergeCell ref="IA66:IC66"/>
    <mergeCell ref="ID66:IF66"/>
    <mergeCell ref="IG66:II66"/>
    <mergeCell ref="IJ66:IL66"/>
    <mergeCell ref="IM66:IO66"/>
    <mergeCell ref="IP66:IR66"/>
    <mergeCell ref="IU66:IU68"/>
    <mergeCell ref="IV66:IV68"/>
    <mergeCell ref="IS67:IS68"/>
    <mergeCell ref="IT67:IT68"/>
    <mergeCell ref="HZ69:HZ71"/>
    <mergeCell ref="IA69:IC69"/>
    <mergeCell ref="ID69:IF69"/>
    <mergeCell ref="IG69:II69"/>
    <mergeCell ref="IJ69:IL69"/>
    <mergeCell ref="IM69:IO69"/>
    <mergeCell ref="IP69:IR69"/>
    <mergeCell ref="IU69:IU71"/>
    <mergeCell ref="IV69:IV71"/>
    <mergeCell ref="IS70:IS71"/>
    <mergeCell ref="IT70:IT71"/>
    <mergeCell ref="HZ60:HZ62"/>
    <mergeCell ref="IA60:IC60"/>
    <mergeCell ref="ID60:IF60"/>
    <mergeCell ref="IG60:II60"/>
    <mergeCell ref="IJ60:IL60"/>
    <mergeCell ref="IM60:IO60"/>
    <mergeCell ref="IP60:IR60"/>
    <mergeCell ref="IU60:IU62"/>
    <mergeCell ref="IV60:IV62"/>
    <mergeCell ref="IS61:IS62"/>
    <mergeCell ref="IT61:IT62"/>
    <mergeCell ref="HZ63:HZ65"/>
    <mergeCell ref="IA63:IC63"/>
    <mergeCell ref="ID63:IF63"/>
    <mergeCell ref="IG63:II63"/>
    <mergeCell ref="IJ63:IL63"/>
    <mergeCell ref="IM63:IO63"/>
    <mergeCell ref="IP63:IR63"/>
    <mergeCell ref="IU63:IU65"/>
    <mergeCell ref="IV63:IV65"/>
    <mergeCell ref="IS64:IS65"/>
    <mergeCell ref="IT64:IT65"/>
    <mergeCell ref="HZ54:HZ56"/>
    <mergeCell ref="IA54:IC54"/>
    <mergeCell ref="ID54:IF54"/>
    <mergeCell ref="IG54:II54"/>
    <mergeCell ref="IJ54:IL54"/>
    <mergeCell ref="IM54:IO54"/>
    <mergeCell ref="IP54:IR54"/>
    <mergeCell ref="IU54:IU56"/>
    <mergeCell ref="IV54:IV56"/>
    <mergeCell ref="IS55:IS56"/>
    <mergeCell ref="IT55:IT56"/>
    <mergeCell ref="HZ57:HZ59"/>
    <mergeCell ref="IA57:IC57"/>
    <mergeCell ref="ID57:IF57"/>
    <mergeCell ref="IG57:II57"/>
    <mergeCell ref="IJ57:IL57"/>
    <mergeCell ref="IM57:IO57"/>
    <mergeCell ref="IP57:IR57"/>
    <mergeCell ref="IU57:IU59"/>
    <mergeCell ref="IV57:IV59"/>
    <mergeCell ref="IS58:IS59"/>
    <mergeCell ref="IT58:IT59"/>
    <mergeCell ref="HZ48:HZ50"/>
    <mergeCell ref="IA48:IC48"/>
    <mergeCell ref="ID48:IF48"/>
    <mergeCell ref="IG48:II48"/>
    <mergeCell ref="IJ48:IL48"/>
    <mergeCell ref="IM48:IO48"/>
    <mergeCell ref="IP48:IR48"/>
    <mergeCell ref="IU48:IU50"/>
    <mergeCell ref="IV48:IV50"/>
    <mergeCell ref="IS49:IS50"/>
    <mergeCell ref="IT49:IT50"/>
    <mergeCell ref="HZ51:HZ53"/>
    <mergeCell ref="IA51:IC51"/>
    <mergeCell ref="ID51:IF51"/>
    <mergeCell ref="IG51:II51"/>
    <mergeCell ref="IJ51:IL51"/>
    <mergeCell ref="IM51:IO51"/>
    <mergeCell ref="IP51:IR51"/>
    <mergeCell ref="IU51:IU53"/>
    <mergeCell ref="IV51:IV53"/>
    <mergeCell ref="IS52:IS53"/>
    <mergeCell ref="IT52:IT53"/>
    <mergeCell ref="HZ42:HZ44"/>
    <mergeCell ref="IA42:IC42"/>
    <mergeCell ref="ID42:IF42"/>
    <mergeCell ref="IG42:II42"/>
    <mergeCell ref="IJ42:IL42"/>
    <mergeCell ref="IM42:IO42"/>
    <mergeCell ref="IP42:IR42"/>
    <mergeCell ref="IU42:IU44"/>
    <mergeCell ref="IV42:IV44"/>
    <mergeCell ref="IS43:IS44"/>
    <mergeCell ref="IT43:IT44"/>
    <mergeCell ref="HZ45:HZ47"/>
    <mergeCell ref="IA45:IC45"/>
    <mergeCell ref="ID45:IF45"/>
    <mergeCell ref="IG45:II45"/>
    <mergeCell ref="IJ45:IL45"/>
    <mergeCell ref="IM45:IO45"/>
    <mergeCell ref="IP45:IR45"/>
    <mergeCell ref="IU45:IU47"/>
    <mergeCell ref="IV45:IV47"/>
    <mergeCell ref="IS46:IS47"/>
    <mergeCell ref="IT46:IT47"/>
    <mergeCell ref="HZ36:HZ38"/>
    <mergeCell ref="IA36:IC36"/>
    <mergeCell ref="ID36:IF36"/>
    <mergeCell ref="IG36:II36"/>
    <mergeCell ref="IJ36:IL36"/>
    <mergeCell ref="IM36:IO36"/>
    <mergeCell ref="IP36:IR36"/>
    <mergeCell ref="IU36:IU38"/>
    <mergeCell ref="IV36:IV38"/>
    <mergeCell ref="IS37:IS38"/>
    <mergeCell ref="IT37:IT38"/>
    <mergeCell ref="HZ39:HZ41"/>
    <mergeCell ref="IA39:IC39"/>
    <mergeCell ref="ID39:IF39"/>
    <mergeCell ref="IG39:II39"/>
    <mergeCell ref="IJ39:IL39"/>
    <mergeCell ref="IM39:IO39"/>
    <mergeCell ref="IP39:IR39"/>
    <mergeCell ref="IU39:IU41"/>
    <mergeCell ref="IV39:IV41"/>
    <mergeCell ref="IS40:IS41"/>
    <mergeCell ref="IT40:IT41"/>
    <mergeCell ref="HZ30:HZ32"/>
    <mergeCell ref="IA30:IC30"/>
    <mergeCell ref="ID30:IF30"/>
    <mergeCell ref="IG30:II30"/>
    <mergeCell ref="IJ30:IL30"/>
    <mergeCell ref="IM30:IO30"/>
    <mergeCell ref="IP30:IR30"/>
    <mergeCell ref="IU30:IU32"/>
    <mergeCell ref="IV30:IV32"/>
    <mergeCell ref="IS31:IS32"/>
    <mergeCell ref="IT31:IT32"/>
    <mergeCell ref="HZ33:HZ35"/>
    <mergeCell ref="IA33:IC33"/>
    <mergeCell ref="ID33:IF33"/>
    <mergeCell ref="IG33:II33"/>
    <mergeCell ref="IJ33:IL33"/>
    <mergeCell ref="IM33:IO33"/>
    <mergeCell ref="IP33:IR33"/>
    <mergeCell ref="IU33:IU35"/>
    <mergeCell ref="IV33:IV35"/>
    <mergeCell ref="IS34:IS35"/>
    <mergeCell ref="IT34:IT35"/>
    <mergeCell ref="IG24:II24"/>
    <mergeCell ref="IJ24:IL24"/>
    <mergeCell ref="IM24:IO24"/>
    <mergeCell ref="IP24:IR24"/>
    <mergeCell ref="IU24:IU26"/>
    <mergeCell ref="IV24:IV26"/>
    <mergeCell ref="IS25:IS26"/>
    <mergeCell ref="IT25:IT26"/>
    <mergeCell ref="HZ27:HZ29"/>
    <mergeCell ref="IA27:IC27"/>
    <mergeCell ref="ID27:IF27"/>
    <mergeCell ref="IG27:II27"/>
    <mergeCell ref="IJ27:IL27"/>
    <mergeCell ref="IM27:IO27"/>
    <mergeCell ref="IP27:IR27"/>
    <mergeCell ref="IU27:IU29"/>
    <mergeCell ref="IV27:IV29"/>
    <mergeCell ref="IS28:IS29"/>
    <mergeCell ref="IT28:IT29"/>
    <mergeCell ref="HB93:HB95"/>
    <mergeCell ref="HC93:HE93"/>
    <mergeCell ref="HF93:HH93"/>
    <mergeCell ref="HI93:HK93"/>
    <mergeCell ref="HL93:HN93"/>
    <mergeCell ref="HO93:HQ93"/>
    <mergeCell ref="HR93:HT93"/>
    <mergeCell ref="HW93:HW95"/>
    <mergeCell ref="HX93:HX95"/>
    <mergeCell ref="HU94:HU95"/>
    <mergeCell ref="HV94:HV95"/>
    <mergeCell ref="HW96:HW97"/>
    <mergeCell ref="HX96:HX97"/>
    <mergeCell ref="HZ18:HZ20"/>
    <mergeCell ref="IU18:IU20"/>
    <mergeCell ref="IV18:IV20"/>
    <mergeCell ref="IS19:IS20"/>
    <mergeCell ref="IT19:IT20"/>
    <mergeCell ref="HZ21:HZ23"/>
    <mergeCell ref="IA21:IC21"/>
    <mergeCell ref="ID21:IF21"/>
    <mergeCell ref="IG21:II21"/>
    <mergeCell ref="IJ21:IL21"/>
    <mergeCell ref="IM21:IO21"/>
    <mergeCell ref="IP21:IR21"/>
    <mergeCell ref="IU21:IU23"/>
    <mergeCell ref="IV21:IV23"/>
    <mergeCell ref="IS22:IS23"/>
    <mergeCell ref="IT22:IT23"/>
    <mergeCell ref="HZ24:HZ26"/>
    <mergeCell ref="IA24:IC24"/>
    <mergeCell ref="ID24:IF24"/>
    <mergeCell ref="HB87:HB89"/>
    <mergeCell ref="HC87:HE87"/>
    <mergeCell ref="HF87:HH87"/>
    <mergeCell ref="HI87:HK87"/>
    <mergeCell ref="HL87:HN87"/>
    <mergeCell ref="HO87:HQ87"/>
    <mergeCell ref="HR87:HT87"/>
    <mergeCell ref="HW87:HW89"/>
    <mergeCell ref="HX87:HX89"/>
    <mergeCell ref="HU88:HU89"/>
    <mergeCell ref="HV88:HV89"/>
    <mergeCell ref="HB90:HB92"/>
    <mergeCell ref="HC90:HE90"/>
    <mergeCell ref="HF90:HH90"/>
    <mergeCell ref="HI90:HK90"/>
    <mergeCell ref="HL90:HN90"/>
    <mergeCell ref="HO90:HQ90"/>
    <mergeCell ref="HR90:HT90"/>
    <mergeCell ref="HW90:HW92"/>
    <mergeCell ref="HX90:HX92"/>
    <mergeCell ref="HU91:HU92"/>
    <mergeCell ref="HV91:HV92"/>
    <mergeCell ref="HB81:HB83"/>
    <mergeCell ref="HC81:HE81"/>
    <mergeCell ref="HF81:HH81"/>
    <mergeCell ref="HI81:HK81"/>
    <mergeCell ref="HL81:HN81"/>
    <mergeCell ref="HO81:HQ81"/>
    <mergeCell ref="HR81:HT81"/>
    <mergeCell ref="HW81:HW83"/>
    <mergeCell ref="HX81:HX83"/>
    <mergeCell ref="HU82:HU83"/>
    <mergeCell ref="HV82:HV83"/>
    <mergeCell ref="HB84:HB86"/>
    <mergeCell ref="HC84:HE84"/>
    <mergeCell ref="HF84:HH84"/>
    <mergeCell ref="HI84:HK84"/>
    <mergeCell ref="HL84:HN84"/>
    <mergeCell ref="HO84:HQ84"/>
    <mergeCell ref="HR84:HT84"/>
    <mergeCell ref="HW84:HW86"/>
    <mergeCell ref="HX84:HX86"/>
    <mergeCell ref="HU85:HU86"/>
    <mergeCell ref="HV85:HV86"/>
    <mergeCell ref="HB75:HB77"/>
    <mergeCell ref="HC75:HE75"/>
    <mergeCell ref="HF75:HH75"/>
    <mergeCell ref="HI75:HK75"/>
    <mergeCell ref="HL75:HN75"/>
    <mergeCell ref="HO75:HQ75"/>
    <mergeCell ref="HR75:HT75"/>
    <mergeCell ref="HW75:HW77"/>
    <mergeCell ref="HX75:HX77"/>
    <mergeCell ref="HU76:HU77"/>
    <mergeCell ref="HV76:HV77"/>
    <mergeCell ref="HB78:HB80"/>
    <mergeCell ref="HC78:HE78"/>
    <mergeCell ref="HF78:HH78"/>
    <mergeCell ref="HI78:HK78"/>
    <mergeCell ref="HL78:HN78"/>
    <mergeCell ref="HO78:HQ78"/>
    <mergeCell ref="HR78:HT78"/>
    <mergeCell ref="HW78:HW80"/>
    <mergeCell ref="HX78:HX80"/>
    <mergeCell ref="HU79:HU80"/>
    <mergeCell ref="HV79:HV80"/>
    <mergeCell ref="HB69:HB71"/>
    <mergeCell ref="HC69:HE69"/>
    <mergeCell ref="HF69:HH69"/>
    <mergeCell ref="HI69:HK69"/>
    <mergeCell ref="HL69:HN69"/>
    <mergeCell ref="HO69:HQ69"/>
    <mergeCell ref="HR69:HT69"/>
    <mergeCell ref="HW69:HW71"/>
    <mergeCell ref="HX69:HX71"/>
    <mergeCell ref="HU70:HU71"/>
    <mergeCell ref="HV70:HV71"/>
    <mergeCell ref="HB72:HB74"/>
    <mergeCell ref="HC72:HE72"/>
    <mergeCell ref="HF72:HH72"/>
    <mergeCell ref="HI72:HK72"/>
    <mergeCell ref="HL72:HN72"/>
    <mergeCell ref="HO72:HQ72"/>
    <mergeCell ref="HR72:HT72"/>
    <mergeCell ref="HW72:HW74"/>
    <mergeCell ref="HX72:HX74"/>
    <mergeCell ref="HU73:HU74"/>
    <mergeCell ref="HV73:HV74"/>
    <mergeCell ref="HB63:HB65"/>
    <mergeCell ref="HC63:HE63"/>
    <mergeCell ref="HF63:HH63"/>
    <mergeCell ref="HI63:HK63"/>
    <mergeCell ref="HL63:HN63"/>
    <mergeCell ref="HO63:HQ63"/>
    <mergeCell ref="HR63:HT63"/>
    <mergeCell ref="HW63:HW65"/>
    <mergeCell ref="HX63:HX65"/>
    <mergeCell ref="HU64:HU65"/>
    <mergeCell ref="HV64:HV65"/>
    <mergeCell ref="HB66:HB68"/>
    <mergeCell ref="HC66:HE66"/>
    <mergeCell ref="HF66:HH66"/>
    <mergeCell ref="HI66:HK66"/>
    <mergeCell ref="HL66:HN66"/>
    <mergeCell ref="HO66:HQ66"/>
    <mergeCell ref="HR66:HT66"/>
    <mergeCell ref="HW66:HW68"/>
    <mergeCell ref="HX66:HX68"/>
    <mergeCell ref="HU67:HU68"/>
    <mergeCell ref="HV67:HV68"/>
    <mergeCell ref="HB57:HB59"/>
    <mergeCell ref="HC57:HE57"/>
    <mergeCell ref="HF57:HH57"/>
    <mergeCell ref="HI57:HK57"/>
    <mergeCell ref="HL57:HN57"/>
    <mergeCell ref="HO57:HQ57"/>
    <mergeCell ref="HR57:HT57"/>
    <mergeCell ref="HW57:HW59"/>
    <mergeCell ref="HX57:HX59"/>
    <mergeCell ref="HU58:HU59"/>
    <mergeCell ref="HV58:HV59"/>
    <mergeCell ref="HB60:HB62"/>
    <mergeCell ref="HC60:HE60"/>
    <mergeCell ref="HF60:HH60"/>
    <mergeCell ref="HI60:HK60"/>
    <mergeCell ref="HL60:HN60"/>
    <mergeCell ref="HO60:HQ60"/>
    <mergeCell ref="HR60:HT60"/>
    <mergeCell ref="HW60:HW62"/>
    <mergeCell ref="HX60:HX62"/>
    <mergeCell ref="HU61:HU62"/>
    <mergeCell ref="HV61:HV62"/>
    <mergeCell ref="HB51:HB53"/>
    <mergeCell ref="HC51:HE51"/>
    <mergeCell ref="HF51:HH51"/>
    <mergeCell ref="HI51:HK51"/>
    <mergeCell ref="HL51:HN51"/>
    <mergeCell ref="HO51:HQ51"/>
    <mergeCell ref="HR51:HT51"/>
    <mergeCell ref="HW51:HW53"/>
    <mergeCell ref="HX51:HX53"/>
    <mergeCell ref="HU52:HU53"/>
    <mergeCell ref="HV52:HV53"/>
    <mergeCell ref="HB54:HB56"/>
    <mergeCell ref="HC54:HE54"/>
    <mergeCell ref="HF54:HH54"/>
    <mergeCell ref="HI54:HK54"/>
    <mergeCell ref="HL54:HN54"/>
    <mergeCell ref="HO54:HQ54"/>
    <mergeCell ref="HR54:HT54"/>
    <mergeCell ref="HW54:HW56"/>
    <mergeCell ref="HX54:HX56"/>
    <mergeCell ref="HU55:HU56"/>
    <mergeCell ref="HV55:HV56"/>
    <mergeCell ref="HB45:HB47"/>
    <mergeCell ref="HC45:HE45"/>
    <mergeCell ref="HF45:HH45"/>
    <mergeCell ref="HI45:HK45"/>
    <mergeCell ref="HL45:HN45"/>
    <mergeCell ref="HO45:HQ45"/>
    <mergeCell ref="HR45:HT45"/>
    <mergeCell ref="HW45:HW47"/>
    <mergeCell ref="HX45:HX47"/>
    <mergeCell ref="HU46:HU47"/>
    <mergeCell ref="HV46:HV47"/>
    <mergeCell ref="HB48:HB50"/>
    <mergeCell ref="HC48:HE48"/>
    <mergeCell ref="HF48:HH48"/>
    <mergeCell ref="HI48:HK48"/>
    <mergeCell ref="HL48:HN48"/>
    <mergeCell ref="HO48:HQ48"/>
    <mergeCell ref="HR48:HT48"/>
    <mergeCell ref="HW48:HW50"/>
    <mergeCell ref="HX48:HX50"/>
    <mergeCell ref="HU49:HU50"/>
    <mergeCell ref="HV49:HV50"/>
    <mergeCell ref="HB39:HB41"/>
    <mergeCell ref="HC39:HE39"/>
    <mergeCell ref="HF39:HH39"/>
    <mergeCell ref="HI39:HK39"/>
    <mergeCell ref="HL39:HN39"/>
    <mergeCell ref="HO39:HQ39"/>
    <mergeCell ref="HR39:HT39"/>
    <mergeCell ref="HW39:HW41"/>
    <mergeCell ref="HX39:HX41"/>
    <mergeCell ref="HU40:HU41"/>
    <mergeCell ref="HV40:HV41"/>
    <mergeCell ref="HB42:HB44"/>
    <mergeCell ref="HC42:HE42"/>
    <mergeCell ref="HF42:HH42"/>
    <mergeCell ref="HI42:HK42"/>
    <mergeCell ref="HL42:HN42"/>
    <mergeCell ref="HO42:HQ42"/>
    <mergeCell ref="HR42:HT42"/>
    <mergeCell ref="HW42:HW44"/>
    <mergeCell ref="HX42:HX44"/>
    <mergeCell ref="HU43:HU44"/>
    <mergeCell ref="HV43:HV44"/>
    <mergeCell ref="HB33:HB35"/>
    <mergeCell ref="HC33:HE33"/>
    <mergeCell ref="HF33:HH33"/>
    <mergeCell ref="HI33:HK33"/>
    <mergeCell ref="HL33:HN33"/>
    <mergeCell ref="HO33:HQ33"/>
    <mergeCell ref="HR33:HT33"/>
    <mergeCell ref="HW33:HW35"/>
    <mergeCell ref="HX33:HX35"/>
    <mergeCell ref="HU34:HU35"/>
    <mergeCell ref="HV34:HV35"/>
    <mergeCell ref="HB36:HB38"/>
    <mergeCell ref="HC36:HE36"/>
    <mergeCell ref="HF36:HH36"/>
    <mergeCell ref="HI36:HK36"/>
    <mergeCell ref="HL36:HN36"/>
    <mergeCell ref="HO36:HQ36"/>
    <mergeCell ref="HR36:HT36"/>
    <mergeCell ref="HW36:HW38"/>
    <mergeCell ref="HX36:HX38"/>
    <mergeCell ref="HU37:HU38"/>
    <mergeCell ref="HV37:HV38"/>
    <mergeCell ref="HI27:HK27"/>
    <mergeCell ref="HL27:HN27"/>
    <mergeCell ref="HO27:HQ27"/>
    <mergeCell ref="HR27:HT27"/>
    <mergeCell ref="HW27:HW29"/>
    <mergeCell ref="HX27:HX29"/>
    <mergeCell ref="HU28:HU29"/>
    <mergeCell ref="HV28:HV29"/>
    <mergeCell ref="HB30:HB32"/>
    <mergeCell ref="HC30:HE30"/>
    <mergeCell ref="HF30:HH30"/>
    <mergeCell ref="HI30:HK30"/>
    <mergeCell ref="HL30:HN30"/>
    <mergeCell ref="HO30:HQ30"/>
    <mergeCell ref="HR30:HT30"/>
    <mergeCell ref="HW30:HW32"/>
    <mergeCell ref="HX30:HX32"/>
    <mergeCell ref="HU31:HU32"/>
    <mergeCell ref="HV31:HV32"/>
    <mergeCell ref="GY96:GY97"/>
    <mergeCell ref="GZ96:GZ97"/>
    <mergeCell ref="HB18:HB20"/>
    <mergeCell ref="HW18:HW20"/>
    <mergeCell ref="HX18:HX20"/>
    <mergeCell ref="HU19:HU20"/>
    <mergeCell ref="HV19:HV20"/>
    <mergeCell ref="HB21:HB23"/>
    <mergeCell ref="HC21:HE21"/>
    <mergeCell ref="HF21:HH21"/>
    <mergeCell ref="HI21:HK21"/>
    <mergeCell ref="HL21:HN21"/>
    <mergeCell ref="HO21:HQ21"/>
    <mergeCell ref="HR21:HT21"/>
    <mergeCell ref="HW21:HW23"/>
    <mergeCell ref="HX21:HX23"/>
    <mergeCell ref="HU22:HU23"/>
    <mergeCell ref="HV22:HV23"/>
    <mergeCell ref="HB24:HB26"/>
    <mergeCell ref="HC24:HE24"/>
    <mergeCell ref="HF24:HH24"/>
    <mergeCell ref="HI24:HK24"/>
    <mergeCell ref="HL24:HN24"/>
    <mergeCell ref="HO24:HQ24"/>
    <mergeCell ref="HR24:HT24"/>
    <mergeCell ref="HW24:HW26"/>
    <mergeCell ref="HX24:HX26"/>
    <mergeCell ref="HU25:HU26"/>
    <mergeCell ref="HV25:HV26"/>
    <mergeCell ref="HB27:HB29"/>
    <mergeCell ref="HC27:HE27"/>
    <mergeCell ref="HF27:HH27"/>
    <mergeCell ref="GD90:GD92"/>
    <mergeCell ref="GE90:GG90"/>
    <mergeCell ref="GH90:GJ90"/>
    <mergeCell ref="GK90:GM90"/>
    <mergeCell ref="GN90:GP90"/>
    <mergeCell ref="GQ90:GS90"/>
    <mergeCell ref="GT90:GV90"/>
    <mergeCell ref="GY90:GY92"/>
    <mergeCell ref="GZ90:GZ92"/>
    <mergeCell ref="GW91:GW92"/>
    <mergeCell ref="GX91:GX92"/>
    <mergeCell ref="GD93:GD95"/>
    <mergeCell ref="GE93:GG93"/>
    <mergeCell ref="GH93:GJ93"/>
    <mergeCell ref="GK93:GM93"/>
    <mergeCell ref="GN93:GP93"/>
    <mergeCell ref="GQ93:GS93"/>
    <mergeCell ref="GT93:GV93"/>
    <mergeCell ref="GY93:GY95"/>
    <mergeCell ref="GZ93:GZ95"/>
    <mergeCell ref="GW94:GW95"/>
    <mergeCell ref="GX94:GX95"/>
    <mergeCell ref="GD84:GD86"/>
    <mergeCell ref="GE84:GG84"/>
    <mergeCell ref="GH84:GJ84"/>
    <mergeCell ref="GK84:GM84"/>
    <mergeCell ref="GN84:GP84"/>
    <mergeCell ref="GQ84:GS84"/>
    <mergeCell ref="GT84:GV84"/>
    <mergeCell ref="GY84:GY86"/>
    <mergeCell ref="GZ84:GZ86"/>
    <mergeCell ref="GW85:GW86"/>
    <mergeCell ref="GX85:GX86"/>
    <mergeCell ref="GD87:GD89"/>
    <mergeCell ref="GE87:GG87"/>
    <mergeCell ref="GH87:GJ87"/>
    <mergeCell ref="GK87:GM87"/>
    <mergeCell ref="GN87:GP87"/>
    <mergeCell ref="GQ87:GS87"/>
    <mergeCell ref="GT87:GV87"/>
    <mergeCell ref="GY87:GY89"/>
    <mergeCell ref="GZ87:GZ89"/>
    <mergeCell ref="GW88:GW89"/>
    <mergeCell ref="GX88:GX89"/>
    <mergeCell ref="GD78:GD80"/>
    <mergeCell ref="GE78:GG78"/>
    <mergeCell ref="GH78:GJ78"/>
    <mergeCell ref="GK78:GM78"/>
    <mergeCell ref="GN78:GP78"/>
    <mergeCell ref="GQ78:GS78"/>
    <mergeCell ref="GT78:GV78"/>
    <mergeCell ref="GY78:GY80"/>
    <mergeCell ref="GZ78:GZ80"/>
    <mergeCell ref="GW79:GW80"/>
    <mergeCell ref="GX79:GX80"/>
    <mergeCell ref="GD81:GD83"/>
    <mergeCell ref="GE81:GG81"/>
    <mergeCell ref="GH81:GJ81"/>
    <mergeCell ref="GK81:GM81"/>
    <mergeCell ref="GN81:GP81"/>
    <mergeCell ref="GQ81:GS81"/>
    <mergeCell ref="GT81:GV81"/>
    <mergeCell ref="GY81:GY83"/>
    <mergeCell ref="GZ81:GZ83"/>
    <mergeCell ref="GW82:GW83"/>
    <mergeCell ref="GX82:GX83"/>
    <mergeCell ref="GD72:GD74"/>
    <mergeCell ref="GE72:GG72"/>
    <mergeCell ref="GH72:GJ72"/>
    <mergeCell ref="GK72:GM72"/>
    <mergeCell ref="GN72:GP72"/>
    <mergeCell ref="GQ72:GS72"/>
    <mergeCell ref="GT72:GV72"/>
    <mergeCell ref="GY72:GY74"/>
    <mergeCell ref="GZ72:GZ74"/>
    <mergeCell ref="GW73:GW74"/>
    <mergeCell ref="GX73:GX74"/>
    <mergeCell ref="GD75:GD77"/>
    <mergeCell ref="GE75:GG75"/>
    <mergeCell ref="GH75:GJ75"/>
    <mergeCell ref="GK75:GM75"/>
    <mergeCell ref="GN75:GP75"/>
    <mergeCell ref="GQ75:GS75"/>
    <mergeCell ref="GT75:GV75"/>
    <mergeCell ref="GY75:GY77"/>
    <mergeCell ref="GZ75:GZ77"/>
    <mergeCell ref="GW76:GW77"/>
    <mergeCell ref="GX76:GX77"/>
    <mergeCell ref="GD66:GD68"/>
    <mergeCell ref="GE66:GG66"/>
    <mergeCell ref="GH66:GJ66"/>
    <mergeCell ref="GK66:GM66"/>
    <mergeCell ref="GN66:GP66"/>
    <mergeCell ref="GQ66:GS66"/>
    <mergeCell ref="GT66:GV66"/>
    <mergeCell ref="GY66:GY68"/>
    <mergeCell ref="GZ66:GZ68"/>
    <mergeCell ref="GW67:GW68"/>
    <mergeCell ref="GX67:GX68"/>
    <mergeCell ref="GD69:GD71"/>
    <mergeCell ref="GE69:GG69"/>
    <mergeCell ref="GH69:GJ69"/>
    <mergeCell ref="GK69:GM69"/>
    <mergeCell ref="GN69:GP69"/>
    <mergeCell ref="GQ69:GS69"/>
    <mergeCell ref="GT69:GV69"/>
    <mergeCell ref="GY69:GY71"/>
    <mergeCell ref="GZ69:GZ71"/>
    <mergeCell ref="GW70:GW71"/>
    <mergeCell ref="GX70:GX71"/>
    <mergeCell ref="GD60:GD62"/>
    <mergeCell ref="GE60:GG60"/>
    <mergeCell ref="GH60:GJ60"/>
    <mergeCell ref="GK60:GM60"/>
    <mergeCell ref="GN60:GP60"/>
    <mergeCell ref="GQ60:GS60"/>
    <mergeCell ref="GT60:GV60"/>
    <mergeCell ref="GY60:GY62"/>
    <mergeCell ref="GZ60:GZ62"/>
    <mergeCell ref="GW61:GW62"/>
    <mergeCell ref="GX61:GX62"/>
    <mergeCell ref="GD63:GD65"/>
    <mergeCell ref="GE63:GG63"/>
    <mergeCell ref="GH63:GJ63"/>
    <mergeCell ref="GK63:GM63"/>
    <mergeCell ref="GN63:GP63"/>
    <mergeCell ref="GQ63:GS63"/>
    <mergeCell ref="GT63:GV63"/>
    <mergeCell ref="GY63:GY65"/>
    <mergeCell ref="GZ63:GZ65"/>
    <mergeCell ref="GW64:GW65"/>
    <mergeCell ref="GX64:GX65"/>
    <mergeCell ref="GD54:GD56"/>
    <mergeCell ref="GE54:GG54"/>
    <mergeCell ref="GH54:GJ54"/>
    <mergeCell ref="GK54:GM54"/>
    <mergeCell ref="GN54:GP54"/>
    <mergeCell ref="GQ54:GS54"/>
    <mergeCell ref="GT54:GV54"/>
    <mergeCell ref="GY54:GY56"/>
    <mergeCell ref="GZ54:GZ56"/>
    <mergeCell ref="GW55:GW56"/>
    <mergeCell ref="GX55:GX56"/>
    <mergeCell ref="GD57:GD59"/>
    <mergeCell ref="GE57:GG57"/>
    <mergeCell ref="GH57:GJ57"/>
    <mergeCell ref="GK57:GM57"/>
    <mergeCell ref="GN57:GP57"/>
    <mergeCell ref="GQ57:GS57"/>
    <mergeCell ref="GT57:GV57"/>
    <mergeCell ref="GY57:GY59"/>
    <mergeCell ref="GZ57:GZ59"/>
    <mergeCell ref="GW58:GW59"/>
    <mergeCell ref="GX58:GX59"/>
    <mergeCell ref="GD48:GD50"/>
    <mergeCell ref="GE48:GG48"/>
    <mergeCell ref="GH48:GJ48"/>
    <mergeCell ref="GK48:GM48"/>
    <mergeCell ref="GN48:GP48"/>
    <mergeCell ref="GQ48:GS48"/>
    <mergeCell ref="GT48:GV48"/>
    <mergeCell ref="GY48:GY50"/>
    <mergeCell ref="GZ48:GZ50"/>
    <mergeCell ref="GW49:GW50"/>
    <mergeCell ref="GX49:GX50"/>
    <mergeCell ref="GD51:GD53"/>
    <mergeCell ref="GE51:GG51"/>
    <mergeCell ref="GH51:GJ51"/>
    <mergeCell ref="GK51:GM51"/>
    <mergeCell ref="GN51:GP51"/>
    <mergeCell ref="GQ51:GS51"/>
    <mergeCell ref="GT51:GV51"/>
    <mergeCell ref="GY51:GY53"/>
    <mergeCell ref="GZ51:GZ53"/>
    <mergeCell ref="GW52:GW53"/>
    <mergeCell ref="GX52:GX53"/>
    <mergeCell ref="GD42:GD44"/>
    <mergeCell ref="GE42:GG42"/>
    <mergeCell ref="GH42:GJ42"/>
    <mergeCell ref="GK42:GM42"/>
    <mergeCell ref="GN42:GP42"/>
    <mergeCell ref="GQ42:GS42"/>
    <mergeCell ref="GT42:GV42"/>
    <mergeCell ref="GY42:GY44"/>
    <mergeCell ref="GZ42:GZ44"/>
    <mergeCell ref="GW43:GW44"/>
    <mergeCell ref="GX43:GX44"/>
    <mergeCell ref="GD45:GD47"/>
    <mergeCell ref="GE45:GG45"/>
    <mergeCell ref="GH45:GJ45"/>
    <mergeCell ref="GK45:GM45"/>
    <mergeCell ref="GN45:GP45"/>
    <mergeCell ref="GQ45:GS45"/>
    <mergeCell ref="GT45:GV45"/>
    <mergeCell ref="GY45:GY47"/>
    <mergeCell ref="GZ45:GZ47"/>
    <mergeCell ref="GW46:GW47"/>
    <mergeCell ref="GX46:GX47"/>
    <mergeCell ref="GD36:GD38"/>
    <mergeCell ref="GE36:GG36"/>
    <mergeCell ref="GH36:GJ36"/>
    <mergeCell ref="GK36:GM36"/>
    <mergeCell ref="GN36:GP36"/>
    <mergeCell ref="GQ36:GS36"/>
    <mergeCell ref="GT36:GV36"/>
    <mergeCell ref="GY36:GY38"/>
    <mergeCell ref="GZ36:GZ38"/>
    <mergeCell ref="GW37:GW38"/>
    <mergeCell ref="GX37:GX38"/>
    <mergeCell ref="GD39:GD41"/>
    <mergeCell ref="GE39:GG39"/>
    <mergeCell ref="GH39:GJ39"/>
    <mergeCell ref="GK39:GM39"/>
    <mergeCell ref="GN39:GP39"/>
    <mergeCell ref="GQ39:GS39"/>
    <mergeCell ref="GT39:GV39"/>
    <mergeCell ref="GY39:GY41"/>
    <mergeCell ref="GZ39:GZ41"/>
    <mergeCell ref="GW40:GW41"/>
    <mergeCell ref="GX40:GX41"/>
    <mergeCell ref="GD30:GD32"/>
    <mergeCell ref="GE30:GG30"/>
    <mergeCell ref="GH30:GJ30"/>
    <mergeCell ref="GK30:GM30"/>
    <mergeCell ref="GN30:GP30"/>
    <mergeCell ref="GQ30:GS30"/>
    <mergeCell ref="GT30:GV30"/>
    <mergeCell ref="GY30:GY32"/>
    <mergeCell ref="GZ30:GZ32"/>
    <mergeCell ref="GW31:GW32"/>
    <mergeCell ref="GX31:GX32"/>
    <mergeCell ref="GD33:GD35"/>
    <mergeCell ref="GE33:GG33"/>
    <mergeCell ref="GH33:GJ33"/>
    <mergeCell ref="GK33:GM33"/>
    <mergeCell ref="GN33:GP33"/>
    <mergeCell ref="GQ33:GS33"/>
    <mergeCell ref="GT33:GV33"/>
    <mergeCell ref="GY33:GY35"/>
    <mergeCell ref="GZ33:GZ35"/>
    <mergeCell ref="GW34:GW35"/>
    <mergeCell ref="GX34:GX35"/>
    <mergeCell ref="GK24:GM24"/>
    <mergeCell ref="GN24:GP24"/>
    <mergeCell ref="GQ24:GS24"/>
    <mergeCell ref="GT24:GV24"/>
    <mergeCell ref="GY24:GY26"/>
    <mergeCell ref="GZ24:GZ26"/>
    <mergeCell ref="GW25:GW26"/>
    <mergeCell ref="GX25:GX26"/>
    <mergeCell ref="GD27:GD29"/>
    <mergeCell ref="GE27:GG27"/>
    <mergeCell ref="GH27:GJ27"/>
    <mergeCell ref="GK27:GM27"/>
    <mergeCell ref="GN27:GP27"/>
    <mergeCell ref="GQ27:GS27"/>
    <mergeCell ref="GT27:GV27"/>
    <mergeCell ref="GY27:GY29"/>
    <mergeCell ref="GZ27:GZ29"/>
    <mergeCell ref="GW28:GW29"/>
    <mergeCell ref="GX28:GX29"/>
    <mergeCell ref="FF93:FF95"/>
    <mergeCell ref="FG93:FI93"/>
    <mergeCell ref="FJ93:FL93"/>
    <mergeCell ref="FM93:FO93"/>
    <mergeCell ref="FP93:FR93"/>
    <mergeCell ref="FS93:FU93"/>
    <mergeCell ref="FV93:FX93"/>
    <mergeCell ref="GA93:GA95"/>
    <mergeCell ref="GB93:GB95"/>
    <mergeCell ref="FY94:FY95"/>
    <mergeCell ref="FZ94:FZ95"/>
    <mergeCell ref="GA96:GA97"/>
    <mergeCell ref="GB96:GB97"/>
    <mergeCell ref="GD18:GD20"/>
    <mergeCell ref="GY18:GY20"/>
    <mergeCell ref="GZ18:GZ20"/>
    <mergeCell ref="GW19:GW20"/>
    <mergeCell ref="GX19:GX20"/>
    <mergeCell ref="GD21:GD23"/>
    <mergeCell ref="GE21:GG21"/>
    <mergeCell ref="GH21:GJ21"/>
    <mergeCell ref="GK21:GM21"/>
    <mergeCell ref="GN21:GP21"/>
    <mergeCell ref="GQ21:GS21"/>
    <mergeCell ref="GT21:GV21"/>
    <mergeCell ref="GY21:GY23"/>
    <mergeCell ref="GZ21:GZ23"/>
    <mergeCell ref="GW22:GW23"/>
    <mergeCell ref="GX22:GX23"/>
    <mergeCell ref="GD24:GD26"/>
    <mergeCell ref="GE24:GG24"/>
    <mergeCell ref="GH24:GJ24"/>
    <mergeCell ref="FF87:FF89"/>
    <mergeCell ref="FG87:FI87"/>
    <mergeCell ref="FJ87:FL87"/>
    <mergeCell ref="FM87:FO87"/>
    <mergeCell ref="FP87:FR87"/>
    <mergeCell ref="FS87:FU87"/>
    <mergeCell ref="FV87:FX87"/>
    <mergeCell ref="GA87:GA89"/>
    <mergeCell ref="GB87:GB89"/>
    <mergeCell ref="FY88:FY89"/>
    <mergeCell ref="FZ88:FZ89"/>
    <mergeCell ref="FF90:FF92"/>
    <mergeCell ref="FG90:FI90"/>
    <mergeCell ref="FJ90:FL90"/>
    <mergeCell ref="FM90:FO90"/>
    <mergeCell ref="FP90:FR90"/>
    <mergeCell ref="FS90:FU90"/>
    <mergeCell ref="FV90:FX90"/>
    <mergeCell ref="GA90:GA92"/>
    <mergeCell ref="GB90:GB92"/>
    <mergeCell ref="FY91:FY92"/>
    <mergeCell ref="FZ91:FZ92"/>
    <mergeCell ref="FF81:FF83"/>
    <mergeCell ref="FG81:FI81"/>
    <mergeCell ref="FJ81:FL81"/>
    <mergeCell ref="FM81:FO81"/>
    <mergeCell ref="FP81:FR81"/>
    <mergeCell ref="FS81:FU81"/>
    <mergeCell ref="FV81:FX81"/>
    <mergeCell ref="GA81:GA83"/>
    <mergeCell ref="GB81:GB83"/>
    <mergeCell ref="FY82:FY83"/>
    <mergeCell ref="FZ82:FZ83"/>
    <mergeCell ref="FF84:FF86"/>
    <mergeCell ref="FG84:FI84"/>
    <mergeCell ref="FJ84:FL84"/>
    <mergeCell ref="FM84:FO84"/>
    <mergeCell ref="FP84:FR84"/>
    <mergeCell ref="FS84:FU84"/>
    <mergeCell ref="FV84:FX84"/>
    <mergeCell ref="GA84:GA86"/>
    <mergeCell ref="GB84:GB86"/>
    <mergeCell ref="FY85:FY86"/>
    <mergeCell ref="FZ85:FZ86"/>
    <mergeCell ref="FF75:FF77"/>
    <mergeCell ref="FG75:FI75"/>
    <mergeCell ref="FJ75:FL75"/>
    <mergeCell ref="FM75:FO75"/>
    <mergeCell ref="FP75:FR75"/>
    <mergeCell ref="FS75:FU75"/>
    <mergeCell ref="FV75:FX75"/>
    <mergeCell ref="GA75:GA77"/>
    <mergeCell ref="GB75:GB77"/>
    <mergeCell ref="FY76:FY77"/>
    <mergeCell ref="FZ76:FZ77"/>
    <mergeCell ref="FF78:FF80"/>
    <mergeCell ref="FG78:FI78"/>
    <mergeCell ref="FJ78:FL78"/>
    <mergeCell ref="FM78:FO78"/>
    <mergeCell ref="FP78:FR78"/>
    <mergeCell ref="FS78:FU78"/>
    <mergeCell ref="FV78:FX78"/>
    <mergeCell ref="GA78:GA80"/>
    <mergeCell ref="GB78:GB80"/>
    <mergeCell ref="FY79:FY80"/>
    <mergeCell ref="FZ79:FZ80"/>
    <mergeCell ref="FF69:FF71"/>
    <mergeCell ref="FG69:FI69"/>
    <mergeCell ref="FJ69:FL69"/>
    <mergeCell ref="FM69:FO69"/>
    <mergeCell ref="FP69:FR69"/>
    <mergeCell ref="FS69:FU69"/>
    <mergeCell ref="FV69:FX69"/>
    <mergeCell ref="GA69:GA71"/>
    <mergeCell ref="GB69:GB71"/>
    <mergeCell ref="FY70:FY71"/>
    <mergeCell ref="FZ70:FZ71"/>
    <mergeCell ref="FF72:FF74"/>
    <mergeCell ref="FG72:FI72"/>
    <mergeCell ref="FJ72:FL72"/>
    <mergeCell ref="FM72:FO72"/>
    <mergeCell ref="FP72:FR72"/>
    <mergeCell ref="FS72:FU72"/>
    <mergeCell ref="FV72:FX72"/>
    <mergeCell ref="GA72:GA74"/>
    <mergeCell ref="GB72:GB74"/>
    <mergeCell ref="FY73:FY74"/>
    <mergeCell ref="FZ73:FZ74"/>
    <mergeCell ref="FF63:FF65"/>
    <mergeCell ref="FG63:FI63"/>
    <mergeCell ref="FJ63:FL63"/>
    <mergeCell ref="FM63:FO63"/>
    <mergeCell ref="FP63:FR63"/>
    <mergeCell ref="FS63:FU63"/>
    <mergeCell ref="FV63:FX63"/>
    <mergeCell ref="GA63:GA65"/>
    <mergeCell ref="GB63:GB65"/>
    <mergeCell ref="FY64:FY65"/>
    <mergeCell ref="FZ64:FZ65"/>
    <mergeCell ref="FF66:FF68"/>
    <mergeCell ref="FG66:FI66"/>
    <mergeCell ref="FJ66:FL66"/>
    <mergeCell ref="FM66:FO66"/>
    <mergeCell ref="FP66:FR66"/>
    <mergeCell ref="FS66:FU66"/>
    <mergeCell ref="FV66:FX66"/>
    <mergeCell ref="GA66:GA68"/>
    <mergeCell ref="GB66:GB68"/>
    <mergeCell ref="FY67:FY68"/>
    <mergeCell ref="FZ67:FZ68"/>
    <mergeCell ref="FF57:FF59"/>
    <mergeCell ref="FG57:FI57"/>
    <mergeCell ref="FJ57:FL57"/>
    <mergeCell ref="FM57:FO57"/>
    <mergeCell ref="FP57:FR57"/>
    <mergeCell ref="FS57:FU57"/>
    <mergeCell ref="FV57:FX57"/>
    <mergeCell ref="GA57:GA59"/>
    <mergeCell ref="GB57:GB59"/>
    <mergeCell ref="FY58:FY59"/>
    <mergeCell ref="FZ58:FZ59"/>
    <mergeCell ref="FF60:FF62"/>
    <mergeCell ref="FG60:FI60"/>
    <mergeCell ref="FJ60:FL60"/>
    <mergeCell ref="FM60:FO60"/>
    <mergeCell ref="FP60:FR60"/>
    <mergeCell ref="FS60:FU60"/>
    <mergeCell ref="FV60:FX60"/>
    <mergeCell ref="GA60:GA62"/>
    <mergeCell ref="GB60:GB62"/>
    <mergeCell ref="FY61:FY62"/>
    <mergeCell ref="FZ61:FZ62"/>
    <mergeCell ref="FF51:FF53"/>
    <mergeCell ref="FG51:FI51"/>
    <mergeCell ref="FJ51:FL51"/>
    <mergeCell ref="FM51:FO51"/>
    <mergeCell ref="FP51:FR51"/>
    <mergeCell ref="FS51:FU51"/>
    <mergeCell ref="FV51:FX51"/>
    <mergeCell ref="GA51:GA53"/>
    <mergeCell ref="GB51:GB53"/>
    <mergeCell ref="FY52:FY53"/>
    <mergeCell ref="FZ52:FZ53"/>
    <mergeCell ref="FF54:FF56"/>
    <mergeCell ref="FG54:FI54"/>
    <mergeCell ref="FJ54:FL54"/>
    <mergeCell ref="FM54:FO54"/>
    <mergeCell ref="FP54:FR54"/>
    <mergeCell ref="FS54:FU54"/>
    <mergeCell ref="FV54:FX54"/>
    <mergeCell ref="GA54:GA56"/>
    <mergeCell ref="GB54:GB56"/>
    <mergeCell ref="FY55:FY56"/>
    <mergeCell ref="FZ55:FZ56"/>
    <mergeCell ref="FF45:FF47"/>
    <mergeCell ref="FG45:FI45"/>
    <mergeCell ref="FJ45:FL45"/>
    <mergeCell ref="FM45:FO45"/>
    <mergeCell ref="FP45:FR45"/>
    <mergeCell ref="FS45:FU45"/>
    <mergeCell ref="FV45:FX45"/>
    <mergeCell ref="GA45:GA47"/>
    <mergeCell ref="GB45:GB47"/>
    <mergeCell ref="FY46:FY47"/>
    <mergeCell ref="FZ46:FZ47"/>
    <mergeCell ref="FF48:FF50"/>
    <mergeCell ref="FG48:FI48"/>
    <mergeCell ref="FJ48:FL48"/>
    <mergeCell ref="FM48:FO48"/>
    <mergeCell ref="FP48:FR48"/>
    <mergeCell ref="FS48:FU48"/>
    <mergeCell ref="FV48:FX48"/>
    <mergeCell ref="GA48:GA50"/>
    <mergeCell ref="GB48:GB50"/>
    <mergeCell ref="FY49:FY50"/>
    <mergeCell ref="FZ49:FZ50"/>
    <mergeCell ref="FF39:FF41"/>
    <mergeCell ref="FG39:FI39"/>
    <mergeCell ref="FJ39:FL39"/>
    <mergeCell ref="FM39:FO39"/>
    <mergeCell ref="FP39:FR39"/>
    <mergeCell ref="FS39:FU39"/>
    <mergeCell ref="FV39:FX39"/>
    <mergeCell ref="GA39:GA41"/>
    <mergeCell ref="GB39:GB41"/>
    <mergeCell ref="FY40:FY41"/>
    <mergeCell ref="FZ40:FZ41"/>
    <mergeCell ref="FF42:FF44"/>
    <mergeCell ref="FG42:FI42"/>
    <mergeCell ref="FJ42:FL42"/>
    <mergeCell ref="FM42:FO42"/>
    <mergeCell ref="FP42:FR42"/>
    <mergeCell ref="FS42:FU42"/>
    <mergeCell ref="FV42:FX42"/>
    <mergeCell ref="GA42:GA44"/>
    <mergeCell ref="GB42:GB44"/>
    <mergeCell ref="FY43:FY44"/>
    <mergeCell ref="FZ43:FZ44"/>
    <mergeCell ref="FF33:FF35"/>
    <mergeCell ref="FG33:FI33"/>
    <mergeCell ref="FJ33:FL33"/>
    <mergeCell ref="FM33:FO33"/>
    <mergeCell ref="FP33:FR33"/>
    <mergeCell ref="FS33:FU33"/>
    <mergeCell ref="FV33:FX33"/>
    <mergeCell ref="GA33:GA35"/>
    <mergeCell ref="GB33:GB35"/>
    <mergeCell ref="FY34:FY35"/>
    <mergeCell ref="FZ34:FZ35"/>
    <mergeCell ref="FF36:FF38"/>
    <mergeCell ref="FG36:FI36"/>
    <mergeCell ref="FJ36:FL36"/>
    <mergeCell ref="FM36:FO36"/>
    <mergeCell ref="FP36:FR36"/>
    <mergeCell ref="FS36:FU36"/>
    <mergeCell ref="FV36:FX36"/>
    <mergeCell ref="GA36:GA38"/>
    <mergeCell ref="GB36:GB38"/>
    <mergeCell ref="FY37:FY38"/>
    <mergeCell ref="FZ37:FZ38"/>
    <mergeCell ref="FM27:FO27"/>
    <mergeCell ref="FP27:FR27"/>
    <mergeCell ref="FS27:FU27"/>
    <mergeCell ref="FV27:FX27"/>
    <mergeCell ref="GA27:GA29"/>
    <mergeCell ref="GB27:GB29"/>
    <mergeCell ref="FY28:FY29"/>
    <mergeCell ref="FZ28:FZ29"/>
    <mergeCell ref="FF30:FF32"/>
    <mergeCell ref="FG30:FI30"/>
    <mergeCell ref="FJ30:FL30"/>
    <mergeCell ref="FM30:FO30"/>
    <mergeCell ref="FP30:FR30"/>
    <mergeCell ref="FS30:FU30"/>
    <mergeCell ref="FV30:FX30"/>
    <mergeCell ref="GA30:GA32"/>
    <mergeCell ref="GB30:GB32"/>
    <mergeCell ref="FY31:FY32"/>
    <mergeCell ref="FZ31:FZ32"/>
    <mergeCell ref="FC96:FC97"/>
    <mergeCell ref="FD96:FD97"/>
    <mergeCell ref="FF18:FF20"/>
    <mergeCell ref="GA18:GA20"/>
    <mergeCell ref="GB18:GB20"/>
    <mergeCell ref="FY19:FY20"/>
    <mergeCell ref="FZ19:FZ20"/>
    <mergeCell ref="FF21:FF23"/>
    <mergeCell ref="FG21:FI21"/>
    <mergeCell ref="FJ21:FL21"/>
    <mergeCell ref="FM21:FO21"/>
    <mergeCell ref="FP21:FR21"/>
    <mergeCell ref="FS21:FU21"/>
    <mergeCell ref="FV21:FX21"/>
    <mergeCell ref="GA21:GA23"/>
    <mergeCell ref="GB21:GB23"/>
    <mergeCell ref="FY22:FY23"/>
    <mergeCell ref="FZ22:FZ23"/>
    <mergeCell ref="FF24:FF26"/>
    <mergeCell ref="FG24:FI24"/>
    <mergeCell ref="FJ24:FL24"/>
    <mergeCell ref="FM24:FO24"/>
    <mergeCell ref="FP24:FR24"/>
    <mergeCell ref="FS24:FU24"/>
    <mergeCell ref="FV24:FX24"/>
    <mergeCell ref="GA24:GA26"/>
    <mergeCell ref="GB24:GB26"/>
    <mergeCell ref="FY25:FY26"/>
    <mergeCell ref="FZ25:FZ26"/>
    <mergeCell ref="FF27:FF29"/>
    <mergeCell ref="FG27:FI27"/>
    <mergeCell ref="FJ27:FL27"/>
    <mergeCell ref="EH90:EH92"/>
    <mergeCell ref="EI90:EK90"/>
    <mergeCell ref="EL90:EN90"/>
    <mergeCell ref="EO90:EQ90"/>
    <mergeCell ref="ER90:ET90"/>
    <mergeCell ref="EU90:EW90"/>
    <mergeCell ref="EX90:EZ90"/>
    <mergeCell ref="FC90:FC92"/>
    <mergeCell ref="FD90:FD92"/>
    <mergeCell ref="FA91:FA92"/>
    <mergeCell ref="FB91:FB92"/>
    <mergeCell ref="EH93:EH95"/>
    <mergeCell ref="EI93:EK93"/>
    <mergeCell ref="EL93:EN93"/>
    <mergeCell ref="EO93:EQ93"/>
    <mergeCell ref="ER93:ET93"/>
    <mergeCell ref="EU93:EW93"/>
    <mergeCell ref="EX93:EZ93"/>
    <mergeCell ref="FC93:FC95"/>
    <mergeCell ref="FD93:FD95"/>
    <mergeCell ref="FA94:FA95"/>
    <mergeCell ref="FB94:FB95"/>
    <mergeCell ref="EH84:EH86"/>
    <mergeCell ref="EI84:EK84"/>
    <mergeCell ref="EL84:EN84"/>
    <mergeCell ref="EO84:EQ84"/>
    <mergeCell ref="ER84:ET84"/>
    <mergeCell ref="EU84:EW84"/>
    <mergeCell ref="EX84:EZ84"/>
    <mergeCell ref="FC84:FC86"/>
    <mergeCell ref="FD84:FD86"/>
    <mergeCell ref="FA85:FA86"/>
    <mergeCell ref="FB85:FB86"/>
    <mergeCell ref="EH87:EH89"/>
    <mergeCell ref="EI87:EK87"/>
    <mergeCell ref="EL87:EN87"/>
    <mergeCell ref="EO87:EQ87"/>
    <mergeCell ref="ER87:ET87"/>
    <mergeCell ref="EU87:EW87"/>
    <mergeCell ref="EX87:EZ87"/>
    <mergeCell ref="FC87:FC89"/>
    <mergeCell ref="FD87:FD89"/>
    <mergeCell ref="FA88:FA89"/>
    <mergeCell ref="FB88:FB89"/>
    <mergeCell ref="EH78:EH80"/>
    <mergeCell ref="EI78:EK78"/>
    <mergeCell ref="EL78:EN78"/>
    <mergeCell ref="EO78:EQ78"/>
    <mergeCell ref="ER78:ET78"/>
    <mergeCell ref="EU78:EW78"/>
    <mergeCell ref="EX78:EZ78"/>
    <mergeCell ref="FC78:FC80"/>
    <mergeCell ref="FD78:FD80"/>
    <mergeCell ref="FA79:FA80"/>
    <mergeCell ref="FB79:FB80"/>
    <mergeCell ref="EH81:EH83"/>
    <mergeCell ref="EI81:EK81"/>
    <mergeCell ref="EL81:EN81"/>
    <mergeCell ref="EO81:EQ81"/>
    <mergeCell ref="ER81:ET81"/>
    <mergeCell ref="EU81:EW81"/>
    <mergeCell ref="EX81:EZ81"/>
    <mergeCell ref="FC81:FC83"/>
    <mergeCell ref="FD81:FD83"/>
    <mergeCell ref="FA82:FA83"/>
    <mergeCell ref="FB82:FB83"/>
    <mergeCell ref="EH72:EH74"/>
    <mergeCell ref="EI72:EK72"/>
    <mergeCell ref="EL72:EN72"/>
    <mergeCell ref="EO72:EQ72"/>
    <mergeCell ref="ER72:ET72"/>
    <mergeCell ref="EU72:EW72"/>
    <mergeCell ref="EX72:EZ72"/>
    <mergeCell ref="FC72:FC74"/>
    <mergeCell ref="FD72:FD74"/>
    <mergeCell ref="FA73:FA74"/>
    <mergeCell ref="FB73:FB74"/>
    <mergeCell ref="EH75:EH77"/>
    <mergeCell ref="EI75:EK75"/>
    <mergeCell ref="EL75:EN75"/>
    <mergeCell ref="EO75:EQ75"/>
    <mergeCell ref="ER75:ET75"/>
    <mergeCell ref="EU75:EW75"/>
    <mergeCell ref="EX75:EZ75"/>
    <mergeCell ref="FC75:FC77"/>
    <mergeCell ref="FD75:FD77"/>
    <mergeCell ref="FA76:FA77"/>
    <mergeCell ref="FB76:FB77"/>
    <mergeCell ref="EH66:EH68"/>
    <mergeCell ref="EI66:EK66"/>
    <mergeCell ref="EL66:EN66"/>
    <mergeCell ref="EO66:EQ66"/>
    <mergeCell ref="ER66:ET66"/>
    <mergeCell ref="EU66:EW66"/>
    <mergeCell ref="EX66:EZ66"/>
    <mergeCell ref="FC66:FC68"/>
    <mergeCell ref="FD66:FD68"/>
    <mergeCell ref="FA67:FA68"/>
    <mergeCell ref="FB67:FB68"/>
    <mergeCell ref="EH69:EH71"/>
    <mergeCell ref="EI69:EK69"/>
    <mergeCell ref="EL69:EN69"/>
    <mergeCell ref="EO69:EQ69"/>
    <mergeCell ref="ER69:ET69"/>
    <mergeCell ref="EU69:EW69"/>
    <mergeCell ref="EX69:EZ69"/>
    <mergeCell ref="FC69:FC71"/>
    <mergeCell ref="FD69:FD71"/>
    <mergeCell ref="FA70:FA71"/>
    <mergeCell ref="FB70:FB71"/>
    <mergeCell ref="EH60:EH62"/>
    <mergeCell ref="EI60:EK60"/>
    <mergeCell ref="EL60:EN60"/>
    <mergeCell ref="EO60:EQ60"/>
    <mergeCell ref="ER60:ET60"/>
    <mergeCell ref="EU60:EW60"/>
    <mergeCell ref="EX60:EZ60"/>
    <mergeCell ref="FC60:FC62"/>
    <mergeCell ref="FD60:FD62"/>
    <mergeCell ref="FA61:FA62"/>
    <mergeCell ref="FB61:FB62"/>
    <mergeCell ref="EH63:EH65"/>
    <mergeCell ref="EI63:EK63"/>
    <mergeCell ref="EL63:EN63"/>
    <mergeCell ref="EO63:EQ63"/>
    <mergeCell ref="ER63:ET63"/>
    <mergeCell ref="EU63:EW63"/>
    <mergeCell ref="EX63:EZ63"/>
    <mergeCell ref="FC63:FC65"/>
    <mergeCell ref="FD63:FD65"/>
    <mergeCell ref="FA64:FA65"/>
    <mergeCell ref="FB64:FB65"/>
    <mergeCell ref="EH54:EH56"/>
    <mergeCell ref="EI54:EK54"/>
    <mergeCell ref="EL54:EN54"/>
    <mergeCell ref="EO54:EQ54"/>
    <mergeCell ref="ER54:ET54"/>
    <mergeCell ref="EU54:EW54"/>
    <mergeCell ref="EX54:EZ54"/>
    <mergeCell ref="FC54:FC56"/>
    <mergeCell ref="FD54:FD56"/>
    <mergeCell ref="FA55:FA56"/>
    <mergeCell ref="FB55:FB56"/>
    <mergeCell ref="EH57:EH59"/>
    <mergeCell ref="EI57:EK57"/>
    <mergeCell ref="EL57:EN57"/>
    <mergeCell ref="EO57:EQ57"/>
    <mergeCell ref="ER57:ET57"/>
    <mergeCell ref="EU57:EW57"/>
    <mergeCell ref="EX57:EZ57"/>
    <mergeCell ref="FC57:FC59"/>
    <mergeCell ref="FD57:FD59"/>
    <mergeCell ref="FA58:FA59"/>
    <mergeCell ref="FB58:FB59"/>
    <mergeCell ref="EH48:EH50"/>
    <mergeCell ref="EI48:EK48"/>
    <mergeCell ref="EL48:EN48"/>
    <mergeCell ref="EO48:EQ48"/>
    <mergeCell ref="ER48:ET48"/>
    <mergeCell ref="EU48:EW48"/>
    <mergeCell ref="EX48:EZ48"/>
    <mergeCell ref="FC48:FC50"/>
    <mergeCell ref="FD48:FD50"/>
    <mergeCell ref="FA49:FA50"/>
    <mergeCell ref="FB49:FB50"/>
    <mergeCell ref="EH51:EH53"/>
    <mergeCell ref="EI51:EK51"/>
    <mergeCell ref="EL51:EN51"/>
    <mergeCell ref="EO51:EQ51"/>
    <mergeCell ref="ER51:ET51"/>
    <mergeCell ref="EU51:EW51"/>
    <mergeCell ref="EX51:EZ51"/>
    <mergeCell ref="FC51:FC53"/>
    <mergeCell ref="FD51:FD53"/>
    <mergeCell ref="FA52:FA53"/>
    <mergeCell ref="FB52:FB53"/>
    <mergeCell ref="EH42:EH44"/>
    <mergeCell ref="EI42:EK42"/>
    <mergeCell ref="EL42:EN42"/>
    <mergeCell ref="EO42:EQ42"/>
    <mergeCell ref="ER42:ET42"/>
    <mergeCell ref="EU42:EW42"/>
    <mergeCell ref="EX42:EZ42"/>
    <mergeCell ref="FC42:FC44"/>
    <mergeCell ref="FD42:FD44"/>
    <mergeCell ref="FA43:FA44"/>
    <mergeCell ref="FB43:FB44"/>
    <mergeCell ref="EH45:EH47"/>
    <mergeCell ref="EI45:EK45"/>
    <mergeCell ref="EL45:EN45"/>
    <mergeCell ref="EO45:EQ45"/>
    <mergeCell ref="ER45:ET45"/>
    <mergeCell ref="EU45:EW45"/>
    <mergeCell ref="EX45:EZ45"/>
    <mergeCell ref="FC45:FC47"/>
    <mergeCell ref="FD45:FD47"/>
    <mergeCell ref="FA46:FA47"/>
    <mergeCell ref="FB46:FB47"/>
    <mergeCell ref="EH36:EH38"/>
    <mergeCell ref="EI36:EK36"/>
    <mergeCell ref="EL36:EN36"/>
    <mergeCell ref="EO36:EQ36"/>
    <mergeCell ref="ER36:ET36"/>
    <mergeCell ref="EU36:EW36"/>
    <mergeCell ref="EX36:EZ36"/>
    <mergeCell ref="FC36:FC38"/>
    <mergeCell ref="FD36:FD38"/>
    <mergeCell ref="FA37:FA38"/>
    <mergeCell ref="FB37:FB38"/>
    <mergeCell ref="EH39:EH41"/>
    <mergeCell ref="EI39:EK39"/>
    <mergeCell ref="EL39:EN39"/>
    <mergeCell ref="EO39:EQ39"/>
    <mergeCell ref="ER39:ET39"/>
    <mergeCell ref="EU39:EW39"/>
    <mergeCell ref="EX39:EZ39"/>
    <mergeCell ref="FC39:FC41"/>
    <mergeCell ref="FD39:FD41"/>
    <mergeCell ref="FA40:FA41"/>
    <mergeCell ref="FB40:FB41"/>
    <mergeCell ref="EH30:EH32"/>
    <mergeCell ref="EI30:EK30"/>
    <mergeCell ref="EL30:EN30"/>
    <mergeCell ref="EO30:EQ30"/>
    <mergeCell ref="ER30:ET30"/>
    <mergeCell ref="EU30:EW30"/>
    <mergeCell ref="EX30:EZ30"/>
    <mergeCell ref="FC30:FC32"/>
    <mergeCell ref="FD30:FD32"/>
    <mergeCell ref="FA31:FA32"/>
    <mergeCell ref="FB31:FB32"/>
    <mergeCell ref="EH33:EH35"/>
    <mergeCell ref="EI33:EK33"/>
    <mergeCell ref="EL33:EN33"/>
    <mergeCell ref="EO33:EQ33"/>
    <mergeCell ref="ER33:ET33"/>
    <mergeCell ref="EU33:EW33"/>
    <mergeCell ref="EX33:EZ33"/>
    <mergeCell ref="FC33:FC35"/>
    <mergeCell ref="FD33:FD35"/>
    <mergeCell ref="FA34:FA35"/>
    <mergeCell ref="FB34:FB35"/>
    <mergeCell ref="EO24:EQ24"/>
    <mergeCell ref="ER24:ET24"/>
    <mergeCell ref="EU24:EW24"/>
    <mergeCell ref="EX24:EZ24"/>
    <mergeCell ref="FC24:FC26"/>
    <mergeCell ref="FD24:FD26"/>
    <mergeCell ref="FA25:FA26"/>
    <mergeCell ref="FB25:FB26"/>
    <mergeCell ref="EH27:EH29"/>
    <mergeCell ref="EI27:EK27"/>
    <mergeCell ref="EL27:EN27"/>
    <mergeCell ref="EO27:EQ27"/>
    <mergeCell ref="ER27:ET27"/>
    <mergeCell ref="EU27:EW27"/>
    <mergeCell ref="EX27:EZ27"/>
    <mergeCell ref="FC27:FC29"/>
    <mergeCell ref="FD27:FD29"/>
    <mergeCell ref="FA28:FA29"/>
    <mergeCell ref="FB28:FB29"/>
    <mergeCell ref="DJ93:DJ95"/>
    <mergeCell ref="DK93:DM93"/>
    <mergeCell ref="DN93:DP93"/>
    <mergeCell ref="DQ93:DS93"/>
    <mergeCell ref="DT93:DV93"/>
    <mergeCell ref="DW93:DY93"/>
    <mergeCell ref="DZ93:EB93"/>
    <mergeCell ref="EE93:EE95"/>
    <mergeCell ref="EF93:EF95"/>
    <mergeCell ref="EC94:EC95"/>
    <mergeCell ref="ED94:ED95"/>
    <mergeCell ref="EE96:EE97"/>
    <mergeCell ref="EF96:EF97"/>
    <mergeCell ref="EH18:EH20"/>
    <mergeCell ref="FC18:FC20"/>
    <mergeCell ref="FD18:FD20"/>
    <mergeCell ref="FA19:FA20"/>
    <mergeCell ref="FB19:FB20"/>
    <mergeCell ref="EH21:EH23"/>
    <mergeCell ref="EI21:EK21"/>
    <mergeCell ref="EL21:EN21"/>
    <mergeCell ref="EO21:EQ21"/>
    <mergeCell ref="ER21:ET21"/>
    <mergeCell ref="EU21:EW21"/>
    <mergeCell ref="EX21:EZ21"/>
    <mergeCell ref="FC21:FC23"/>
    <mergeCell ref="FD21:FD23"/>
    <mergeCell ref="FA22:FA23"/>
    <mergeCell ref="FB22:FB23"/>
    <mergeCell ref="EH24:EH26"/>
    <mergeCell ref="EI24:EK24"/>
    <mergeCell ref="EL24:EN24"/>
    <mergeCell ref="DJ87:DJ89"/>
    <mergeCell ref="DK87:DM87"/>
    <mergeCell ref="DN87:DP87"/>
    <mergeCell ref="DQ87:DS87"/>
    <mergeCell ref="DT87:DV87"/>
    <mergeCell ref="DW87:DY87"/>
    <mergeCell ref="DZ87:EB87"/>
    <mergeCell ref="EE87:EE89"/>
    <mergeCell ref="EF87:EF89"/>
    <mergeCell ref="EC88:EC89"/>
    <mergeCell ref="ED88:ED89"/>
    <mergeCell ref="DJ90:DJ92"/>
    <mergeCell ref="DK90:DM90"/>
    <mergeCell ref="DN90:DP90"/>
    <mergeCell ref="DQ90:DS90"/>
    <mergeCell ref="DT90:DV90"/>
    <mergeCell ref="DW90:DY90"/>
    <mergeCell ref="DZ90:EB90"/>
    <mergeCell ref="EE90:EE92"/>
    <mergeCell ref="EF90:EF92"/>
    <mergeCell ref="EC91:EC92"/>
    <mergeCell ref="ED91:ED92"/>
    <mergeCell ref="DJ81:DJ83"/>
    <mergeCell ref="DK81:DM81"/>
    <mergeCell ref="DN81:DP81"/>
    <mergeCell ref="DQ81:DS81"/>
    <mergeCell ref="DT81:DV81"/>
    <mergeCell ref="DW81:DY81"/>
    <mergeCell ref="DZ81:EB81"/>
    <mergeCell ref="EE81:EE83"/>
    <mergeCell ref="EF81:EF83"/>
    <mergeCell ref="EC82:EC83"/>
    <mergeCell ref="ED82:ED83"/>
    <mergeCell ref="DJ84:DJ86"/>
    <mergeCell ref="DK84:DM84"/>
    <mergeCell ref="DN84:DP84"/>
    <mergeCell ref="DQ84:DS84"/>
    <mergeCell ref="DT84:DV84"/>
    <mergeCell ref="DW84:DY84"/>
    <mergeCell ref="DZ84:EB84"/>
    <mergeCell ref="EE84:EE86"/>
    <mergeCell ref="EF84:EF86"/>
    <mergeCell ref="EC85:EC86"/>
    <mergeCell ref="ED85:ED86"/>
    <mergeCell ref="DJ75:DJ77"/>
    <mergeCell ref="DK75:DM75"/>
    <mergeCell ref="DN75:DP75"/>
    <mergeCell ref="DQ75:DS75"/>
    <mergeCell ref="DT75:DV75"/>
    <mergeCell ref="DW75:DY75"/>
    <mergeCell ref="DZ75:EB75"/>
    <mergeCell ref="EE75:EE77"/>
    <mergeCell ref="EF75:EF77"/>
    <mergeCell ref="EC76:EC77"/>
    <mergeCell ref="ED76:ED77"/>
    <mergeCell ref="DJ78:DJ80"/>
    <mergeCell ref="DK78:DM78"/>
    <mergeCell ref="DN78:DP78"/>
    <mergeCell ref="DQ78:DS78"/>
    <mergeCell ref="DT78:DV78"/>
    <mergeCell ref="DW78:DY78"/>
    <mergeCell ref="DZ78:EB78"/>
    <mergeCell ref="EE78:EE80"/>
    <mergeCell ref="EF78:EF80"/>
    <mergeCell ref="EC79:EC80"/>
    <mergeCell ref="ED79:ED80"/>
    <mergeCell ref="DJ69:DJ71"/>
    <mergeCell ref="DK69:DM69"/>
    <mergeCell ref="DN69:DP69"/>
    <mergeCell ref="DQ69:DS69"/>
    <mergeCell ref="DT69:DV69"/>
    <mergeCell ref="DW69:DY69"/>
    <mergeCell ref="DZ69:EB69"/>
    <mergeCell ref="EE69:EE71"/>
    <mergeCell ref="EF69:EF71"/>
    <mergeCell ref="EC70:EC71"/>
    <mergeCell ref="ED70:ED71"/>
    <mergeCell ref="DJ72:DJ74"/>
    <mergeCell ref="DK72:DM72"/>
    <mergeCell ref="DN72:DP72"/>
    <mergeCell ref="DQ72:DS72"/>
    <mergeCell ref="DT72:DV72"/>
    <mergeCell ref="DW72:DY72"/>
    <mergeCell ref="DZ72:EB72"/>
    <mergeCell ref="EE72:EE74"/>
    <mergeCell ref="EF72:EF74"/>
    <mergeCell ref="EC73:EC74"/>
    <mergeCell ref="ED73:ED74"/>
    <mergeCell ref="DJ63:DJ65"/>
    <mergeCell ref="DK63:DM63"/>
    <mergeCell ref="DN63:DP63"/>
    <mergeCell ref="DQ63:DS63"/>
    <mergeCell ref="DT63:DV63"/>
    <mergeCell ref="DW63:DY63"/>
    <mergeCell ref="DZ63:EB63"/>
    <mergeCell ref="EE63:EE65"/>
    <mergeCell ref="EF63:EF65"/>
    <mergeCell ref="EC64:EC65"/>
    <mergeCell ref="ED64:ED65"/>
    <mergeCell ref="DJ66:DJ68"/>
    <mergeCell ref="DK66:DM66"/>
    <mergeCell ref="DN66:DP66"/>
    <mergeCell ref="DQ66:DS66"/>
    <mergeCell ref="DT66:DV66"/>
    <mergeCell ref="DW66:DY66"/>
    <mergeCell ref="DZ66:EB66"/>
    <mergeCell ref="EE66:EE68"/>
    <mergeCell ref="EF66:EF68"/>
    <mergeCell ref="EC67:EC68"/>
    <mergeCell ref="ED67:ED68"/>
    <mergeCell ref="DJ57:DJ59"/>
    <mergeCell ref="DK57:DM57"/>
    <mergeCell ref="DN57:DP57"/>
    <mergeCell ref="DQ57:DS57"/>
    <mergeCell ref="DT57:DV57"/>
    <mergeCell ref="DW57:DY57"/>
    <mergeCell ref="DZ57:EB57"/>
    <mergeCell ref="EE57:EE59"/>
    <mergeCell ref="EF57:EF59"/>
    <mergeCell ref="EC58:EC59"/>
    <mergeCell ref="ED58:ED59"/>
    <mergeCell ref="DJ60:DJ62"/>
    <mergeCell ref="DK60:DM60"/>
    <mergeCell ref="DN60:DP60"/>
    <mergeCell ref="DQ60:DS60"/>
    <mergeCell ref="DT60:DV60"/>
    <mergeCell ref="DW60:DY60"/>
    <mergeCell ref="DZ60:EB60"/>
    <mergeCell ref="EE60:EE62"/>
    <mergeCell ref="EF60:EF62"/>
    <mergeCell ref="EC61:EC62"/>
    <mergeCell ref="ED61:ED62"/>
    <mergeCell ref="DJ51:DJ53"/>
    <mergeCell ref="DK51:DM51"/>
    <mergeCell ref="DN51:DP51"/>
    <mergeCell ref="DQ51:DS51"/>
    <mergeCell ref="DT51:DV51"/>
    <mergeCell ref="DW51:DY51"/>
    <mergeCell ref="DZ51:EB51"/>
    <mergeCell ref="EE51:EE53"/>
    <mergeCell ref="EF51:EF53"/>
    <mergeCell ref="EC52:EC53"/>
    <mergeCell ref="ED52:ED53"/>
    <mergeCell ref="DJ54:DJ56"/>
    <mergeCell ref="DK54:DM54"/>
    <mergeCell ref="DN54:DP54"/>
    <mergeCell ref="DQ54:DS54"/>
    <mergeCell ref="DT54:DV54"/>
    <mergeCell ref="DW54:DY54"/>
    <mergeCell ref="DZ54:EB54"/>
    <mergeCell ref="EE54:EE56"/>
    <mergeCell ref="EF54:EF56"/>
    <mergeCell ref="EC55:EC56"/>
    <mergeCell ref="ED55:ED56"/>
    <mergeCell ref="DJ45:DJ47"/>
    <mergeCell ref="DK45:DM45"/>
    <mergeCell ref="DN45:DP45"/>
    <mergeCell ref="DQ45:DS45"/>
    <mergeCell ref="DT45:DV45"/>
    <mergeCell ref="DW45:DY45"/>
    <mergeCell ref="DZ45:EB45"/>
    <mergeCell ref="EE45:EE47"/>
    <mergeCell ref="EF45:EF47"/>
    <mergeCell ref="EC46:EC47"/>
    <mergeCell ref="ED46:ED47"/>
    <mergeCell ref="DJ48:DJ50"/>
    <mergeCell ref="DK48:DM48"/>
    <mergeCell ref="DN48:DP48"/>
    <mergeCell ref="DQ48:DS48"/>
    <mergeCell ref="DT48:DV48"/>
    <mergeCell ref="DW48:DY48"/>
    <mergeCell ref="DZ48:EB48"/>
    <mergeCell ref="EE48:EE50"/>
    <mergeCell ref="EF48:EF50"/>
    <mergeCell ref="EC49:EC50"/>
    <mergeCell ref="ED49:ED50"/>
    <mergeCell ref="DJ39:DJ41"/>
    <mergeCell ref="DK39:DM39"/>
    <mergeCell ref="DN39:DP39"/>
    <mergeCell ref="DQ39:DS39"/>
    <mergeCell ref="DT39:DV39"/>
    <mergeCell ref="DW39:DY39"/>
    <mergeCell ref="DZ39:EB39"/>
    <mergeCell ref="EE39:EE41"/>
    <mergeCell ref="EF39:EF41"/>
    <mergeCell ref="EC40:EC41"/>
    <mergeCell ref="ED40:ED41"/>
    <mergeCell ref="DJ42:DJ44"/>
    <mergeCell ref="DK42:DM42"/>
    <mergeCell ref="DN42:DP42"/>
    <mergeCell ref="DQ42:DS42"/>
    <mergeCell ref="DT42:DV42"/>
    <mergeCell ref="DW42:DY42"/>
    <mergeCell ref="DZ42:EB42"/>
    <mergeCell ref="EE42:EE44"/>
    <mergeCell ref="EF42:EF44"/>
    <mergeCell ref="EC43:EC44"/>
    <mergeCell ref="ED43:ED44"/>
    <mergeCell ref="DJ33:DJ35"/>
    <mergeCell ref="DK33:DM33"/>
    <mergeCell ref="DN33:DP33"/>
    <mergeCell ref="DQ33:DS33"/>
    <mergeCell ref="DT33:DV33"/>
    <mergeCell ref="DW33:DY33"/>
    <mergeCell ref="DZ33:EB33"/>
    <mergeCell ref="EE33:EE35"/>
    <mergeCell ref="EF33:EF35"/>
    <mergeCell ref="EC34:EC35"/>
    <mergeCell ref="ED34:ED35"/>
    <mergeCell ref="DJ36:DJ38"/>
    <mergeCell ref="DK36:DM36"/>
    <mergeCell ref="DN36:DP36"/>
    <mergeCell ref="DQ36:DS36"/>
    <mergeCell ref="DT36:DV36"/>
    <mergeCell ref="DW36:DY36"/>
    <mergeCell ref="DZ36:EB36"/>
    <mergeCell ref="EE36:EE38"/>
    <mergeCell ref="EF36:EF38"/>
    <mergeCell ref="EC37:EC38"/>
    <mergeCell ref="ED37:ED38"/>
    <mergeCell ref="DJ27:DJ29"/>
    <mergeCell ref="DK27:DM27"/>
    <mergeCell ref="DN27:DP27"/>
    <mergeCell ref="DQ27:DS27"/>
    <mergeCell ref="DT27:DV27"/>
    <mergeCell ref="DW27:DY27"/>
    <mergeCell ref="DZ27:EB27"/>
    <mergeCell ref="EE27:EE29"/>
    <mergeCell ref="EF27:EF29"/>
    <mergeCell ref="EC28:EC29"/>
    <mergeCell ref="ED28:ED29"/>
    <mergeCell ref="DJ30:DJ32"/>
    <mergeCell ref="DK30:DM30"/>
    <mergeCell ref="DN30:DP30"/>
    <mergeCell ref="DQ30:DS30"/>
    <mergeCell ref="DT30:DV30"/>
    <mergeCell ref="DW30:DY30"/>
    <mergeCell ref="DZ30:EB30"/>
    <mergeCell ref="EE30:EE32"/>
    <mergeCell ref="EF30:EF32"/>
    <mergeCell ref="EC31:EC32"/>
    <mergeCell ref="ED31:ED32"/>
    <mergeCell ref="DJ18:DJ20"/>
    <mergeCell ref="EE18:EE20"/>
    <mergeCell ref="EF18:EF20"/>
    <mergeCell ref="EC19:EC20"/>
    <mergeCell ref="ED19:ED20"/>
    <mergeCell ref="DJ21:DJ23"/>
    <mergeCell ref="DK21:DM21"/>
    <mergeCell ref="DN21:DP21"/>
    <mergeCell ref="DQ21:DS21"/>
    <mergeCell ref="DT21:DV21"/>
    <mergeCell ref="DW21:DY21"/>
    <mergeCell ref="DZ21:EB21"/>
    <mergeCell ref="EE21:EE23"/>
    <mergeCell ref="EF21:EF23"/>
    <mergeCell ref="EC22:EC23"/>
    <mergeCell ref="ED22:ED23"/>
    <mergeCell ref="DJ24:DJ26"/>
    <mergeCell ref="DK24:DM24"/>
    <mergeCell ref="DN24:DP24"/>
    <mergeCell ref="DQ24:DS24"/>
    <mergeCell ref="DT24:DV24"/>
    <mergeCell ref="DW24:DY24"/>
    <mergeCell ref="DZ24:EB24"/>
    <mergeCell ref="EE24:EE26"/>
    <mergeCell ref="EF24:EF26"/>
    <mergeCell ref="EC25:EC26"/>
    <mergeCell ref="ED25:ED26"/>
    <mergeCell ref="DK18:DM18"/>
    <mergeCell ref="DN18:DP18"/>
    <mergeCell ref="DQ18:DS18"/>
    <mergeCell ref="DT18:DV18"/>
    <mergeCell ref="DW18:DY18"/>
    <mergeCell ref="CL93:CL95"/>
    <mergeCell ref="CM93:CO93"/>
    <mergeCell ref="CP93:CR93"/>
    <mergeCell ref="CS93:CU93"/>
    <mergeCell ref="CV93:CX93"/>
    <mergeCell ref="CY93:DA93"/>
    <mergeCell ref="DB93:DD93"/>
    <mergeCell ref="DG93:DG95"/>
    <mergeCell ref="DH93:DH95"/>
    <mergeCell ref="DE94:DE95"/>
    <mergeCell ref="DF94:DF95"/>
    <mergeCell ref="DG96:DG97"/>
    <mergeCell ref="DH96:DH97"/>
    <mergeCell ref="CL87:CL89"/>
    <mergeCell ref="CM87:CO87"/>
    <mergeCell ref="CP87:CR87"/>
    <mergeCell ref="CS87:CU87"/>
    <mergeCell ref="CV87:CX87"/>
    <mergeCell ref="CY87:DA87"/>
    <mergeCell ref="DB87:DD87"/>
    <mergeCell ref="DG87:DG89"/>
    <mergeCell ref="DH87:DH89"/>
    <mergeCell ref="DE88:DE89"/>
    <mergeCell ref="DF88:DF89"/>
    <mergeCell ref="CL90:CL92"/>
    <mergeCell ref="CM90:CO90"/>
    <mergeCell ref="CP90:CR90"/>
    <mergeCell ref="CS90:CU90"/>
    <mergeCell ref="CV90:CX90"/>
    <mergeCell ref="CY90:DA90"/>
    <mergeCell ref="DB90:DD90"/>
    <mergeCell ref="DG90:DG92"/>
    <mergeCell ref="DH90:DH92"/>
    <mergeCell ref="DE91:DE92"/>
    <mergeCell ref="DF91:DF92"/>
    <mergeCell ref="CL81:CL83"/>
    <mergeCell ref="CM81:CO81"/>
    <mergeCell ref="CP81:CR81"/>
    <mergeCell ref="CS81:CU81"/>
    <mergeCell ref="CV81:CX81"/>
    <mergeCell ref="CY81:DA81"/>
    <mergeCell ref="DB81:DD81"/>
    <mergeCell ref="DG81:DG83"/>
    <mergeCell ref="DH81:DH83"/>
    <mergeCell ref="DE82:DE83"/>
    <mergeCell ref="DF82:DF83"/>
    <mergeCell ref="CL84:CL86"/>
    <mergeCell ref="CM84:CO84"/>
    <mergeCell ref="CP84:CR84"/>
    <mergeCell ref="CS84:CU84"/>
    <mergeCell ref="CV84:CX84"/>
    <mergeCell ref="CY84:DA84"/>
    <mergeCell ref="DB84:DD84"/>
    <mergeCell ref="DG84:DG86"/>
    <mergeCell ref="DH84:DH86"/>
    <mergeCell ref="DE85:DE86"/>
    <mergeCell ref="DF85:DF86"/>
    <mergeCell ref="CL75:CL77"/>
    <mergeCell ref="CM75:CO75"/>
    <mergeCell ref="CP75:CR75"/>
    <mergeCell ref="CS75:CU75"/>
    <mergeCell ref="CV75:CX75"/>
    <mergeCell ref="CY75:DA75"/>
    <mergeCell ref="DB75:DD75"/>
    <mergeCell ref="DG75:DG77"/>
    <mergeCell ref="DH75:DH77"/>
    <mergeCell ref="DE76:DE77"/>
    <mergeCell ref="DF76:DF77"/>
    <mergeCell ref="CL78:CL80"/>
    <mergeCell ref="CM78:CO78"/>
    <mergeCell ref="CP78:CR78"/>
    <mergeCell ref="CS78:CU78"/>
    <mergeCell ref="CV78:CX78"/>
    <mergeCell ref="CY78:DA78"/>
    <mergeCell ref="DB78:DD78"/>
    <mergeCell ref="DG78:DG80"/>
    <mergeCell ref="DH78:DH80"/>
    <mergeCell ref="DE79:DE80"/>
    <mergeCell ref="DF79:DF80"/>
    <mergeCell ref="CL69:CL71"/>
    <mergeCell ref="CM69:CO69"/>
    <mergeCell ref="CP69:CR69"/>
    <mergeCell ref="CS69:CU69"/>
    <mergeCell ref="CV69:CX69"/>
    <mergeCell ref="CY69:DA69"/>
    <mergeCell ref="DB69:DD69"/>
    <mergeCell ref="DG69:DG71"/>
    <mergeCell ref="DH69:DH71"/>
    <mergeCell ref="DE70:DE71"/>
    <mergeCell ref="DF70:DF71"/>
    <mergeCell ref="CL72:CL74"/>
    <mergeCell ref="CM72:CO72"/>
    <mergeCell ref="CP72:CR72"/>
    <mergeCell ref="CS72:CU72"/>
    <mergeCell ref="CV72:CX72"/>
    <mergeCell ref="CY72:DA72"/>
    <mergeCell ref="DB72:DD72"/>
    <mergeCell ref="DG72:DG74"/>
    <mergeCell ref="DH72:DH74"/>
    <mergeCell ref="DE73:DE74"/>
    <mergeCell ref="DF73:DF74"/>
    <mergeCell ref="CL63:CL65"/>
    <mergeCell ref="CM63:CO63"/>
    <mergeCell ref="CP63:CR63"/>
    <mergeCell ref="CS63:CU63"/>
    <mergeCell ref="CV63:CX63"/>
    <mergeCell ref="CY63:DA63"/>
    <mergeCell ref="DB63:DD63"/>
    <mergeCell ref="DG63:DG65"/>
    <mergeCell ref="DH63:DH65"/>
    <mergeCell ref="DE64:DE65"/>
    <mergeCell ref="DF64:DF65"/>
    <mergeCell ref="CL66:CL68"/>
    <mergeCell ref="CM66:CO66"/>
    <mergeCell ref="CP66:CR66"/>
    <mergeCell ref="CS66:CU66"/>
    <mergeCell ref="CV66:CX66"/>
    <mergeCell ref="CY66:DA66"/>
    <mergeCell ref="DB66:DD66"/>
    <mergeCell ref="DG66:DG68"/>
    <mergeCell ref="DH66:DH68"/>
    <mergeCell ref="DE67:DE68"/>
    <mergeCell ref="DF67:DF68"/>
    <mergeCell ref="CL57:CL59"/>
    <mergeCell ref="CM57:CO57"/>
    <mergeCell ref="CP57:CR57"/>
    <mergeCell ref="CS57:CU57"/>
    <mergeCell ref="CV57:CX57"/>
    <mergeCell ref="CY57:DA57"/>
    <mergeCell ref="DB57:DD57"/>
    <mergeCell ref="DG57:DG59"/>
    <mergeCell ref="DH57:DH59"/>
    <mergeCell ref="DE58:DE59"/>
    <mergeCell ref="DF58:DF59"/>
    <mergeCell ref="CL60:CL62"/>
    <mergeCell ref="CM60:CO60"/>
    <mergeCell ref="CP60:CR60"/>
    <mergeCell ref="CS60:CU60"/>
    <mergeCell ref="CV60:CX60"/>
    <mergeCell ref="CY60:DA60"/>
    <mergeCell ref="DB60:DD60"/>
    <mergeCell ref="DG60:DG62"/>
    <mergeCell ref="DH60:DH62"/>
    <mergeCell ref="DE61:DE62"/>
    <mergeCell ref="DF61:DF62"/>
    <mergeCell ref="CL51:CL53"/>
    <mergeCell ref="CM51:CO51"/>
    <mergeCell ref="CP51:CR51"/>
    <mergeCell ref="CS51:CU51"/>
    <mergeCell ref="CV51:CX51"/>
    <mergeCell ref="CY51:DA51"/>
    <mergeCell ref="DB51:DD51"/>
    <mergeCell ref="DG51:DG53"/>
    <mergeCell ref="DH51:DH53"/>
    <mergeCell ref="DE52:DE53"/>
    <mergeCell ref="DF52:DF53"/>
    <mergeCell ref="CL54:CL56"/>
    <mergeCell ref="CM54:CO54"/>
    <mergeCell ref="CP54:CR54"/>
    <mergeCell ref="CS54:CU54"/>
    <mergeCell ref="CV54:CX54"/>
    <mergeCell ref="CY54:DA54"/>
    <mergeCell ref="DB54:DD54"/>
    <mergeCell ref="DG54:DG56"/>
    <mergeCell ref="DH54:DH56"/>
    <mergeCell ref="DE55:DE56"/>
    <mergeCell ref="DF55:DF56"/>
    <mergeCell ref="CL45:CL47"/>
    <mergeCell ref="CM45:CO45"/>
    <mergeCell ref="CP45:CR45"/>
    <mergeCell ref="CS45:CU45"/>
    <mergeCell ref="CV45:CX45"/>
    <mergeCell ref="CY45:DA45"/>
    <mergeCell ref="DB45:DD45"/>
    <mergeCell ref="DG45:DG47"/>
    <mergeCell ref="DH45:DH47"/>
    <mergeCell ref="DE46:DE47"/>
    <mergeCell ref="DF46:DF47"/>
    <mergeCell ref="CL48:CL50"/>
    <mergeCell ref="CM48:CO48"/>
    <mergeCell ref="CP48:CR48"/>
    <mergeCell ref="CS48:CU48"/>
    <mergeCell ref="CV48:CX48"/>
    <mergeCell ref="CY48:DA48"/>
    <mergeCell ref="DB48:DD48"/>
    <mergeCell ref="DG48:DG50"/>
    <mergeCell ref="DH48:DH50"/>
    <mergeCell ref="DE49:DE50"/>
    <mergeCell ref="DF49:DF50"/>
    <mergeCell ref="CL39:CL41"/>
    <mergeCell ref="CM39:CO39"/>
    <mergeCell ref="CP39:CR39"/>
    <mergeCell ref="CS39:CU39"/>
    <mergeCell ref="CV39:CX39"/>
    <mergeCell ref="CY39:DA39"/>
    <mergeCell ref="DB39:DD39"/>
    <mergeCell ref="DG39:DG41"/>
    <mergeCell ref="DH39:DH41"/>
    <mergeCell ref="DE40:DE41"/>
    <mergeCell ref="DF40:DF41"/>
    <mergeCell ref="CL42:CL44"/>
    <mergeCell ref="CM42:CO42"/>
    <mergeCell ref="CP42:CR42"/>
    <mergeCell ref="CS42:CU42"/>
    <mergeCell ref="CV42:CX42"/>
    <mergeCell ref="CY42:DA42"/>
    <mergeCell ref="DB42:DD42"/>
    <mergeCell ref="DG42:DG44"/>
    <mergeCell ref="DH42:DH44"/>
    <mergeCell ref="DE43:DE44"/>
    <mergeCell ref="DF43:DF44"/>
    <mergeCell ref="CL33:CL35"/>
    <mergeCell ref="CM33:CO33"/>
    <mergeCell ref="CP33:CR33"/>
    <mergeCell ref="CS33:CU33"/>
    <mergeCell ref="CV33:CX33"/>
    <mergeCell ref="CY33:DA33"/>
    <mergeCell ref="DB33:DD33"/>
    <mergeCell ref="DG33:DG35"/>
    <mergeCell ref="DH33:DH35"/>
    <mergeCell ref="DE34:DE35"/>
    <mergeCell ref="DF34:DF35"/>
    <mergeCell ref="CL36:CL38"/>
    <mergeCell ref="CM36:CO36"/>
    <mergeCell ref="CP36:CR36"/>
    <mergeCell ref="CS36:CU36"/>
    <mergeCell ref="CV36:CX36"/>
    <mergeCell ref="CY36:DA36"/>
    <mergeCell ref="DB36:DD36"/>
    <mergeCell ref="DG36:DG38"/>
    <mergeCell ref="DH36:DH38"/>
    <mergeCell ref="DE37:DE38"/>
    <mergeCell ref="DF37:DF38"/>
    <mergeCell ref="CL27:CL29"/>
    <mergeCell ref="CM27:CO27"/>
    <mergeCell ref="CP27:CR27"/>
    <mergeCell ref="CS27:CU27"/>
    <mergeCell ref="CV27:CX27"/>
    <mergeCell ref="CY27:DA27"/>
    <mergeCell ref="DB27:DD27"/>
    <mergeCell ref="DG27:DG29"/>
    <mergeCell ref="DH27:DH29"/>
    <mergeCell ref="DE28:DE29"/>
    <mergeCell ref="DF28:DF29"/>
    <mergeCell ref="CL30:CL32"/>
    <mergeCell ref="CM30:CO30"/>
    <mergeCell ref="CP30:CR30"/>
    <mergeCell ref="CS30:CU30"/>
    <mergeCell ref="CV30:CX30"/>
    <mergeCell ref="CY30:DA30"/>
    <mergeCell ref="DB30:DD30"/>
    <mergeCell ref="DG30:DG32"/>
    <mergeCell ref="DH30:DH32"/>
    <mergeCell ref="DE31:DE32"/>
    <mergeCell ref="DF31:DF32"/>
    <mergeCell ref="CL21:CL23"/>
    <mergeCell ref="CM21:CO21"/>
    <mergeCell ref="CP21:CR21"/>
    <mergeCell ref="CS21:CU21"/>
    <mergeCell ref="CV21:CX21"/>
    <mergeCell ref="CY21:DA21"/>
    <mergeCell ref="DB21:DD21"/>
    <mergeCell ref="DG21:DG23"/>
    <mergeCell ref="DH21:DH23"/>
    <mergeCell ref="DE22:DE23"/>
    <mergeCell ref="DF22:DF23"/>
    <mergeCell ref="CL24:CL26"/>
    <mergeCell ref="CM24:CO24"/>
    <mergeCell ref="CP24:CR24"/>
    <mergeCell ref="CS24:CU24"/>
    <mergeCell ref="CV24:CX24"/>
    <mergeCell ref="CY24:DA24"/>
    <mergeCell ref="DB24:DD24"/>
    <mergeCell ref="DG24:DG26"/>
    <mergeCell ref="DH24:DH26"/>
    <mergeCell ref="DE25:DE26"/>
    <mergeCell ref="DF25:DF26"/>
    <mergeCell ref="JW18:JY18"/>
    <mergeCell ref="JZ18:KB18"/>
    <mergeCell ref="KC18:KE18"/>
    <mergeCell ref="KF18:KH18"/>
    <mergeCell ref="KI18:KK18"/>
    <mergeCell ref="KL18:KN18"/>
    <mergeCell ref="JV12:JV14"/>
    <mergeCell ref="JW12:JY12"/>
    <mergeCell ref="JZ12:KB12"/>
    <mergeCell ref="KC12:KE12"/>
    <mergeCell ref="KF12:KH12"/>
    <mergeCell ref="KI12:KK12"/>
    <mergeCell ref="KL12:KN12"/>
    <mergeCell ref="KQ12:KQ14"/>
    <mergeCell ref="KR12:KR14"/>
    <mergeCell ref="KO13:KO14"/>
    <mergeCell ref="KP13:KP14"/>
    <mergeCell ref="JV15:JV17"/>
    <mergeCell ref="JW15:JY15"/>
    <mergeCell ref="JZ15:KB15"/>
    <mergeCell ref="KC15:KE15"/>
    <mergeCell ref="KF15:KH15"/>
    <mergeCell ref="KI15:KK15"/>
    <mergeCell ref="KL15:KN15"/>
    <mergeCell ref="KQ15:KQ17"/>
    <mergeCell ref="KR15:KR17"/>
    <mergeCell ref="KO16:KO17"/>
    <mergeCell ref="KP16:KP17"/>
    <mergeCell ref="KC6:KE6"/>
    <mergeCell ref="KF6:KH6"/>
    <mergeCell ref="KI6:KK6"/>
    <mergeCell ref="KL6:KN6"/>
    <mergeCell ref="KQ6:KQ8"/>
    <mergeCell ref="KR6:KR8"/>
    <mergeCell ref="KO7:KO8"/>
    <mergeCell ref="KP7:KP8"/>
    <mergeCell ref="JV9:JV11"/>
    <mergeCell ref="JW9:JY9"/>
    <mergeCell ref="JZ9:KB9"/>
    <mergeCell ref="KC9:KE9"/>
    <mergeCell ref="KF9:KH9"/>
    <mergeCell ref="KI9:KK9"/>
    <mergeCell ref="KL9:KN9"/>
    <mergeCell ref="KQ9:KQ11"/>
    <mergeCell ref="KR9:KR11"/>
    <mergeCell ref="KO10:KO11"/>
    <mergeCell ref="KP10:KP11"/>
    <mergeCell ref="IY18:JA18"/>
    <mergeCell ref="JB18:JD18"/>
    <mergeCell ref="JE18:JG18"/>
    <mergeCell ref="JH18:JJ18"/>
    <mergeCell ref="JK18:JM18"/>
    <mergeCell ref="JN18:JP18"/>
    <mergeCell ref="JV1:JV2"/>
    <mergeCell ref="JW1:KN1"/>
    <mergeCell ref="KO1:KO2"/>
    <mergeCell ref="KP1:KP2"/>
    <mergeCell ref="KQ1:KQ2"/>
    <mergeCell ref="KR1:KR2"/>
    <mergeCell ref="JW2:JY2"/>
    <mergeCell ref="JZ2:KB2"/>
    <mergeCell ref="KC2:KE2"/>
    <mergeCell ref="KF2:KH2"/>
    <mergeCell ref="KI2:KK2"/>
    <mergeCell ref="KL2:KN2"/>
    <mergeCell ref="JV3:JV5"/>
    <mergeCell ref="JW3:JY3"/>
    <mergeCell ref="JZ3:KB3"/>
    <mergeCell ref="KC3:KE3"/>
    <mergeCell ref="KF3:KH3"/>
    <mergeCell ref="KI3:KK3"/>
    <mergeCell ref="KL3:KN3"/>
    <mergeCell ref="KQ3:KQ5"/>
    <mergeCell ref="KR3:KR5"/>
    <mergeCell ref="KO4:KO5"/>
    <mergeCell ref="KP4:KP5"/>
    <mergeCell ref="JV6:JV8"/>
    <mergeCell ref="JW6:JY6"/>
    <mergeCell ref="JZ6:KB6"/>
    <mergeCell ref="IX12:IX14"/>
    <mergeCell ref="IY12:JA12"/>
    <mergeCell ref="JB12:JD12"/>
    <mergeCell ref="JE12:JG12"/>
    <mergeCell ref="JH12:JJ12"/>
    <mergeCell ref="JK12:JM12"/>
    <mergeCell ref="JN12:JP12"/>
    <mergeCell ref="JS12:JS14"/>
    <mergeCell ref="JT12:JT14"/>
    <mergeCell ref="JQ13:JQ14"/>
    <mergeCell ref="JR13:JR14"/>
    <mergeCell ref="IX15:IX17"/>
    <mergeCell ref="IY15:JA15"/>
    <mergeCell ref="JB15:JD15"/>
    <mergeCell ref="JE15:JG15"/>
    <mergeCell ref="JH15:JJ15"/>
    <mergeCell ref="JK15:JM15"/>
    <mergeCell ref="JN15:JP15"/>
    <mergeCell ref="JS15:JS17"/>
    <mergeCell ref="JT15:JT17"/>
    <mergeCell ref="JQ16:JQ17"/>
    <mergeCell ref="JR16:JR17"/>
    <mergeCell ref="JE6:JG6"/>
    <mergeCell ref="JH6:JJ6"/>
    <mergeCell ref="JK6:JM6"/>
    <mergeCell ref="JN6:JP6"/>
    <mergeCell ref="JS6:JS8"/>
    <mergeCell ref="JT6:JT8"/>
    <mergeCell ref="JQ7:JQ8"/>
    <mergeCell ref="JR7:JR8"/>
    <mergeCell ref="IX9:IX11"/>
    <mergeCell ref="IY9:JA9"/>
    <mergeCell ref="JB9:JD9"/>
    <mergeCell ref="JE9:JG9"/>
    <mergeCell ref="JH9:JJ9"/>
    <mergeCell ref="JK9:JM9"/>
    <mergeCell ref="JN9:JP9"/>
    <mergeCell ref="JS9:JS11"/>
    <mergeCell ref="JT9:JT11"/>
    <mergeCell ref="JQ10:JQ11"/>
    <mergeCell ref="JR10:JR11"/>
    <mergeCell ref="IA18:IC18"/>
    <mergeCell ref="ID18:IF18"/>
    <mergeCell ref="IG18:II18"/>
    <mergeCell ref="IJ18:IL18"/>
    <mergeCell ref="IM18:IO18"/>
    <mergeCell ref="IP18:IR18"/>
    <mergeCell ref="IX1:IX2"/>
    <mergeCell ref="IY1:JP1"/>
    <mergeCell ref="JQ1:JQ2"/>
    <mergeCell ref="JR1:JR2"/>
    <mergeCell ref="JS1:JS2"/>
    <mergeCell ref="JT1:JT2"/>
    <mergeCell ref="IY2:JA2"/>
    <mergeCell ref="JB2:JD2"/>
    <mergeCell ref="JE2:JG2"/>
    <mergeCell ref="JH2:JJ2"/>
    <mergeCell ref="JK2:JM2"/>
    <mergeCell ref="JN2:JP2"/>
    <mergeCell ref="IX3:IX5"/>
    <mergeCell ref="IY3:JA3"/>
    <mergeCell ref="JB3:JD3"/>
    <mergeCell ref="JE3:JG3"/>
    <mergeCell ref="JH3:JJ3"/>
    <mergeCell ref="JK3:JM3"/>
    <mergeCell ref="JN3:JP3"/>
    <mergeCell ref="JS3:JS5"/>
    <mergeCell ref="JT3:JT5"/>
    <mergeCell ref="JQ4:JQ5"/>
    <mergeCell ref="JR4:JR5"/>
    <mergeCell ref="IX6:IX8"/>
    <mergeCell ref="IY6:JA6"/>
    <mergeCell ref="JB6:JD6"/>
    <mergeCell ref="HZ12:HZ14"/>
    <mergeCell ref="IA12:IC12"/>
    <mergeCell ref="ID12:IF12"/>
    <mergeCell ref="IG12:II12"/>
    <mergeCell ref="IJ12:IL12"/>
    <mergeCell ref="IM12:IO12"/>
    <mergeCell ref="IP12:IR12"/>
    <mergeCell ref="IU12:IU14"/>
    <mergeCell ref="IV12:IV14"/>
    <mergeCell ref="IS13:IS14"/>
    <mergeCell ref="IT13:IT14"/>
    <mergeCell ref="HZ15:HZ17"/>
    <mergeCell ref="IA15:IC15"/>
    <mergeCell ref="ID15:IF15"/>
    <mergeCell ref="IG15:II15"/>
    <mergeCell ref="IJ15:IL15"/>
    <mergeCell ref="IM15:IO15"/>
    <mergeCell ref="IP15:IR15"/>
    <mergeCell ref="IU15:IU17"/>
    <mergeCell ref="IV15:IV17"/>
    <mergeCell ref="IS16:IS17"/>
    <mergeCell ref="IT16:IT17"/>
    <mergeCell ref="IG6:II6"/>
    <mergeCell ref="IJ6:IL6"/>
    <mergeCell ref="IM6:IO6"/>
    <mergeCell ref="IP6:IR6"/>
    <mergeCell ref="IU6:IU8"/>
    <mergeCell ref="IV6:IV8"/>
    <mergeCell ref="IS7:IS8"/>
    <mergeCell ref="IT7:IT8"/>
    <mergeCell ref="HZ9:HZ11"/>
    <mergeCell ref="IA9:IC9"/>
    <mergeCell ref="ID9:IF9"/>
    <mergeCell ref="IG9:II9"/>
    <mergeCell ref="IJ9:IL9"/>
    <mergeCell ref="IM9:IO9"/>
    <mergeCell ref="IP9:IR9"/>
    <mergeCell ref="IU9:IU11"/>
    <mergeCell ref="IV9:IV11"/>
    <mergeCell ref="IS10:IS11"/>
    <mergeCell ref="IT10:IT11"/>
    <mergeCell ref="HC18:HE18"/>
    <mergeCell ref="HF18:HH18"/>
    <mergeCell ref="HI18:HK18"/>
    <mergeCell ref="HL18:HN18"/>
    <mergeCell ref="HO18:HQ18"/>
    <mergeCell ref="HR18:HT18"/>
    <mergeCell ref="HZ1:HZ2"/>
    <mergeCell ref="IA1:IR1"/>
    <mergeCell ref="IS1:IS2"/>
    <mergeCell ref="IT1:IT2"/>
    <mergeCell ref="IU1:IU2"/>
    <mergeCell ref="IV1:IV2"/>
    <mergeCell ref="IA2:IC2"/>
    <mergeCell ref="ID2:IF2"/>
    <mergeCell ref="IG2:II2"/>
    <mergeCell ref="IJ2:IL2"/>
    <mergeCell ref="IM2:IO2"/>
    <mergeCell ref="IP2:IR2"/>
    <mergeCell ref="HZ3:HZ5"/>
    <mergeCell ref="IA3:IC3"/>
    <mergeCell ref="ID3:IF3"/>
    <mergeCell ref="IG3:II3"/>
    <mergeCell ref="IJ3:IL3"/>
    <mergeCell ref="IM3:IO3"/>
    <mergeCell ref="IP3:IR3"/>
    <mergeCell ref="IU3:IU5"/>
    <mergeCell ref="IV3:IV5"/>
    <mergeCell ref="IS4:IS5"/>
    <mergeCell ref="IT4:IT5"/>
    <mergeCell ref="HZ6:HZ8"/>
    <mergeCell ref="IA6:IC6"/>
    <mergeCell ref="ID6:IF6"/>
    <mergeCell ref="HB12:HB14"/>
    <mergeCell ref="HC12:HE12"/>
    <mergeCell ref="HF12:HH12"/>
    <mergeCell ref="HI12:HK12"/>
    <mergeCell ref="HL12:HN12"/>
    <mergeCell ref="HO12:HQ12"/>
    <mergeCell ref="HR12:HT12"/>
    <mergeCell ref="HW12:HW14"/>
    <mergeCell ref="HX12:HX14"/>
    <mergeCell ref="HU13:HU14"/>
    <mergeCell ref="HV13:HV14"/>
    <mergeCell ref="HB15:HB17"/>
    <mergeCell ref="HC15:HE15"/>
    <mergeCell ref="HF15:HH15"/>
    <mergeCell ref="HI15:HK15"/>
    <mergeCell ref="HL15:HN15"/>
    <mergeCell ref="HO15:HQ15"/>
    <mergeCell ref="HR15:HT15"/>
    <mergeCell ref="HW15:HW17"/>
    <mergeCell ref="HX15:HX17"/>
    <mergeCell ref="HU16:HU17"/>
    <mergeCell ref="HV16:HV17"/>
    <mergeCell ref="HI6:HK6"/>
    <mergeCell ref="HL6:HN6"/>
    <mergeCell ref="HO6:HQ6"/>
    <mergeCell ref="HR6:HT6"/>
    <mergeCell ref="HW6:HW8"/>
    <mergeCell ref="HX6:HX8"/>
    <mergeCell ref="HU7:HU8"/>
    <mergeCell ref="HV7:HV8"/>
    <mergeCell ref="HB9:HB11"/>
    <mergeCell ref="HC9:HE9"/>
    <mergeCell ref="HF9:HH9"/>
    <mergeCell ref="HI9:HK9"/>
    <mergeCell ref="HL9:HN9"/>
    <mergeCell ref="HO9:HQ9"/>
    <mergeCell ref="HR9:HT9"/>
    <mergeCell ref="HW9:HW11"/>
    <mergeCell ref="HX9:HX11"/>
    <mergeCell ref="HU10:HU11"/>
    <mergeCell ref="HV10:HV11"/>
    <mergeCell ref="GE18:GG18"/>
    <mergeCell ref="GH18:GJ18"/>
    <mergeCell ref="GK18:GM18"/>
    <mergeCell ref="GN18:GP18"/>
    <mergeCell ref="GQ18:GS18"/>
    <mergeCell ref="GT18:GV18"/>
    <mergeCell ref="HB1:HB2"/>
    <mergeCell ref="HC1:HT1"/>
    <mergeCell ref="HU1:HU2"/>
    <mergeCell ref="HV1:HV2"/>
    <mergeCell ref="HW1:HW2"/>
    <mergeCell ref="HX1:HX2"/>
    <mergeCell ref="HC2:HE2"/>
    <mergeCell ref="HF2:HH2"/>
    <mergeCell ref="HI2:HK2"/>
    <mergeCell ref="HL2:HN2"/>
    <mergeCell ref="HO2:HQ2"/>
    <mergeCell ref="HR2:HT2"/>
    <mergeCell ref="HB3:HB5"/>
    <mergeCell ref="HC3:HE3"/>
    <mergeCell ref="HF3:HH3"/>
    <mergeCell ref="HI3:HK3"/>
    <mergeCell ref="HL3:HN3"/>
    <mergeCell ref="HO3:HQ3"/>
    <mergeCell ref="HR3:HT3"/>
    <mergeCell ref="HW3:HW5"/>
    <mergeCell ref="HX3:HX5"/>
    <mergeCell ref="HU4:HU5"/>
    <mergeCell ref="HV4:HV5"/>
    <mergeCell ref="HB6:HB8"/>
    <mergeCell ref="HC6:HE6"/>
    <mergeCell ref="HF6:HH6"/>
    <mergeCell ref="GD12:GD14"/>
    <mergeCell ref="GE12:GG12"/>
    <mergeCell ref="GH12:GJ12"/>
    <mergeCell ref="GK12:GM12"/>
    <mergeCell ref="GN12:GP12"/>
    <mergeCell ref="GQ12:GS12"/>
    <mergeCell ref="GT12:GV12"/>
    <mergeCell ref="GY12:GY14"/>
    <mergeCell ref="GZ12:GZ14"/>
    <mergeCell ref="GW13:GW14"/>
    <mergeCell ref="GX13:GX14"/>
    <mergeCell ref="GD15:GD17"/>
    <mergeCell ref="GE15:GG15"/>
    <mergeCell ref="GH15:GJ15"/>
    <mergeCell ref="GK15:GM15"/>
    <mergeCell ref="GN15:GP15"/>
    <mergeCell ref="GQ15:GS15"/>
    <mergeCell ref="GT15:GV15"/>
    <mergeCell ref="GY15:GY17"/>
    <mergeCell ref="GZ15:GZ17"/>
    <mergeCell ref="GW16:GW17"/>
    <mergeCell ref="GX16:GX17"/>
    <mergeCell ref="GK6:GM6"/>
    <mergeCell ref="GN6:GP6"/>
    <mergeCell ref="GQ6:GS6"/>
    <mergeCell ref="GT6:GV6"/>
    <mergeCell ref="GY6:GY8"/>
    <mergeCell ref="GZ6:GZ8"/>
    <mergeCell ref="GW7:GW8"/>
    <mergeCell ref="GX7:GX8"/>
    <mergeCell ref="GD9:GD11"/>
    <mergeCell ref="GE9:GG9"/>
    <mergeCell ref="GH9:GJ9"/>
    <mergeCell ref="GK9:GM9"/>
    <mergeCell ref="GN9:GP9"/>
    <mergeCell ref="GQ9:GS9"/>
    <mergeCell ref="GT9:GV9"/>
    <mergeCell ref="GY9:GY11"/>
    <mergeCell ref="GZ9:GZ11"/>
    <mergeCell ref="GW10:GW11"/>
    <mergeCell ref="GX10:GX11"/>
    <mergeCell ref="FG18:FI18"/>
    <mergeCell ref="FJ18:FL18"/>
    <mergeCell ref="FM18:FO18"/>
    <mergeCell ref="FP18:FR18"/>
    <mergeCell ref="FS18:FU18"/>
    <mergeCell ref="FV18:FX18"/>
    <mergeCell ref="GD1:GD2"/>
    <mergeCell ref="GE1:GV1"/>
    <mergeCell ref="GW1:GW2"/>
    <mergeCell ref="GX1:GX2"/>
    <mergeCell ref="GY1:GY2"/>
    <mergeCell ref="GZ1:GZ2"/>
    <mergeCell ref="GE2:GG2"/>
    <mergeCell ref="GH2:GJ2"/>
    <mergeCell ref="GK2:GM2"/>
    <mergeCell ref="GN2:GP2"/>
    <mergeCell ref="GQ2:GS2"/>
    <mergeCell ref="GT2:GV2"/>
    <mergeCell ref="GD3:GD5"/>
    <mergeCell ref="GE3:GG3"/>
    <mergeCell ref="GH3:GJ3"/>
    <mergeCell ref="GK3:GM3"/>
    <mergeCell ref="GN3:GP3"/>
    <mergeCell ref="GQ3:GS3"/>
    <mergeCell ref="GT3:GV3"/>
    <mergeCell ref="GY3:GY5"/>
    <mergeCell ref="GZ3:GZ5"/>
    <mergeCell ref="GW4:GW5"/>
    <mergeCell ref="GX4:GX5"/>
    <mergeCell ref="GD6:GD8"/>
    <mergeCell ref="GE6:GG6"/>
    <mergeCell ref="GH6:GJ6"/>
    <mergeCell ref="FF12:FF14"/>
    <mergeCell ref="FG12:FI12"/>
    <mergeCell ref="FJ12:FL12"/>
    <mergeCell ref="FM12:FO12"/>
    <mergeCell ref="FP12:FR12"/>
    <mergeCell ref="FS12:FU12"/>
    <mergeCell ref="FV12:FX12"/>
    <mergeCell ref="GA12:GA14"/>
    <mergeCell ref="GB12:GB14"/>
    <mergeCell ref="FY13:FY14"/>
    <mergeCell ref="FZ13:FZ14"/>
    <mergeCell ref="FF15:FF17"/>
    <mergeCell ref="FG15:FI15"/>
    <mergeCell ref="FJ15:FL15"/>
    <mergeCell ref="FM15:FO15"/>
    <mergeCell ref="FP15:FR15"/>
    <mergeCell ref="FS15:FU15"/>
    <mergeCell ref="FV15:FX15"/>
    <mergeCell ref="GA15:GA17"/>
    <mergeCell ref="GB15:GB17"/>
    <mergeCell ref="FY16:FY17"/>
    <mergeCell ref="FZ16:FZ17"/>
    <mergeCell ref="FF6:FF8"/>
    <mergeCell ref="FG6:FI6"/>
    <mergeCell ref="FJ6:FL6"/>
    <mergeCell ref="FM6:FO6"/>
    <mergeCell ref="FP6:FR6"/>
    <mergeCell ref="FS6:FU6"/>
    <mergeCell ref="FV6:FX6"/>
    <mergeCell ref="GA6:GA8"/>
    <mergeCell ref="GB6:GB8"/>
    <mergeCell ref="FY7:FY8"/>
    <mergeCell ref="FZ7:FZ8"/>
    <mergeCell ref="FF9:FF11"/>
    <mergeCell ref="FG9:FI9"/>
    <mergeCell ref="FJ9:FL9"/>
    <mergeCell ref="FM9:FO9"/>
    <mergeCell ref="FP9:FR9"/>
    <mergeCell ref="FS9:FU9"/>
    <mergeCell ref="FV9:FX9"/>
    <mergeCell ref="GA9:GA11"/>
    <mergeCell ref="GB9:GB11"/>
    <mergeCell ref="FY10:FY11"/>
    <mergeCell ref="FZ10:FZ11"/>
    <mergeCell ref="FF1:FF2"/>
    <mergeCell ref="FG1:FX1"/>
    <mergeCell ref="FY1:FY2"/>
    <mergeCell ref="FZ1:FZ2"/>
    <mergeCell ref="GA1:GA2"/>
    <mergeCell ref="GB1:GB2"/>
    <mergeCell ref="FG2:FI2"/>
    <mergeCell ref="FJ2:FL2"/>
    <mergeCell ref="FM2:FO2"/>
    <mergeCell ref="FP2:FR2"/>
    <mergeCell ref="FS2:FU2"/>
    <mergeCell ref="FV2:FX2"/>
    <mergeCell ref="FF3:FF5"/>
    <mergeCell ref="FG3:FI3"/>
    <mergeCell ref="FJ3:FL3"/>
    <mergeCell ref="FM3:FO3"/>
    <mergeCell ref="FP3:FR3"/>
    <mergeCell ref="FS3:FU3"/>
    <mergeCell ref="FV3:FX3"/>
    <mergeCell ref="GA3:GA5"/>
    <mergeCell ref="GB3:GB5"/>
    <mergeCell ref="FY4:FY5"/>
    <mergeCell ref="FZ4:FZ5"/>
    <mergeCell ref="EH15:EH17"/>
    <mergeCell ref="EI15:EK15"/>
    <mergeCell ref="EL15:EN15"/>
    <mergeCell ref="EO15:EQ15"/>
    <mergeCell ref="ER15:ET15"/>
    <mergeCell ref="EU15:EW15"/>
    <mergeCell ref="EX15:EZ15"/>
    <mergeCell ref="FC15:FC17"/>
    <mergeCell ref="FD15:FD17"/>
    <mergeCell ref="FA16:FA17"/>
    <mergeCell ref="FB16:FB17"/>
    <mergeCell ref="EI18:EK18"/>
    <mergeCell ref="EL18:EN18"/>
    <mergeCell ref="EO18:EQ18"/>
    <mergeCell ref="ER18:ET18"/>
    <mergeCell ref="EU18:EW18"/>
    <mergeCell ref="EX18:EZ18"/>
    <mergeCell ref="FD6:FD8"/>
    <mergeCell ref="FA7:FA8"/>
    <mergeCell ref="FB7:FB8"/>
    <mergeCell ref="EH9:EH11"/>
    <mergeCell ref="EI9:EK9"/>
    <mergeCell ref="EL9:EN9"/>
    <mergeCell ref="EO9:EQ9"/>
    <mergeCell ref="ER9:ET9"/>
    <mergeCell ref="EU9:EW9"/>
    <mergeCell ref="EX9:EZ9"/>
    <mergeCell ref="FC9:FC11"/>
    <mergeCell ref="FD9:FD11"/>
    <mergeCell ref="FA10:FA11"/>
    <mergeCell ref="FB10:FB11"/>
    <mergeCell ref="EH12:EH14"/>
    <mergeCell ref="EI12:EK12"/>
    <mergeCell ref="EL12:EN12"/>
    <mergeCell ref="EO12:EQ12"/>
    <mergeCell ref="ER12:ET12"/>
    <mergeCell ref="EU12:EW12"/>
    <mergeCell ref="EX12:EZ12"/>
    <mergeCell ref="FC12:FC14"/>
    <mergeCell ref="FD12:FD14"/>
    <mergeCell ref="FA13:FA14"/>
    <mergeCell ref="FB13:FB14"/>
    <mergeCell ref="DZ18:EB18"/>
    <mergeCell ref="EH1:EH2"/>
    <mergeCell ref="EI1:EZ1"/>
    <mergeCell ref="FA1:FA2"/>
    <mergeCell ref="FB1:FB2"/>
    <mergeCell ref="FC1:FC2"/>
    <mergeCell ref="FD1:FD2"/>
    <mergeCell ref="EI2:EK2"/>
    <mergeCell ref="EL2:EN2"/>
    <mergeCell ref="EO2:EQ2"/>
    <mergeCell ref="ER2:ET2"/>
    <mergeCell ref="EU2:EW2"/>
    <mergeCell ref="EX2:EZ2"/>
    <mergeCell ref="EH3:EH5"/>
    <mergeCell ref="EI3:EK3"/>
    <mergeCell ref="EL3:EN3"/>
    <mergeCell ref="EO3:EQ3"/>
    <mergeCell ref="ER3:ET3"/>
    <mergeCell ref="EU3:EW3"/>
    <mergeCell ref="EX3:EZ3"/>
    <mergeCell ref="FC3:FC5"/>
    <mergeCell ref="FD3:FD5"/>
    <mergeCell ref="FA4:FA5"/>
    <mergeCell ref="FB4:FB5"/>
    <mergeCell ref="EH6:EH8"/>
    <mergeCell ref="EI6:EK6"/>
    <mergeCell ref="EL6:EN6"/>
    <mergeCell ref="EO6:EQ6"/>
    <mergeCell ref="ER6:ET6"/>
    <mergeCell ref="EU6:EW6"/>
    <mergeCell ref="EX6:EZ6"/>
    <mergeCell ref="FC6:FC8"/>
    <mergeCell ref="DJ12:DJ14"/>
    <mergeCell ref="DK12:DM12"/>
    <mergeCell ref="DN12:DP12"/>
    <mergeCell ref="DQ12:DS12"/>
    <mergeCell ref="DT12:DV12"/>
    <mergeCell ref="DW12:DY12"/>
    <mergeCell ref="DZ12:EB12"/>
    <mergeCell ref="EE12:EE14"/>
    <mergeCell ref="EF12:EF14"/>
    <mergeCell ref="EC13:EC14"/>
    <mergeCell ref="ED13:ED14"/>
    <mergeCell ref="DJ15:DJ17"/>
    <mergeCell ref="DK15:DM15"/>
    <mergeCell ref="DN15:DP15"/>
    <mergeCell ref="DQ15:DS15"/>
    <mergeCell ref="DT15:DV15"/>
    <mergeCell ref="DW15:DY15"/>
    <mergeCell ref="DZ15:EB15"/>
    <mergeCell ref="EE15:EE17"/>
    <mergeCell ref="EF15:EF17"/>
    <mergeCell ref="EC16:EC17"/>
    <mergeCell ref="ED16:ED17"/>
    <mergeCell ref="DJ6:DJ8"/>
    <mergeCell ref="DK6:DM6"/>
    <mergeCell ref="DN6:DP6"/>
    <mergeCell ref="DQ6:DS6"/>
    <mergeCell ref="DT6:DV6"/>
    <mergeCell ref="DW6:DY6"/>
    <mergeCell ref="DZ6:EB6"/>
    <mergeCell ref="EE6:EE8"/>
    <mergeCell ref="EF6:EF8"/>
    <mergeCell ref="EC7:EC8"/>
    <mergeCell ref="ED7:ED8"/>
    <mergeCell ref="DJ9:DJ11"/>
    <mergeCell ref="DK9:DM9"/>
    <mergeCell ref="DN9:DP9"/>
    <mergeCell ref="DQ9:DS9"/>
    <mergeCell ref="DT9:DV9"/>
    <mergeCell ref="DW9:DY9"/>
    <mergeCell ref="DZ9:EB9"/>
    <mergeCell ref="EE9:EE11"/>
    <mergeCell ref="EF9:EF11"/>
    <mergeCell ref="EC10:EC11"/>
    <mergeCell ref="ED10:ED11"/>
    <mergeCell ref="DJ1:DJ2"/>
    <mergeCell ref="DK1:EB1"/>
    <mergeCell ref="EC1:EC2"/>
    <mergeCell ref="ED1:ED2"/>
    <mergeCell ref="EE1:EE2"/>
    <mergeCell ref="EF1:EF2"/>
    <mergeCell ref="DK2:DM2"/>
    <mergeCell ref="DN2:DP2"/>
    <mergeCell ref="DQ2:DS2"/>
    <mergeCell ref="DT2:DV2"/>
    <mergeCell ref="DW2:DY2"/>
    <mergeCell ref="DZ2:EB2"/>
    <mergeCell ref="DJ3:DJ5"/>
    <mergeCell ref="DK3:DM3"/>
    <mergeCell ref="DN3:DP3"/>
    <mergeCell ref="DQ3:DS3"/>
    <mergeCell ref="DT3:DV3"/>
    <mergeCell ref="DW3:DY3"/>
    <mergeCell ref="DZ3:EB3"/>
    <mergeCell ref="EE3:EE5"/>
    <mergeCell ref="EF3:EF5"/>
    <mergeCell ref="EC4:EC5"/>
    <mergeCell ref="ED4:ED5"/>
    <mergeCell ref="CL15:CL17"/>
    <mergeCell ref="CM15:CO15"/>
    <mergeCell ref="CP15:CR15"/>
    <mergeCell ref="CS15:CU15"/>
    <mergeCell ref="CV15:CX15"/>
    <mergeCell ref="CY15:DA15"/>
    <mergeCell ref="DB15:DD15"/>
    <mergeCell ref="DG15:DG17"/>
    <mergeCell ref="DH15:DH17"/>
    <mergeCell ref="DE16:DE17"/>
    <mergeCell ref="DF16:DF17"/>
    <mergeCell ref="CM18:CO18"/>
    <mergeCell ref="CP18:CR18"/>
    <mergeCell ref="CS18:CU18"/>
    <mergeCell ref="CV18:CX18"/>
    <mergeCell ref="CY18:DA18"/>
    <mergeCell ref="DB18:DD18"/>
    <mergeCell ref="CL18:CL20"/>
    <mergeCell ref="DG18:DG20"/>
    <mergeCell ref="DH18:DH20"/>
    <mergeCell ref="DE19:DE20"/>
    <mergeCell ref="DF19:DF20"/>
    <mergeCell ref="CL9:CL11"/>
    <mergeCell ref="CM9:CO9"/>
    <mergeCell ref="CP9:CR9"/>
    <mergeCell ref="CS9:CU9"/>
    <mergeCell ref="CV9:CX9"/>
    <mergeCell ref="CY9:DA9"/>
    <mergeCell ref="DB9:DD9"/>
    <mergeCell ref="DG9:DG11"/>
    <mergeCell ref="DH9:DH11"/>
    <mergeCell ref="DE10:DE11"/>
    <mergeCell ref="DF10:DF11"/>
    <mergeCell ref="CL12:CL14"/>
    <mergeCell ref="CM12:CO12"/>
    <mergeCell ref="CP12:CR12"/>
    <mergeCell ref="CS12:CU12"/>
    <mergeCell ref="CV12:CX12"/>
    <mergeCell ref="CY12:DA12"/>
    <mergeCell ref="DB12:DD12"/>
    <mergeCell ref="DG12:DG14"/>
    <mergeCell ref="DH12:DH14"/>
    <mergeCell ref="DE13:DE14"/>
    <mergeCell ref="DF13:DF14"/>
    <mergeCell ref="CL3:CL5"/>
    <mergeCell ref="CM3:CO3"/>
    <mergeCell ref="CP3:CR3"/>
    <mergeCell ref="CS3:CU3"/>
    <mergeCell ref="CV3:CX3"/>
    <mergeCell ref="CY3:DA3"/>
    <mergeCell ref="DB3:DD3"/>
    <mergeCell ref="DG3:DG5"/>
    <mergeCell ref="DH3:DH5"/>
    <mergeCell ref="DE4:DE5"/>
    <mergeCell ref="DF4:DF5"/>
    <mergeCell ref="CL6:CL8"/>
    <mergeCell ref="CM6:CO6"/>
    <mergeCell ref="CP6:CR6"/>
    <mergeCell ref="CS6:CU6"/>
    <mergeCell ref="CV6:CX6"/>
    <mergeCell ref="CY6:DA6"/>
    <mergeCell ref="DB6:DD6"/>
    <mergeCell ref="DG6:DG8"/>
    <mergeCell ref="DH6:DH8"/>
    <mergeCell ref="DE7:DE8"/>
    <mergeCell ref="DF7:DF8"/>
    <mergeCell ref="AW2:AY2"/>
    <mergeCell ref="AZ2:BB2"/>
    <mergeCell ref="BC2:BE2"/>
    <mergeCell ref="BF2:BH2"/>
    <mergeCell ref="K1:P1"/>
    <mergeCell ref="R1:R2"/>
    <mergeCell ref="S1:AJ1"/>
    <mergeCell ref="AK1:AK2"/>
    <mergeCell ref="AL1:AL2"/>
    <mergeCell ref="AN1:AN2"/>
    <mergeCell ref="CL1:CL2"/>
    <mergeCell ref="CM1:DD1"/>
    <mergeCell ref="DE1:DE2"/>
    <mergeCell ref="DF1:DF2"/>
    <mergeCell ref="DG1:DG2"/>
    <mergeCell ref="DH1:DH2"/>
    <mergeCell ref="CM2:CO2"/>
    <mergeCell ref="CP2:CR2"/>
    <mergeCell ref="CS2:CU2"/>
    <mergeCell ref="CV2:CX2"/>
    <mergeCell ref="CY2:DA2"/>
    <mergeCell ref="DB2:DD2"/>
    <mergeCell ref="CI1:CI2"/>
    <mergeCell ref="BK1:BK2"/>
    <mergeCell ref="CA2:CC2"/>
    <mergeCell ref="CD2:CF2"/>
    <mergeCell ref="J3:J5"/>
    <mergeCell ref="P3:P5"/>
    <mergeCell ref="R3:R5"/>
    <mergeCell ref="S3:U3"/>
    <mergeCell ref="V3:X3"/>
    <mergeCell ref="Y3:AA3"/>
    <mergeCell ref="LV1:LW1"/>
    <mergeCell ref="S2:U2"/>
    <mergeCell ref="V2:X2"/>
    <mergeCell ref="Y2:AA2"/>
    <mergeCell ref="AB2:AD2"/>
    <mergeCell ref="AE2:AG2"/>
    <mergeCell ref="AH2:AJ2"/>
    <mergeCell ref="AQ2:AS2"/>
    <mergeCell ref="AT2:AV2"/>
    <mergeCell ref="BO1:CF1"/>
    <mergeCell ref="CG1:CG2"/>
    <mergeCell ref="CH1:CH2"/>
    <mergeCell ref="CJ1:CJ2"/>
    <mergeCell ref="LR1:LS1"/>
    <mergeCell ref="LT1:LU1"/>
    <mergeCell ref="BO2:BQ2"/>
    <mergeCell ref="BR2:BT2"/>
    <mergeCell ref="BU2:BW2"/>
    <mergeCell ref="BX2:BZ2"/>
    <mergeCell ref="AP1:AP2"/>
    <mergeCell ref="AQ1:BH1"/>
    <mergeCell ref="BI1:BI2"/>
    <mergeCell ref="BJ1:BJ2"/>
    <mergeCell ref="BL1:BL2"/>
    <mergeCell ref="BN1:BN2"/>
    <mergeCell ref="BJ4:BJ5"/>
    <mergeCell ref="A6:A8"/>
    <mergeCell ref="B6:B8"/>
    <mergeCell ref="J6:J8"/>
    <mergeCell ref="P6:P8"/>
    <mergeCell ref="R6:R8"/>
    <mergeCell ref="S6:U6"/>
    <mergeCell ref="BX3:BZ3"/>
    <mergeCell ref="CA3:CC3"/>
    <mergeCell ref="CD3:CF3"/>
    <mergeCell ref="CJ3:CJ5"/>
    <mergeCell ref="AK4:AK5"/>
    <mergeCell ref="BI4:BI5"/>
    <mergeCell ref="CG4:CG5"/>
    <mergeCell ref="BK3:BK5"/>
    <mergeCell ref="BL3:BL5"/>
    <mergeCell ref="BN3:BN5"/>
    <mergeCell ref="BO3:BQ3"/>
    <mergeCell ref="BR3:BT3"/>
    <mergeCell ref="BU3:BW3"/>
    <mergeCell ref="AQ3:AS3"/>
    <mergeCell ref="AT3:AV3"/>
    <mergeCell ref="AW3:AY3"/>
    <mergeCell ref="AZ3:BB3"/>
    <mergeCell ref="BC3:BE3"/>
    <mergeCell ref="BF3:BH3"/>
    <mergeCell ref="AB3:AD3"/>
    <mergeCell ref="AE3:AG3"/>
    <mergeCell ref="AH3:AJ3"/>
    <mergeCell ref="AN3:AN5"/>
    <mergeCell ref="AP3:AP5"/>
    <mergeCell ref="A3:A5"/>
    <mergeCell ref="B3:B5"/>
    <mergeCell ref="AK7:AK8"/>
    <mergeCell ref="BI7:BI8"/>
    <mergeCell ref="CG7:CG8"/>
    <mergeCell ref="R9:R11"/>
    <mergeCell ref="S9:U9"/>
    <mergeCell ref="V9:X9"/>
    <mergeCell ref="Y9:AA9"/>
    <mergeCell ref="AB9:AD9"/>
    <mergeCell ref="AE9:AG9"/>
    <mergeCell ref="BR6:BT6"/>
    <mergeCell ref="BU6:BW6"/>
    <mergeCell ref="BX6:BZ6"/>
    <mergeCell ref="CA6:CC6"/>
    <mergeCell ref="CD6:CF6"/>
    <mergeCell ref="BC6:BE6"/>
    <mergeCell ref="BF6:BH6"/>
    <mergeCell ref="BL6:BL8"/>
    <mergeCell ref="BN6:BN8"/>
    <mergeCell ref="BO6:BQ6"/>
    <mergeCell ref="BK6:BK8"/>
    <mergeCell ref="AN6:AN8"/>
    <mergeCell ref="AP6:AP8"/>
    <mergeCell ref="AQ6:AS6"/>
    <mergeCell ref="AT6:AV6"/>
    <mergeCell ref="AW6:AY6"/>
    <mergeCell ref="AZ6:BB6"/>
    <mergeCell ref="V6:X6"/>
    <mergeCell ref="Y6:AA6"/>
    <mergeCell ref="AB6:AD6"/>
    <mergeCell ref="AE6:AG6"/>
    <mergeCell ref="AH6:AJ6"/>
    <mergeCell ref="BJ7:BJ8"/>
    <mergeCell ref="P12:P14"/>
    <mergeCell ref="R12:R14"/>
    <mergeCell ref="S12:U12"/>
    <mergeCell ref="CD9:CF9"/>
    <mergeCell ref="CJ9:CJ11"/>
    <mergeCell ref="A10:A11"/>
    <mergeCell ref="B10:B11"/>
    <mergeCell ref="J10:J11"/>
    <mergeCell ref="P10:P11"/>
    <mergeCell ref="AK10:AK11"/>
    <mergeCell ref="BI10:BI11"/>
    <mergeCell ref="CG10:CG11"/>
    <mergeCell ref="BN9:BN11"/>
    <mergeCell ref="BO9:BQ9"/>
    <mergeCell ref="BR9:BT9"/>
    <mergeCell ref="BU9:BW9"/>
    <mergeCell ref="BX9:BZ9"/>
    <mergeCell ref="CA9:CC9"/>
    <mergeCell ref="AW9:AY9"/>
    <mergeCell ref="AZ9:BB9"/>
    <mergeCell ref="BC9:BE9"/>
    <mergeCell ref="BF9:BH9"/>
    <mergeCell ref="BL9:BL11"/>
    <mergeCell ref="BK9:BK11"/>
    <mergeCell ref="AH9:AJ9"/>
    <mergeCell ref="AN9:AN11"/>
    <mergeCell ref="AP9:AP11"/>
    <mergeCell ref="AQ9:AS9"/>
    <mergeCell ref="AT9:AV9"/>
    <mergeCell ref="AK13:AK14"/>
    <mergeCell ref="A15:A16"/>
    <mergeCell ref="B15:B16"/>
    <mergeCell ref="J15:J16"/>
    <mergeCell ref="P15:P16"/>
    <mergeCell ref="R15:R17"/>
    <mergeCell ref="S15:U15"/>
    <mergeCell ref="BR12:BT12"/>
    <mergeCell ref="BU12:BW12"/>
    <mergeCell ref="BX12:BZ12"/>
    <mergeCell ref="CA12:CC12"/>
    <mergeCell ref="CD12:CF12"/>
    <mergeCell ref="BC12:BE12"/>
    <mergeCell ref="BF12:BH12"/>
    <mergeCell ref="BL12:BL14"/>
    <mergeCell ref="BN12:BN14"/>
    <mergeCell ref="BO12:BQ12"/>
    <mergeCell ref="BK12:BK14"/>
    <mergeCell ref="AN12:AN14"/>
    <mergeCell ref="AP12:AP14"/>
    <mergeCell ref="AQ12:AS12"/>
    <mergeCell ref="AT12:AV12"/>
    <mergeCell ref="AW12:AY12"/>
    <mergeCell ref="AZ12:BB12"/>
    <mergeCell ref="V12:X12"/>
    <mergeCell ref="Y12:AA12"/>
    <mergeCell ref="AB12:AD12"/>
    <mergeCell ref="AE12:AG12"/>
    <mergeCell ref="AH12:AJ12"/>
    <mergeCell ref="A12:A14"/>
    <mergeCell ref="AK16:AK17"/>
    <mergeCell ref="B12:B14"/>
    <mergeCell ref="J12:J14"/>
    <mergeCell ref="R18:R20"/>
    <mergeCell ref="S18:U18"/>
    <mergeCell ref="V18:X18"/>
    <mergeCell ref="Y18:AA18"/>
    <mergeCell ref="AB18:AD18"/>
    <mergeCell ref="AE18:AG18"/>
    <mergeCell ref="BR15:BT15"/>
    <mergeCell ref="BU15:BW15"/>
    <mergeCell ref="BX15:BZ15"/>
    <mergeCell ref="CA15:CC15"/>
    <mergeCell ref="CD15:CF15"/>
    <mergeCell ref="BC15:BE15"/>
    <mergeCell ref="BF15:BH15"/>
    <mergeCell ref="BL15:BL17"/>
    <mergeCell ref="BN15:BN17"/>
    <mergeCell ref="BO15:BQ15"/>
    <mergeCell ref="BK15:BK17"/>
    <mergeCell ref="AN15:AN17"/>
    <mergeCell ref="AP15:AP17"/>
    <mergeCell ref="AQ15:AS15"/>
    <mergeCell ref="AT15:AV15"/>
    <mergeCell ref="AW15:AY15"/>
    <mergeCell ref="AZ15:BB15"/>
    <mergeCell ref="V15:X15"/>
    <mergeCell ref="Y15:AA15"/>
    <mergeCell ref="AB15:AD15"/>
    <mergeCell ref="AE15:AG15"/>
    <mergeCell ref="AH15:AJ15"/>
    <mergeCell ref="AL16:AL17"/>
    <mergeCell ref="AL19:AL20"/>
    <mergeCell ref="R21:R23"/>
    <mergeCell ref="S21:U21"/>
    <mergeCell ref="V21:X21"/>
    <mergeCell ref="Y21:AA21"/>
    <mergeCell ref="AB21:AD21"/>
    <mergeCell ref="AE21:AG21"/>
    <mergeCell ref="CD18:CF18"/>
    <mergeCell ref="CJ18:CJ20"/>
    <mergeCell ref="A19:I19"/>
    <mergeCell ref="AK19:AK20"/>
    <mergeCell ref="BI19:BI20"/>
    <mergeCell ref="CG19:CG20"/>
    <mergeCell ref="A20:I20"/>
    <mergeCell ref="BK18:BK20"/>
    <mergeCell ref="BN18:BN20"/>
    <mergeCell ref="BO18:BQ18"/>
    <mergeCell ref="BR18:BT18"/>
    <mergeCell ref="BU18:BW18"/>
    <mergeCell ref="BX18:BZ18"/>
    <mergeCell ref="CA18:CC18"/>
    <mergeCell ref="AW18:AY18"/>
    <mergeCell ref="AZ18:BB18"/>
    <mergeCell ref="BC18:BE18"/>
    <mergeCell ref="BF18:BH18"/>
    <mergeCell ref="BL18:BL20"/>
    <mergeCell ref="AH18:AJ18"/>
    <mergeCell ref="AN18:AN20"/>
    <mergeCell ref="AP18:AP20"/>
    <mergeCell ref="AQ18:AS18"/>
    <mergeCell ref="AT18:AV18"/>
    <mergeCell ref="CI18:CI20"/>
    <mergeCell ref="CH19:CH20"/>
    <mergeCell ref="V24:X24"/>
    <mergeCell ref="Y24:AA24"/>
    <mergeCell ref="AB24:AD24"/>
    <mergeCell ref="AE24:AG24"/>
    <mergeCell ref="CD21:CF21"/>
    <mergeCell ref="CJ21:CJ23"/>
    <mergeCell ref="AK22:AK23"/>
    <mergeCell ref="BI22:BI23"/>
    <mergeCell ref="CG22:CG23"/>
    <mergeCell ref="BJ22:BJ23"/>
    <mergeCell ref="BK21:BK23"/>
    <mergeCell ref="CI21:CI23"/>
    <mergeCell ref="BN21:BN23"/>
    <mergeCell ref="BO21:BQ21"/>
    <mergeCell ref="BR21:BT21"/>
    <mergeCell ref="BU21:BW21"/>
    <mergeCell ref="BX21:BZ21"/>
    <mergeCell ref="CA21:CC21"/>
    <mergeCell ref="AW21:AY21"/>
    <mergeCell ref="AZ21:BB21"/>
    <mergeCell ref="BC21:BE21"/>
    <mergeCell ref="BF21:BH21"/>
    <mergeCell ref="BL21:BL23"/>
    <mergeCell ref="AH21:AJ21"/>
    <mergeCell ref="AN21:AN23"/>
    <mergeCell ref="AP21:AP23"/>
    <mergeCell ref="AQ21:AS21"/>
    <mergeCell ref="AT21:AV21"/>
    <mergeCell ref="AL22:AL23"/>
    <mergeCell ref="R27:R29"/>
    <mergeCell ref="S27:U27"/>
    <mergeCell ref="V27:X27"/>
    <mergeCell ref="Y27:AA27"/>
    <mergeCell ref="AB27:AD27"/>
    <mergeCell ref="AE27:AG27"/>
    <mergeCell ref="CD24:CF24"/>
    <mergeCell ref="CJ24:CJ26"/>
    <mergeCell ref="AK25:AK26"/>
    <mergeCell ref="BI25:BI26"/>
    <mergeCell ref="CG25:CG26"/>
    <mergeCell ref="BJ25:BJ26"/>
    <mergeCell ref="AL25:AL26"/>
    <mergeCell ref="BN24:BN26"/>
    <mergeCell ref="BO24:BQ24"/>
    <mergeCell ref="BR24:BT24"/>
    <mergeCell ref="BU24:BW24"/>
    <mergeCell ref="BX24:BZ24"/>
    <mergeCell ref="CA24:CC24"/>
    <mergeCell ref="AW24:AY24"/>
    <mergeCell ref="AZ24:BB24"/>
    <mergeCell ref="BC24:BE24"/>
    <mergeCell ref="BF24:BH24"/>
    <mergeCell ref="BL24:BL26"/>
    <mergeCell ref="BK24:BK26"/>
    <mergeCell ref="AH24:AJ24"/>
    <mergeCell ref="AN24:AN26"/>
    <mergeCell ref="AP24:AP26"/>
    <mergeCell ref="AQ24:AS24"/>
    <mergeCell ref="AT24:AV24"/>
    <mergeCell ref="R24:R26"/>
    <mergeCell ref="S24:U24"/>
    <mergeCell ref="S30:U30"/>
    <mergeCell ref="V30:X30"/>
    <mergeCell ref="Y30:AA30"/>
    <mergeCell ref="AB30:AD30"/>
    <mergeCell ref="AE30:AG30"/>
    <mergeCell ref="CD27:CF27"/>
    <mergeCell ref="CJ27:CJ29"/>
    <mergeCell ref="AK28:AK29"/>
    <mergeCell ref="BI28:BI29"/>
    <mergeCell ref="CG28:CG29"/>
    <mergeCell ref="BJ28:BJ29"/>
    <mergeCell ref="AL28:AL29"/>
    <mergeCell ref="BN27:BN29"/>
    <mergeCell ref="BO27:BQ27"/>
    <mergeCell ref="BR27:BT27"/>
    <mergeCell ref="BU27:BW27"/>
    <mergeCell ref="BX27:BZ27"/>
    <mergeCell ref="CA27:CC27"/>
    <mergeCell ref="AW27:AY27"/>
    <mergeCell ref="AZ27:BB27"/>
    <mergeCell ref="BC27:BE27"/>
    <mergeCell ref="BF27:BH27"/>
    <mergeCell ref="BL27:BL29"/>
    <mergeCell ref="BK27:BK29"/>
    <mergeCell ref="AH27:AJ27"/>
    <mergeCell ref="AN27:AN29"/>
    <mergeCell ref="AP27:AP29"/>
    <mergeCell ref="AQ27:AS27"/>
    <mergeCell ref="AT27:AV27"/>
    <mergeCell ref="AM27:AM29"/>
    <mergeCell ref="CI27:CI29"/>
    <mergeCell ref="CH28:CH29"/>
    <mergeCell ref="R33:R35"/>
    <mergeCell ref="S33:U33"/>
    <mergeCell ref="V33:X33"/>
    <mergeCell ref="Y33:AA33"/>
    <mergeCell ref="AB33:AD33"/>
    <mergeCell ref="AE33:AG33"/>
    <mergeCell ref="CD30:CF30"/>
    <mergeCell ref="CJ30:CJ32"/>
    <mergeCell ref="AK31:AK32"/>
    <mergeCell ref="BI31:BI32"/>
    <mergeCell ref="CG31:CG32"/>
    <mergeCell ref="BJ31:BJ32"/>
    <mergeCell ref="AL31:AL32"/>
    <mergeCell ref="BN30:BN32"/>
    <mergeCell ref="BO30:BQ30"/>
    <mergeCell ref="BR30:BT30"/>
    <mergeCell ref="BU30:BW30"/>
    <mergeCell ref="BX30:BZ30"/>
    <mergeCell ref="CA30:CC30"/>
    <mergeCell ref="AW30:AY30"/>
    <mergeCell ref="AZ30:BB30"/>
    <mergeCell ref="BC30:BE30"/>
    <mergeCell ref="BF30:BH30"/>
    <mergeCell ref="BL30:BL32"/>
    <mergeCell ref="BK30:BK32"/>
    <mergeCell ref="AH30:AJ30"/>
    <mergeCell ref="AN30:AN32"/>
    <mergeCell ref="AP30:AP32"/>
    <mergeCell ref="AQ30:AS30"/>
    <mergeCell ref="AT30:AV30"/>
    <mergeCell ref="AM30:AM32"/>
    <mergeCell ref="R30:R32"/>
    <mergeCell ref="LR34:LR35"/>
    <mergeCell ref="LT34:LT35"/>
    <mergeCell ref="LV34:LV35"/>
    <mergeCell ref="R36:R38"/>
    <mergeCell ref="S36:U36"/>
    <mergeCell ref="V36:X36"/>
    <mergeCell ref="Y36:AA36"/>
    <mergeCell ref="AB36:AD36"/>
    <mergeCell ref="AE36:AG36"/>
    <mergeCell ref="AH36:AJ36"/>
    <mergeCell ref="CD33:CF33"/>
    <mergeCell ref="CJ33:CJ35"/>
    <mergeCell ref="AK34:AK35"/>
    <mergeCell ref="BI34:BI35"/>
    <mergeCell ref="CG34:CG35"/>
    <mergeCell ref="BJ34:BJ35"/>
    <mergeCell ref="AL34:AL35"/>
    <mergeCell ref="BN33:BN35"/>
    <mergeCell ref="BO33:BQ33"/>
    <mergeCell ref="BR33:BT33"/>
    <mergeCell ref="BU33:BW33"/>
    <mergeCell ref="BX33:BZ33"/>
    <mergeCell ref="CA33:CC33"/>
    <mergeCell ref="AW33:AY33"/>
    <mergeCell ref="AZ33:BB33"/>
    <mergeCell ref="BC33:BE33"/>
    <mergeCell ref="BF33:BH33"/>
    <mergeCell ref="BL33:BL35"/>
    <mergeCell ref="BK33:BK35"/>
    <mergeCell ref="AH33:AJ33"/>
    <mergeCell ref="AN33:AN35"/>
    <mergeCell ref="AP33:AP35"/>
    <mergeCell ref="R39:R41"/>
    <mergeCell ref="S39:U39"/>
    <mergeCell ref="V39:X39"/>
    <mergeCell ref="Y39:AA39"/>
    <mergeCell ref="AB39:AD39"/>
    <mergeCell ref="BO36:BQ36"/>
    <mergeCell ref="BR36:BT36"/>
    <mergeCell ref="BU36:BW36"/>
    <mergeCell ref="BX36:BZ36"/>
    <mergeCell ref="CA36:CC36"/>
    <mergeCell ref="CD36:CF36"/>
    <mergeCell ref="AZ36:BB36"/>
    <mergeCell ref="BC36:BE36"/>
    <mergeCell ref="BF36:BH36"/>
    <mergeCell ref="BL36:BL38"/>
    <mergeCell ref="BN36:BN38"/>
    <mergeCell ref="BJ37:BJ38"/>
    <mergeCell ref="BK36:BK38"/>
    <mergeCell ref="AN36:AN38"/>
    <mergeCell ref="AP36:AP38"/>
    <mergeCell ref="AQ36:AS36"/>
    <mergeCell ref="AT36:AV36"/>
    <mergeCell ref="AW36:AY36"/>
    <mergeCell ref="AL37:AL38"/>
    <mergeCell ref="AM36:AM38"/>
    <mergeCell ref="AK37:AK38"/>
    <mergeCell ref="BI37:BI38"/>
    <mergeCell ref="V42:X42"/>
    <mergeCell ref="Y42:AA42"/>
    <mergeCell ref="AB42:AD42"/>
    <mergeCell ref="AE42:AG42"/>
    <mergeCell ref="CA39:CC39"/>
    <mergeCell ref="CD39:CF39"/>
    <mergeCell ref="CJ39:CJ41"/>
    <mergeCell ref="AK40:AK41"/>
    <mergeCell ref="BI40:BI41"/>
    <mergeCell ref="CG40:CG41"/>
    <mergeCell ref="BJ40:BJ41"/>
    <mergeCell ref="AL40:AL41"/>
    <mergeCell ref="BL39:BL41"/>
    <mergeCell ref="BN39:BN41"/>
    <mergeCell ref="BO39:BQ39"/>
    <mergeCell ref="BR39:BT39"/>
    <mergeCell ref="BU39:BW39"/>
    <mergeCell ref="BX39:BZ39"/>
    <mergeCell ref="AT39:AV39"/>
    <mergeCell ref="AW39:AY39"/>
    <mergeCell ref="AZ39:BB39"/>
    <mergeCell ref="BC39:BE39"/>
    <mergeCell ref="BF39:BH39"/>
    <mergeCell ref="AE39:AG39"/>
    <mergeCell ref="AH39:AJ39"/>
    <mergeCell ref="AN39:AN41"/>
    <mergeCell ref="AP39:AP41"/>
    <mergeCell ref="AQ39:AS39"/>
    <mergeCell ref="AM39:AM41"/>
    <mergeCell ref="R45:R47"/>
    <mergeCell ref="S45:U45"/>
    <mergeCell ref="V45:X45"/>
    <mergeCell ref="Y45:AA45"/>
    <mergeCell ref="AB45:AD45"/>
    <mergeCell ref="AE45:AG45"/>
    <mergeCell ref="CD42:CF42"/>
    <mergeCell ref="CJ42:CJ44"/>
    <mergeCell ref="AK43:AK44"/>
    <mergeCell ref="BI43:BI44"/>
    <mergeCell ref="CG43:CG44"/>
    <mergeCell ref="BJ43:BJ44"/>
    <mergeCell ref="AL43:AL44"/>
    <mergeCell ref="BN42:BN44"/>
    <mergeCell ref="BO42:BQ42"/>
    <mergeCell ref="BR42:BT42"/>
    <mergeCell ref="BU42:BW42"/>
    <mergeCell ref="BX42:BZ42"/>
    <mergeCell ref="CA42:CC42"/>
    <mergeCell ref="AW42:AY42"/>
    <mergeCell ref="AZ42:BB42"/>
    <mergeCell ref="BC42:BE42"/>
    <mergeCell ref="BF42:BH42"/>
    <mergeCell ref="BL42:BL44"/>
    <mergeCell ref="AH42:AJ42"/>
    <mergeCell ref="AN42:AN44"/>
    <mergeCell ref="AP42:AP44"/>
    <mergeCell ref="AQ42:AS42"/>
    <mergeCell ref="AT42:AV42"/>
    <mergeCell ref="AM42:AM44"/>
    <mergeCell ref="R42:R44"/>
    <mergeCell ref="S42:U42"/>
    <mergeCell ref="V48:X48"/>
    <mergeCell ref="Y48:AA48"/>
    <mergeCell ref="AB48:AD48"/>
    <mergeCell ref="AE48:AG48"/>
    <mergeCell ref="CD45:CF45"/>
    <mergeCell ref="CJ45:CJ47"/>
    <mergeCell ref="AK46:AK47"/>
    <mergeCell ref="BI46:BI47"/>
    <mergeCell ref="CG46:CG47"/>
    <mergeCell ref="BJ46:BJ47"/>
    <mergeCell ref="AL46:AL47"/>
    <mergeCell ref="BN45:BN47"/>
    <mergeCell ref="BO45:BQ45"/>
    <mergeCell ref="BR45:BT45"/>
    <mergeCell ref="BU45:BW45"/>
    <mergeCell ref="BX45:BZ45"/>
    <mergeCell ref="CA45:CC45"/>
    <mergeCell ref="AW45:AY45"/>
    <mergeCell ref="AZ45:BB45"/>
    <mergeCell ref="BC45:BE45"/>
    <mergeCell ref="BF45:BH45"/>
    <mergeCell ref="BL45:BL47"/>
    <mergeCell ref="AH45:AJ45"/>
    <mergeCell ref="AN45:AN47"/>
    <mergeCell ref="AP45:AP47"/>
    <mergeCell ref="AQ45:AS45"/>
    <mergeCell ref="AT45:AV45"/>
    <mergeCell ref="AM45:AM47"/>
    <mergeCell ref="A50:E50"/>
    <mergeCell ref="R51:R53"/>
    <mergeCell ref="S51:U51"/>
    <mergeCell ref="V51:X51"/>
    <mergeCell ref="Y51:AA51"/>
    <mergeCell ref="AB51:AD51"/>
    <mergeCell ref="CD48:CF48"/>
    <mergeCell ref="CJ48:CJ50"/>
    <mergeCell ref="AK49:AK50"/>
    <mergeCell ref="BI49:BI50"/>
    <mergeCell ref="CG49:CG50"/>
    <mergeCell ref="BJ49:BJ50"/>
    <mergeCell ref="AL49:AL50"/>
    <mergeCell ref="BN48:BN50"/>
    <mergeCell ref="BO48:BQ48"/>
    <mergeCell ref="BR48:BT48"/>
    <mergeCell ref="BU48:BW48"/>
    <mergeCell ref="BX48:BZ48"/>
    <mergeCell ref="CA48:CC48"/>
    <mergeCell ref="AW48:AY48"/>
    <mergeCell ref="AZ48:BB48"/>
    <mergeCell ref="BC48:BE48"/>
    <mergeCell ref="BF48:BH48"/>
    <mergeCell ref="BL48:BL50"/>
    <mergeCell ref="AH48:AJ48"/>
    <mergeCell ref="AN48:AN50"/>
    <mergeCell ref="AP48:AP50"/>
    <mergeCell ref="AQ48:AS48"/>
    <mergeCell ref="AT48:AV48"/>
    <mergeCell ref="AM48:AM50"/>
    <mergeCell ref="R48:R50"/>
    <mergeCell ref="S48:U48"/>
    <mergeCell ref="R54:R56"/>
    <mergeCell ref="S54:U54"/>
    <mergeCell ref="V54:X54"/>
    <mergeCell ref="Y54:AA54"/>
    <mergeCell ref="AB54:AD54"/>
    <mergeCell ref="AE54:AG54"/>
    <mergeCell ref="CA51:CC51"/>
    <mergeCell ref="CD51:CF51"/>
    <mergeCell ref="CJ51:CJ53"/>
    <mergeCell ref="AK52:AK53"/>
    <mergeCell ref="BI52:BI53"/>
    <mergeCell ref="CG52:CG53"/>
    <mergeCell ref="BJ52:BJ53"/>
    <mergeCell ref="AL52:AL53"/>
    <mergeCell ref="BL51:BL53"/>
    <mergeCell ref="BN51:BN53"/>
    <mergeCell ref="BO51:BQ51"/>
    <mergeCell ref="BR51:BT51"/>
    <mergeCell ref="BU51:BW51"/>
    <mergeCell ref="BX51:BZ51"/>
    <mergeCell ref="AT51:AV51"/>
    <mergeCell ref="AW51:AY51"/>
    <mergeCell ref="AZ51:BB51"/>
    <mergeCell ref="BC51:BE51"/>
    <mergeCell ref="BF51:BH51"/>
    <mergeCell ref="AE51:AG51"/>
    <mergeCell ref="AH51:AJ51"/>
    <mergeCell ref="AN51:AN53"/>
    <mergeCell ref="AP51:AP53"/>
    <mergeCell ref="AQ51:AS51"/>
    <mergeCell ref="AM51:AM53"/>
    <mergeCell ref="S57:U57"/>
    <mergeCell ref="V57:X57"/>
    <mergeCell ref="Y57:AA57"/>
    <mergeCell ref="AB57:AD57"/>
    <mergeCell ref="AE57:AG57"/>
    <mergeCell ref="CD54:CF54"/>
    <mergeCell ref="CJ54:CJ56"/>
    <mergeCell ref="AK55:AK56"/>
    <mergeCell ref="BI55:BI56"/>
    <mergeCell ref="CG55:CG56"/>
    <mergeCell ref="BJ55:BJ56"/>
    <mergeCell ref="AL55:AL56"/>
    <mergeCell ref="BN54:BN56"/>
    <mergeCell ref="BO54:BQ54"/>
    <mergeCell ref="BR54:BT54"/>
    <mergeCell ref="BU54:BW54"/>
    <mergeCell ref="BX54:BZ54"/>
    <mergeCell ref="CA54:CC54"/>
    <mergeCell ref="AW54:AY54"/>
    <mergeCell ref="AZ54:BB54"/>
    <mergeCell ref="BC54:BE54"/>
    <mergeCell ref="BF54:BH54"/>
    <mergeCell ref="BL54:BL56"/>
    <mergeCell ref="AH54:AJ54"/>
    <mergeCell ref="AN54:AN56"/>
    <mergeCell ref="AP54:AP56"/>
    <mergeCell ref="AQ54:AS54"/>
    <mergeCell ref="AT54:AV54"/>
    <mergeCell ref="AM54:AM56"/>
    <mergeCell ref="R60:R62"/>
    <mergeCell ref="S60:U60"/>
    <mergeCell ref="V60:X60"/>
    <mergeCell ref="Y60:AA60"/>
    <mergeCell ref="AB60:AD60"/>
    <mergeCell ref="AE60:AG60"/>
    <mergeCell ref="CD57:CF57"/>
    <mergeCell ref="CJ57:CJ59"/>
    <mergeCell ref="AK58:AK59"/>
    <mergeCell ref="BI58:BI59"/>
    <mergeCell ref="CG58:CG59"/>
    <mergeCell ref="BJ58:BJ59"/>
    <mergeCell ref="AL58:AL59"/>
    <mergeCell ref="BN57:BN59"/>
    <mergeCell ref="BO57:BQ57"/>
    <mergeCell ref="BR57:BT57"/>
    <mergeCell ref="BU57:BW57"/>
    <mergeCell ref="BX57:BZ57"/>
    <mergeCell ref="CA57:CC57"/>
    <mergeCell ref="AW57:AY57"/>
    <mergeCell ref="AZ57:BB57"/>
    <mergeCell ref="BC57:BE57"/>
    <mergeCell ref="BF57:BH57"/>
    <mergeCell ref="BL57:BL59"/>
    <mergeCell ref="BK57:BK59"/>
    <mergeCell ref="AH57:AJ57"/>
    <mergeCell ref="AN57:AN59"/>
    <mergeCell ref="AP57:AP59"/>
    <mergeCell ref="AQ57:AS57"/>
    <mergeCell ref="AT57:AV57"/>
    <mergeCell ref="AM57:AM59"/>
    <mergeCell ref="R57:R59"/>
    <mergeCell ref="B63:E63"/>
    <mergeCell ref="R63:R65"/>
    <mergeCell ref="S63:U63"/>
    <mergeCell ref="V63:X63"/>
    <mergeCell ref="Y63:AA63"/>
    <mergeCell ref="AB63:AD63"/>
    <mergeCell ref="CD60:CF60"/>
    <mergeCell ref="CJ60:CJ62"/>
    <mergeCell ref="A61:E61"/>
    <mergeCell ref="AK61:AK62"/>
    <mergeCell ref="BI61:BI62"/>
    <mergeCell ref="CG61:CG62"/>
    <mergeCell ref="B62:E62"/>
    <mergeCell ref="BJ61:BJ62"/>
    <mergeCell ref="BN60:BN62"/>
    <mergeCell ref="BO60:BQ60"/>
    <mergeCell ref="BR60:BT60"/>
    <mergeCell ref="BU60:BW60"/>
    <mergeCell ref="BX60:BZ60"/>
    <mergeCell ref="CA60:CC60"/>
    <mergeCell ref="AW60:AY60"/>
    <mergeCell ref="AZ60:BB60"/>
    <mergeCell ref="BC60:BE60"/>
    <mergeCell ref="BF60:BH60"/>
    <mergeCell ref="BL60:BL62"/>
    <mergeCell ref="BK60:BK62"/>
    <mergeCell ref="AH60:AJ60"/>
    <mergeCell ref="AN60:AN62"/>
    <mergeCell ref="AP60:AP62"/>
    <mergeCell ref="AQ60:AS60"/>
    <mergeCell ref="AT60:AV60"/>
    <mergeCell ref="AL61:AL62"/>
    <mergeCell ref="B66:E66"/>
    <mergeCell ref="R66:R68"/>
    <mergeCell ref="S66:U66"/>
    <mergeCell ref="V66:X66"/>
    <mergeCell ref="Y66:AA66"/>
    <mergeCell ref="AB66:AD66"/>
    <mergeCell ref="CA63:CC63"/>
    <mergeCell ref="CD63:CF63"/>
    <mergeCell ref="CJ63:CJ65"/>
    <mergeCell ref="B64:E64"/>
    <mergeCell ref="AK64:AK65"/>
    <mergeCell ref="BI64:BI65"/>
    <mergeCell ref="CG64:CG65"/>
    <mergeCell ref="BJ64:BJ65"/>
    <mergeCell ref="BL63:BL65"/>
    <mergeCell ref="BN63:BN65"/>
    <mergeCell ref="BO63:BQ63"/>
    <mergeCell ref="BR63:BT63"/>
    <mergeCell ref="BU63:BW63"/>
    <mergeCell ref="BX63:BZ63"/>
    <mergeCell ref="AT63:AV63"/>
    <mergeCell ref="AW63:AY63"/>
    <mergeCell ref="AZ63:BB63"/>
    <mergeCell ref="BC63:BE63"/>
    <mergeCell ref="BF63:BH63"/>
    <mergeCell ref="AE63:AG63"/>
    <mergeCell ref="AH63:AJ63"/>
    <mergeCell ref="AN63:AN65"/>
    <mergeCell ref="AP63:AP65"/>
    <mergeCell ref="AQ63:AS63"/>
    <mergeCell ref="AL64:AL65"/>
    <mergeCell ref="AM63:AM65"/>
    <mergeCell ref="B69:E69"/>
    <mergeCell ref="R69:R71"/>
    <mergeCell ref="S69:U69"/>
    <mergeCell ref="V69:X69"/>
    <mergeCell ref="Y69:AA69"/>
    <mergeCell ref="AB69:AD69"/>
    <mergeCell ref="CA66:CC66"/>
    <mergeCell ref="CD66:CF66"/>
    <mergeCell ref="CJ66:CJ68"/>
    <mergeCell ref="B67:E67"/>
    <mergeCell ref="AK67:AK68"/>
    <mergeCell ref="BI67:BI68"/>
    <mergeCell ref="CG67:CG68"/>
    <mergeCell ref="BJ67:BJ68"/>
    <mergeCell ref="BL66:BL68"/>
    <mergeCell ref="BN66:BN68"/>
    <mergeCell ref="BO66:BQ66"/>
    <mergeCell ref="BR66:BT66"/>
    <mergeCell ref="BU66:BW66"/>
    <mergeCell ref="BX66:BZ66"/>
    <mergeCell ref="AT66:AV66"/>
    <mergeCell ref="AW66:AY66"/>
    <mergeCell ref="AZ66:BB66"/>
    <mergeCell ref="BC66:BE66"/>
    <mergeCell ref="BF66:BH66"/>
    <mergeCell ref="AE66:AG66"/>
    <mergeCell ref="AH66:AJ66"/>
    <mergeCell ref="AN66:AN68"/>
    <mergeCell ref="AP66:AP68"/>
    <mergeCell ref="AQ66:AS66"/>
    <mergeCell ref="AL67:AL68"/>
    <mergeCell ref="AM66:AM68"/>
    <mergeCell ref="R72:R74"/>
    <mergeCell ref="S72:U72"/>
    <mergeCell ref="V72:X72"/>
    <mergeCell ref="Y72:AA72"/>
    <mergeCell ref="AB72:AD72"/>
    <mergeCell ref="AE72:AG72"/>
    <mergeCell ref="CA69:CC69"/>
    <mergeCell ref="CD69:CF69"/>
    <mergeCell ref="CJ69:CJ71"/>
    <mergeCell ref="AK70:AK71"/>
    <mergeCell ref="BI70:BI71"/>
    <mergeCell ref="CG70:CG71"/>
    <mergeCell ref="BJ70:BJ71"/>
    <mergeCell ref="AL70:AL71"/>
    <mergeCell ref="BL69:BL71"/>
    <mergeCell ref="BN69:BN71"/>
    <mergeCell ref="BO69:BQ69"/>
    <mergeCell ref="BR69:BT69"/>
    <mergeCell ref="BU69:BW69"/>
    <mergeCell ref="BX69:BZ69"/>
    <mergeCell ref="AT69:AV69"/>
    <mergeCell ref="AW69:AY69"/>
    <mergeCell ref="AZ69:BB69"/>
    <mergeCell ref="BC69:BE69"/>
    <mergeCell ref="BF69:BH69"/>
    <mergeCell ref="AE69:AG69"/>
    <mergeCell ref="AH69:AJ69"/>
    <mergeCell ref="AN69:AN71"/>
    <mergeCell ref="AP69:AP71"/>
    <mergeCell ref="AQ69:AS69"/>
    <mergeCell ref="AM69:AM71"/>
    <mergeCell ref="CI69:CI71"/>
    <mergeCell ref="V75:X75"/>
    <mergeCell ref="Y75:AA75"/>
    <mergeCell ref="AB75:AD75"/>
    <mergeCell ref="AE75:AG75"/>
    <mergeCell ref="CD72:CF72"/>
    <mergeCell ref="CJ72:CJ74"/>
    <mergeCell ref="AK73:AK74"/>
    <mergeCell ref="BI73:BI74"/>
    <mergeCell ref="CG73:CG74"/>
    <mergeCell ref="BJ73:BJ74"/>
    <mergeCell ref="AL73:AL74"/>
    <mergeCell ref="BN72:BN74"/>
    <mergeCell ref="BO72:BQ72"/>
    <mergeCell ref="BR72:BT72"/>
    <mergeCell ref="BU72:BW72"/>
    <mergeCell ref="BX72:BZ72"/>
    <mergeCell ref="CA72:CC72"/>
    <mergeCell ref="AW72:AY72"/>
    <mergeCell ref="AZ72:BB72"/>
    <mergeCell ref="BC72:BE72"/>
    <mergeCell ref="BF72:BH72"/>
    <mergeCell ref="BL72:BL74"/>
    <mergeCell ref="AH72:AJ72"/>
    <mergeCell ref="AN72:AN74"/>
    <mergeCell ref="AP72:AP74"/>
    <mergeCell ref="AQ72:AS72"/>
    <mergeCell ref="AT72:AV72"/>
    <mergeCell ref="AM72:AM74"/>
    <mergeCell ref="R78:R80"/>
    <mergeCell ref="S78:U78"/>
    <mergeCell ref="V78:X78"/>
    <mergeCell ref="Y78:AA78"/>
    <mergeCell ref="AB78:AD78"/>
    <mergeCell ref="AE78:AG78"/>
    <mergeCell ref="CD75:CF75"/>
    <mergeCell ref="CJ75:CJ77"/>
    <mergeCell ref="AK76:AK77"/>
    <mergeCell ref="BI76:BI77"/>
    <mergeCell ref="CG76:CG77"/>
    <mergeCell ref="BJ76:BJ77"/>
    <mergeCell ref="AL76:AL77"/>
    <mergeCell ref="BN75:BN77"/>
    <mergeCell ref="BO75:BQ75"/>
    <mergeCell ref="BR75:BT75"/>
    <mergeCell ref="BU75:BW75"/>
    <mergeCell ref="BX75:BZ75"/>
    <mergeCell ref="CA75:CC75"/>
    <mergeCell ref="AW75:AY75"/>
    <mergeCell ref="AZ75:BB75"/>
    <mergeCell ref="BC75:BE75"/>
    <mergeCell ref="BF75:BH75"/>
    <mergeCell ref="BL75:BL77"/>
    <mergeCell ref="AH75:AJ75"/>
    <mergeCell ref="AN75:AN77"/>
    <mergeCell ref="AP75:AP77"/>
    <mergeCell ref="AQ75:AS75"/>
    <mergeCell ref="AT75:AV75"/>
    <mergeCell ref="AM75:AM77"/>
    <mergeCell ref="R75:R77"/>
    <mergeCell ref="S75:U75"/>
    <mergeCell ref="V81:X81"/>
    <mergeCell ref="Y81:AA81"/>
    <mergeCell ref="AB81:AD81"/>
    <mergeCell ref="AE81:AG81"/>
    <mergeCell ref="CD78:CF78"/>
    <mergeCell ref="CJ78:CJ80"/>
    <mergeCell ref="AK79:AK80"/>
    <mergeCell ref="BI79:BI80"/>
    <mergeCell ref="CG79:CG80"/>
    <mergeCell ref="BJ79:BJ80"/>
    <mergeCell ref="AL79:AL80"/>
    <mergeCell ref="AM78:AM80"/>
    <mergeCell ref="BN78:BN80"/>
    <mergeCell ref="BO78:BQ78"/>
    <mergeCell ref="BR78:BT78"/>
    <mergeCell ref="BU78:BW78"/>
    <mergeCell ref="BX78:BZ78"/>
    <mergeCell ref="CA78:CC78"/>
    <mergeCell ref="AW78:AY78"/>
    <mergeCell ref="AZ78:BB78"/>
    <mergeCell ref="BC78:BE78"/>
    <mergeCell ref="BF78:BH78"/>
    <mergeCell ref="BL78:BL80"/>
    <mergeCell ref="AH78:AJ78"/>
    <mergeCell ref="AN78:AN80"/>
    <mergeCell ref="AP78:AP80"/>
    <mergeCell ref="AQ78:AS78"/>
    <mergeCell ref="AT78:AV78"/>
    <mergeCell ref="CI81:CI83"/>
    <mergeCell ref="CH82:CH83"/>
    <mergeCell ref="BK81:BK83"/>
    <mergeCell ref="R84:R86"/>
    <mergeCell ref="S84:U84"/>
    <mergeCell ref="V84:X84"/>
    <mergeCell ref="Y84:AA84"/>
    <mergeCell ref="AB84:AD84"/>
    <mergeCell ref="AE84:AG84"/>
    <mergeCell ref="CD81:CF81"/>
    <mergeCell ref="CJ81:CJ83"/>
    <mergeCell ref="AK82:AK83"/>
    <mergeCell ref="BI82:BI83"/>
    <mergeCell ref="CG82:CG83"/>
    <mergeCell ref="BJ82:BJ83"/>
    <mergeCell ref="AL82:AL83"/>
    <mergeCell ref="AM81:AM83"/>
    <mergeCell ref="BN81:BN83"/>
    <mergeCell ref="BO81:BQ81"/>
    <mergeCell ref="BR81:BT81"/>
    <mergeCell ref="BU81:BW81"/>
    <mergeCell ref="BX81:BZ81"/>
    <mergeCell ref="CA81:CC81"/>
    <mergeCell ref="AW81:AY81"/>
    <mergeCell ref="AZ81:BB81"/>
    <mergeCell ref="BC81:BE81"/>
    <mergeCell ref="BF81:BH81"/>
    <mergeCell ref="BL81:BL83"/>
    <mergeCell ref="AH81:AJ81"/>
    <mergeCell ref="AN81:AN83"/>
    <mergeCell ref="AP81:AP83"/>
    <mergeCell ref="AQ81:AS81"/>
    <mergeCell ref="AT81:AV81"/>
    <mergeCell ref="R81:R83"/>
    <mergeCell ref="S81:U81"/>
    <mergeCell ref="V87:X87"/>
    <mergeCell ref="Y87:AA87"/>
    <mergeCell ref="AB87:AD87"/>
    <mergeCell ref="AE87:AG87"/>
    <mergeCell ref="CD84:CF84"/>
    <mergeCell ref="CJ84:CJ86"/>
    <mergeCell ref="AK85:AK86"/>
    <mergeCell ref="BI85:BI86"/>
    <mergeCell ref="CG85:CG86"/>
    <mergeCell ref="BJ85:BJ86"/>
    <mergeCell ref="AL85:AL86"/>
    <mergeCell ref="AM84:AM86"/>
    <mergeCell ref="BN84:BN86"/>
    <mergeCell ref="BO84:BQ84"/>
    <mergeCell ref="BR84:BT84"/>
    <mergeCell ref="BU84:BW84"/>
    <mergeCell ref="BX84:BZ84"/>
    <mergeCell ref="CA84:CC84"/>
    <mergeCell ref="AW84:AY84"/>
    <mergeCell ref="AZ84:BB84"/>
    <mergeCell ref="BC84:BE84"/>
    <mergeCell ref="BF84:BH84"/>
    <mergeCell ref="BL84:BL86"/>
    <mergeCell ref="AH84:AJ84"/>
    <mergeCell ref="AN84:AN86"/>
    <mergeCell ref="AP84:AP86"/>
    <mergeCell ref="AQ84:AS84"/>
    <mergeCell ref="AT84:AV84"/>
    <mergeCell ref="CI87:CI89"/>
    <mergeCell ref="CH88:CH89"/>
    <mergeCell ref="R90:R92"/>
    <mergeCell ref="S90:U90"/>
    <mergeCell ref="V90:X90"/>
    <mergeCell ref="Y90:AA90"/>
    <mergeCell ref="AB90:AD90"/>
    <mergeCell ref="AE90:AG90"/>
    <mergeCell ref="CD87:CF87"/>
    <mergeCell ref="CJ87:CJ89"/>
    <mergeCell ref="AK88:AK89"/>
    <mergeCell ref="BI88:BI89"/>
    <mergeCell ref="CG88:CG89"/>
    <mergeCell ref="BJ88:BJ89"/>
    <mergeCell ref="AL88:AL89"/>
    <mergeCell ref="AM87:AM89"/>
    <mergeCell ref="BN87:BN89"/>
    <mergeCell ref="BO87:BQ87"/>
    <mergeCell ref="BR87:BT87"/>
    <mergeCell ref="BU87:BW87"/>
    <mergeCell ref="BX87:BZ87"/>
    <mergeCell ref="CA87:CC87"/>
    <mergeCell ref="AW87:AY87"/>
    <mergeCell ref="AZ87:BB87"/>
    <mergeCell ref="BC87:BE87"/>
    <mergeCell ref="BF87:BH87"/>
    <mergeCell ref="BL87:BL89"/>
    <mergeCell ref="AH87:AJ87"/>
    <mergeCell ref="AN87:AN89"/>
    <mergeCell ref="AP87:AP89"/>
    <mergeCell ref="AQ87:AS87"/>
    <mergeCell ref="AT87:AV87"/>
    <mergeCell ref="R87:R89"/>
    <mergeCell ref="S87:U87"/>
    <mergeCell ref="AH93:AJ93"/>
    <mergeCell ref="AN93:AN95"/>
    <mergeCell ref="AP93:AP95"/>
    <mergeCell ref="AQ93:AS93"/>
    <mergeCell ref="AT93:AV93"/>
    <mergeCell ref="R93:R95"/>
    <mergeCell ref="S93:U93"/>
    <mergeCell ref="V93:X93"/>
    <mergeCell ref="Y93:AA93"/>
    <mergeCell ref="AB93:AD93"/>
    <mergeCell ref="AE93:AG93"/>
    <mergeCell ref="CD90:CF90"/>
    <mergeCell ref="CJ90:CJ92"/>
    <mergeCell ref="AK91:AK92"/>
    <mergeCell ref="BI91:BI92"/>
    <mergeCell ref="CG91:CG92"/>
    <mergeCell ref="BJ91:BJ92"/>
    <mergeCell ref="AL91:AL92"/>
    <mergeCell ref="AM90:AM92"/>
    <mergeCell ref="BN90:BN92"/>
    <mergeCell ref="BO90:BQ90"/>
    <mergeCell ref="BR90:BT90"/>
    <mergeCell ref="BU90:BW90"/>
    <mergeCell ref="BX90:BZ90"/>
    <mergeCell ref="CA90:CC90"/>
    <mergeCell ref="AW90:AY90"/>
    <mergeCell ref="AZ90:BB90"/>
    <mergeCell ref="BC90:BE90"/>
    <mergeCell ref="BF90:BH90"/>
    <mergeCell ref="CH91:CH92"/>
    <mergeCell ref="CI93:CI95"/>
    <mergeCell ref="AH90:AJ90"/>
    <mergeCell ref="CH94:CH95"/>
    <mergeCell ref="CI78:CI80"/>
    <mergeCell ref="CH79:CH80"/>
    <mergeCell ref="AK94:AK95"/>
    <mergeCell ref="BI94:BI95"/>
    <mergeCell ref="CG94:CG95"/>
    <mergeCell ref="BJ94:BJ95"/>
    <mergeCell ref="AL94:AL95"/>
    <mergeCell ref="AM93:AM95"/>
    <mergeCell ref="BN93:BN95"/>
    <mergeCell ref="BO93:BQ93"/>
    <mergeCell ref="BR93:BT93"/>
    <mergeCell ref="BU93:BW93"/>
    <mergeCell ref="BX93:BZ93"/>
    <mergeCell ref="CA93:CC93"/>
    <mergeCell ref="AW93:AY93"/>
    <mergeCell ref="AZ93:BB93"/>
    <mergeCell ref="BC93:BE93"/>
    <mergeCell ref="BF93:BH93"/>
    <mergeCell ref="BL93:BL95"/>
    <mergeCell ref="BK93:BK95"/>
    <mergeCell ref="BL90:BL92"/>
    <mergeCell ref="CI84:CI86"/>
    <mergeCell ref="CH85:CH86"/>
    <mergeCell ref="AN90:AN92"/>
    <mergeCell ref="CJ96:CJ97"/>
    <mergeCell ref="BK96:BK97"/>
    <mergeCell ref="CI96:CI97"/>
    <mergeCell ref="CD93:CF93"/>
    <mergeCell ref="CJ93:CJ95"/>
    <mergeCell ref="AP90:AP92"/>
    <mergeCell ref="AQ90:AS90"/>
    <mergeCell ref="AT90:AV90"/>
    <mergeCell ref="CJ36:CJ38"/>
    <mergeCell ref="AQ33:AS33"/>
    <mergeCell ref="AT33:AV33"/>
    <mergeCell ref="CJ6:CJ8"/>
    <mergeCell ref="BK39:BK41"/>
    <mergeCell ref="BK42:BK44"/>
    <mergeCell ref="BK45:BK47"/>
    <mergeCell ref="BK48:BK50"/>
    <mergeCell ref="BK51:BK53"/>
    <mergeCell ref="BK54:BK56"/>
    <mergeCell ref="CI33:CI35"/>
    <mergeCell ref="CH34:CH35"/>
    <mergeCell ref="CI36:CI38"/>
    <mergeCell ref="CH37:CH38"/>
    <mergeCell ref="CI39:CI41"/>
    <mergeCell ref="CH40:CH41"/>
    <mergeCell ref="CH22:CH23"/>
    <mergeCell ref="CI24:CI26"/>
    <mergeCell ref="CH25:CH26"/>
    <mergeCell ref="CJ15:CJ17"/>
    <mergeCell ref="CJ12:CJ14"/>
    <mergeCell ref="BK69:BK71"/>
    <mergeCell ref="BK72:BK74"/>
    <mergeCell ref="BK75:BK77"/>
    <mergeCell ref="AM96:AM97"/>
    <mergeCell ref="AM1:AM2"/>
    <mergeCell ref="AM3:AM5"/>
    <mergeCell ref="AM6:AM8"/>
    <mergeCell ref="AM9:AM11"/>
    <mergeCell ref="AM12:AM14"/>
    <mergeCell ref="AM15:AM17"/>
    <mergeCell ref="AM18:AM20"/>
    <mergeCell ref="AM21:AM23"/>
    <mergeCell ref="AM24:AM26"/>
    <mergeCell ref="CH16:CH17"/>
    <mergeCell ref="CI51:CI53"/>
    <mergeCell ref="CH52:CH53"/>
    <mergeCell ref="CI54:CI56"/>
    <mergeCell ref="CH55:CH56"/>
    <mergeCell ref="CI57:CI59"/>
    <mergeCell ref="CH58:CH59"/>
    <mergeCell ref="CI42:CI44"/>
    <mergeCell ref="CH43:CH44"/>
    <mergeCell ref="CI45:CI47"/>
    <mergeCell ref="CH46:CH47"/>
    <mergeCell ref="CI48:CI50"/>
    <mergeCell ref="CH49:CH50"/>
    <mergeCell ref="BK63:BK65"/>
    <mergeCell ref="BK66:BK68"/>
    <mergeCell ref="BK78:BK80"/>
    <mergeCell ref="BK84:BK86"/>
    <mergeCell ref="BK87:BK89"/>
    <mergeCell ref="BK90:BK92"/>
    <mergeCell ref="AN96:AN97"/>
    <mergeCell ref="BL96:BL97"/>
    <mergeCell ref="CI90:CI92"/>
    <mergeCell ref="CH70:CH71"/>
    <mergeCell ref="CI72:CI74"/>
    <mergeCell ref="CH73:CH74"/>
    <mergeCell ref="CI75:CI77"/>
    <mergeCell ref="CH76:CH77"/>
    <mergeCell ref="CI60:CI62"/>
    <mergeCell ref="CH61:CH62"/>
    <mergeCell ref="CI63:CI65"/>
    <mergeCell ref="CH64:CH65"/>
    <mergeCell ref="CI66:CI68"/>
    <mergeCell ref="CH67:CH68"/>
    <mergeCell ref="CI3:CI5"/>
    <mergeCell ref="CH4:CH5"/>
    <mergeCell ref="CI6:CI8"/>
    <mergeCell ref="CH7:CH8"/>
    <mergeCell ref="CI9:CI11"/>
    <mergeCell ref="CH10:CH11"/>
    <mergeCell ref="AL4:AL5"/>
    <mergeCell ref="AL7:AL8"/>
    <mergeCell ref="AL10:AL11"/>
    <mergeCell ref="AL13:AL14"/>
    <mergeCell ref="AM60:AM62"/>
    <mergeCell ref="AM33:AM35"/>
    <mergeCell ref="BJ10:BJ11"/>
    <mergeCell ref="BJ13:BJ14"/>
    <mergeCell ref="BJ16:BJ17"/>
    <mergeCell ref="BJ19:BJ20"/>
    <mergeCell ref="BI16:BI17"/>
    <mergeCell ref="BI13:BI14"/>
    <mergeCell ref="CI30:CI32"/>
    <mergeCell ref="CH31:CH32"/>
    <mergeCell ref="CI12:CI14"/>
    <mergeCell ref="CH13:CH14"/>
    <mergeCell ref="CI15:CI17"/>
    <mergeCell ref="CG16:CG17"/>
    <mergeCell ref="CG13:CG14"/>
    <mergeCell ref="CG37:CG38"/>
  </mergeCells>
  <conditionalFormatting sqref="AK4">
    <cfRule type="cellIs" dxfId="704" priority="507" operator="equal">
      <formula>0</formula>
    </cfRule>
  </conditionalFormatting>
  <conditionalFormatting sqref="AK7">
    <cfRule type="cellIs" dxfId="703" priority="508" operator="equal">
      <formula>0</formula>
    </cfRule>
  </conditionalFormatting>
  <conditionalFormatting sqref="AK10">
    <cfRule type="cellIs" dxfId="702" priority="509" operator="equal">
      <formula>0</formula>
    </cfRule>
  </conditionalFormatting>
  <conditionalFormatting sqref="AK13">
    <cfRule type="cellIs" dxfId="701" priority="510" operator="equal">
      <formula>0</formula>
    </cfRule>
  </conditionalFormatting>
  <conditionalFormatting sqref="AK16">
    <cfRule type="cellIs" dxfId="700" priority="511" operator="equal">
      <formula>0</formula>
    </cfRule>
  </conditionalFormatting>
  <conditionalFormatting sqref="AK19">
    <cfRule type="cellIs" dxfId="699" priority="512" operator="equal">
      <formula>0</formula>
    </cfRule>
  </conditionalFormatting>
  <conditionalFormatting sqref="AK22">
    <cfRule type="cellIs" dxfId="698" priority="513" operator="equal">
      <formula>0</formula>
    </cfRule>
  </conditionalFormatting>
  <conditionalFormatting sqref="AK25">
    <cfRule type="cellIs" dxfId="697" priority="514" operator="equal">
      <formula>0</formula>
    </cfRule>
  </conditionalFormatting>
  <conditionalFormatting sqref="AK28">
    <cfRule type="cellIs" dxfId="696" priority="515" operator="equal">
      <formula>0</formula>
    </cfRule>
  </conditionalFormatting>
  <conditionalFormatting sqref="AK31">
    <cfRule type="cellIs" dxfId="695" priority="516" operator="equal">
      <formula>0</formula>
    </cfRule>
  </conditionalFormatting>
  <conditionalFormatting sqref="AK34">
    <cfRule type="cellIs" dxfId="694" priority="517" operator="equal">
      <formula>0</formula>
    </cfRule>
  </conditionalFormatting>
  <conditionalFormatting sqref="AK37">
    <cfRule type="cellIs" dxfId="693" priority="518" operator="equal">
      <formula>0</formula>
    </cfRule>
  </conditionalFormatting>
  <conditionalFormatting sqref="AK40">
    <cfRule type="cellIs" dxfId="692" priority="519" operator="equal">
      <formula>0</formula>
    </cfRule>
  </conditionalFormatting>
  <conditionalFormatting sqref="AK43">
    <cfRule type="cellIs" dxfId="691" priority="520" operator="equal">
      <formula>0</formula>
    </cfRule>
  </conditionalFormatting>
  <conditionalFormatting sqref="AK46">
    <cfRule type="cellIs" dxfId="690" priority="521" operator="equal">
      <formula>0</formula>
    </cfRule>
  </conditionalFormatting>
  <conditionalFormatting sqref="AK49">
    <cfRule type="cellIs" dxfId="689" priority="522" operator="equal">
      <formula>0</formula>
    </cfRule>
  </conditionalFormatting>
  <conditionalFormatting sqref="AK52">
    <cfRule type="cellIs" dxfId="688" priority="523" operator="equal">
      <formula>0</formula>
    </cfRule>
  </conditionalFormatting>
  <conditionalFormatting sqref="AK55">
    <cfRule type="cellIs" dxfId="687" priority="524" operator="equal">
      <formula>0</formula>
    </cfRule>
  </conditionalFormatting>
  <conditionalFormatting sqref="AK58">
    <cfRule type="cellIs" dxfId="686" priority="525" operator="equal">
      <formula>0</formula>
    </cfRule>
  </conditionalFormatting>
  <conditionalFormatting sqref="AK61">
    <cfRule type="cellIs" dxfId="685" priority="526" operator="equal">
      <formula>0</formula>
    </cfRule>
  </conditionalFormatting>
  <conditionalFormatting sqref="AK64">
    <cfRule type="cellIs" dxfId="684" priority="527" operator="equal">
      <formula>0</formula>
    </cfRule>
  </conditionalFormatting>
  <conditionalFormatting sqref="AK67">
    <cfRule type="cellIs" dxfId="683" priority="528" operator="equal">
      <formula>0</formula>
    </cfRule>
  </conditionalFormatting>
  <conditionalFormatting sqref="AK70">
    <cfRule type="cellIs" dxfId="682" priority="529" operator="equal">
      <formula>0</formula>
    </cfRule>
  </conditionalFormatting>
  <conditionalFormatting sqref="AK73">
    <cfRule type="cellIs" dxfId="681" priority="530" operator="equal">
      <formula>0</formula>
    </cfRule>
  </conditionalFormatting>
  <conditionalFormatting sqref="AK76">
    <cfRule type="cellIs" dxfId="680" priority="531" operator="equal">
      <formula>0</formula>
    </cfRule>
  </conditionalFormatting>
  <conditionalFormatting sqref="AK79">
    <cfRule type="cellIs" dxfId="679" priority="532" operator="equal">
      <formula>0</formula>
    </cfRule>
  </conditionalFormatting>
  <conditionalFormatting sqref="AK82">
    <cfRule type="cellIs" dxfId="678" priority="533" operator="equal">
      <formula>0</formula>
    </cfRule>
  </conditionalFormatting>
  <conditionalFormatting sqref="AK85">
    <cfRule type="cellIs" dxfId="677" priority="534" operator="equal">
      <formula>0</formula>
    </cfRule>
  </conditionalFormatting>
  <conditionalFormatting sqref="AK88">
    <cfRule type="cellIs" dxfId="676" priority="535" operator="equal">
      <formula>0</formula>
    </cfRule>
  </conditionalFormatting>
  <conditionalFormatting sqref="AK91">
    <cfRule type="cellIs" dxfId="675" priority="536" operator="equal">
      <formula>0</formula>
    </cfRule>
  </conditionalFormatting>
  <conditionalFormatting sqref="AK94">
    <cfRule type="cellIs" dxfId="674" priority="537" operator="equal">
      <formula>0</formula>
    </cfRule>
  </conditionalFormatting>
  <conditionalFormatting sqref="AL98">
    <cfRule type="cellIs" dxfId="673" priority="404" operator="equal">
      <formula>0</formula>
    </cfRule>
    <cfRule type="cellIs" dxfId="672" priority="406" operator="greaterThan">
      <formula>0</formula>
    </cfRule>
    <cfRule type="cellIs" dxfId="671" priority="405" operator="lessThan">
      <formula>0</formula>
    </cfRule>
  </conditionalFormatting>
  <conditionalFormatting sqref="AN6:AO95 BL6:BM95 CJ6:CJ95">
    <cfRule type="cellIs" dxfId="670" priority="506" operator="greaterThan">
      <formula>AN3</formula>
    </cfRule>
    <cfRule type="cellIs" dxfId="669" priority="505" operator="lessThan">
      <formula>AN3</formula>
    </cfRule>
  </conditionalFormatting>
  <conditionalFormatting sqref="BI4">
    <cfRule type="cellIs" dxfId="668" priority="538" operator="equal">
      <formula>0</formula>
    </cfRule>
  </conditionalFormatting>
  <conditionalFormatting sqref="BI7">
    <cfRule type="cellIs" dxfId="667" priority="539" operator="equal">
      <formula>0</formula>
    </cfRule>
  </conditionalFormatting>
  <conditionalFormatting sqref="BI10">
    <cfRule type="cellIs" dxfId="666" priority="540" operator="equal">
      <formula>0</formula>
    </cfRule>
  </conditionalFormatting>
  <conditionalFormatting sqref="BI13">
    <cfRule type="cellIs" dxfId="665" priority="541" operator="equal">
      <formula>0</formula>
    </cfRule>
  </conditionalFormatting>
  <conditionalFormatting sqref="BI16">
    <cfRule type="cellIs" dxfId="664" priority="542" operator="equal">
      <formula>0</formula>
    </cfRule>
  </conditionalFormatting>
  <conditionalFormatting sqref="BI19">
    <cfRule type="cellIs" dxfId="663" priority="543" operator="equal">
      <formula>0</formula>
    </cfRule>
  </conditionalFormatting>
  <conditionalFormatting sqref="BI22">
    <cfRule type="cellIs" dxfId="662" priority="544" operator="equal">
      <formula>0</formula>
    </cfRule>
  </conditionalFormatting>
  <conditionalFormatting sqref="BI25">
    <cfRule type="cellIs" dxfId="661" priority="545" operator="equal">
      <formula>0</formula>
    </cfRule>
  </conditionalFormatting>
  <conditionalFormatting sqref="BI28">
    <cfRule type="cellIs" dxfId="660" priority="546" operator="equal">
      <formula>0</formula>
    </cfRule>
  </conditionalFormatting>
  <conditionalFormatting sqref="BI31">
    <cfRule type="cellIs" dxfId="659" priority="547" operator="equal">
      <formula>0</formula>
    </cfRule>
  </conditionalFormatting>
  <conditionalFormatting sqref="BI34">
    <cfRule type="cellIs" dxfId="658" priority="548" operator="equal">
      <formula>0</formula>
    </cfRule>
  </conditionalFormatting>
  <conditionalFormatting sqref="BI37">
    <cfRule type="cellIs" dxfId="657" priority="549" operator="equal">
      <formula>0</formula>
    </cfRule>
  </conditionalFormatting>
  <conditionalFormatting sqref="BI40">
    <cfRule type="cellIs" dxfId="656" priority="550" operator="equal">
      <formula>0</formula>
    </cfRule>
  </conditionalFormatting>
  <conditionalFormatting sqref="BI43">
    <cfRule type="cellIs" dxfId="655" priority="551" operator="equal">
      <formula>0</formula>
    </cfRule>
  </conditionalFormatting>
  <conditionalFormatting sqref="BI46">
    <cfRule type="cellIs" dxfId="654" priority="552" operator="equal">
      <formula>0</formula>
    </cfRule>
  </conditionalFormatting>
  <conditionalFormatting sqref="BI49">
    <cfRule type="cellIs" dxfId="653" priority="553" operator="equal">
      <formula>0</formula>
    </cfRule>
  </conditionalFormatting>
  <conditionalFormatting sqref="BI52">
    <cfRule type="cellIs" dxfId="652" priority="554" operator="equal">
      <formula>0</formula>
    </cfRule>
  </conditionalFormatting>
  <conditionalFormatting sqref="BI55">
    <cfRule type="cellIs" dxfId="651" priority="555" operator="equal">
      <formula>0</formula>
    </cfRule>
  </conditionalFormatting>
  <conditionalFormatting sqref="BI58">
    <cfRule type="cellIs" dxfId="650" priority="556" operator="equal">
      <formula>0</formula>
    </cfRule>
  </conditionalFormatting>
  <conditionalFormatting sqref="BI61">
    <cfRule type="cellIs" dxfId="649" priority="557" operator="equal">
      <formula>0</formula>
    </cfRule>
  </conditionalFormatting>
  <conditionalFormatting sqref="BI64">
    <cfRule type="cellIs" dxfId="648" priority="558" operator="equal">
      <formula>0</formula>
    </cfRule>
  </conditionalFormatting>
  <conditionalFormatting sqref="BI67">
    <cfRule type="cellIs" dxfId="647" priority="559" operator="equal">
      <formula>0</formula>
    </cfRule>
  </conditionalFormatting>
  <conditionalFormatting sqref="BI70">
    <cfRule type="cellIs" dxfId="646" priority="560" operator="equal">
      <formula>0</formula>
    </cfRule>
  </conditionalFormatting>
  <conditionalFormatting sqref="BI73">
    <cfRule type="cellIs" dxfId="645" priority="561" operator="equal">
      <formula>0</formula>
    </cfRule>
  </conditionalFormatting>
  <conditionalFormatting sqref="BI76">
    <cfRule type="cellIs" dxfId="644" priority="562" operator="equal">
      <formula>0</formula>
    </cfRule>
  </conditionalFormatting>
  <conditionalFormatting sqref="BI79">
    <cfRule type="cellIs" dxfId="643" priority="563" operator="equal">
      <formula>0</formula>
    </cfRule>
  </conditionalFormatting>
  <conditionalFormatting sqref="BI82">
    <cfRule type="cellIs" dxfId="642" priority="564" operator="equal">
      <formula>0</formula>
    </cfRule>
  </conditionalFormatting>
  <conditionalFormatting sqref="BI85">
    <cfRule type="cellIs" dxfId="641" priority="565" operator="equal">
      <formula>0</formula>
    </cfRule>
  </conditionalFormatting>
  <conditionalFormatting sqref="BJ98">
    <cfRule type="cellIs" dxfId="640" priority="403" operator="greaterThan">
      <formula>0</formula>
    </cfRule>
    <cfRule type="cellIs" dxfId="639" priority="402" operator="lessThan">
      <formula>0</formula>
    </cfRule>
    <cfRule type="cellIs" dxfId="638" priority="401" operator="equal">
      <formula>0</formula>
    </cfRule>
  </conditionalFormatting>
  <conditionalFormatting sqref="CG4">
    <cfRule type="cellIs" dxfId="637" priority="569" operator="equal">
      <formula>0</formula>
    </cfRule>
  </conditionalFormatting>
  <conditionalFormatting sqref="CG7">
    <cfRule type="cellIs" dxfId="636" priority="570" operator="equal">
      <formula>0</formula>
    </cfRule>
  </conditionalFormatting>
  <conditionalFormatting sqref="CG10">
    <cfRule type="cellIs" dxfId="635" priority="476" operator="equal">
      <formula>0</formula>
    </cfRule>
  </conditionalFormatting>
  <conditionalFormatting sqref="CG13">
    <cfRule type="cellIs" dxfId="634" priority="477" operator="equal">
      <formula>0</formula>
    </cfRule>
  </conditionalFormatting>
  <conditionalFormatting sqref="CG16">
    <cfRule type="cellIs" dxfId="633" priority="478" operator="equal">
      <formula>0</formula>
    </cfRule>
  </conditionalFormatting>
  <conditionalFormatting sqref="CG19">
    <cfRule type="cellIs" dxfId="632" priority="479" operator="equal">
      <formula>0</formula>
    </cfRule>
  </conditionalFormatting>
  <conditionalFormatting sqref="CG22">
    <cfRule type="cellIs" dxfId="631" priority="480" operator="equal">
      <formula>0</formula>
    </cfRule>
  </conditionalFormatting>
  <conditionalFormatting sqref="CG25">
    <cfRule type="cellIs" dxfId="630" priority="481" operator="equal">
      <formula>0</formula>
    </cfRule>
  </conditionalFormatting>
  <conditionalFormatting sqref="CG28">
    <cfRule type="cellIs" dxfId="629" priority="482" operator="equal">
      <formula>0</formula>
    </cfRule>
  </conditionalFormatting>
  <conditionalFormatting sqref="CG31">
    <cfRule type="cellIs" dxfId="628" priority="483" operator="equal">
      <formula>0</formula>
    </cfRule>
  </conditionalFormatting>
  <conditionalFormatting sqref="CG34">
    <cfRule type="cellIs" dxfId="627" priority="484" operator="equal">
      <formula>0</formula>
    </cfRule>
  </conditionalFormatting>
  <conditionalFormatting sqref="CG37">
    <cfRule type="cellIs" dxfId="626" priority="485" operator="equal">
      <formula>0</formula>
    </cfRule>
  </conditionalFormatting>
  <conditionalFormatting sqref="CG40">
    <cfRule type="cellIs" dxfId="625" priority="486" operator="equal">
      <formula>0</formula>
    </cfRule>
  </conditionalFormatting>
  <conditionalFormatting sqref="CG43">
    <cfRule type="cellIs" dxfId="624" priority="487" operator="equal">
      <formula>0</formula>
    </cfRule>
  </conditionalFormatting>
  <conditionalFormatting sqref="CG46">
    <cfRule type="cellIs" dxfId="623" priority="488" operator="equal">
      <formula>0</formula>
    </cfRule>
  </conditionalFormatting>
  <conditionalFormatting sqref="CG49">
    <cfRule type="cellIs" dxfId="622" priority="489" operator="equal">
      <formula>0</formula>
    </cfRule>
  </conditionalFormatting>
  <conditionalFormatting sqref="CG52">
    <cfRule type="cellIs" dxfId="621" priority="1" operator="equal">
      <formula>0</formula>
    </cfRule>
  </conditionalFormatting>
  <conditionalFormatting sqref="CG55">
    <cfRule type="cellIs" dxfId="620" priority="491" operator="equal">
      <formula>0</formula>
    </cfRule>
  </conditionalFormatting>
  <conditionalFormatting sqref="CG58">
    <cfRule type="cellIs" dxfId="619" priority="492" operator="equal">
      <formula>0</formula>
    </cfRule>
  </conditionalFormatting>
  <conditionalFormatting sqref="CG61">
    <cfRule type="cellIs" dxfId="618" priority="493" operator="equal">
      <formula>0</formula>
    </cfRule>
  </conditionalFormatting>
  <conditionalFormatting sqref="CG64">
    <cfRule type="cellIs" dxfId="617" priority="494" operator="equal">
      <formula>0</formula>
    </cfRule>
  </conditionalFormatting>
  <conditionalFormatting sqref="CG67">
    <cfRule type="cellIs" dxfId="616" priority="495" operator="equal">
      <formula>0</formula>
    </cfRule>
  </conditionalFormatting>
  <conditionalFormatting sqref="CG70">
    <cfRule type="cellIs" dxfId="615" priority="496" operator="equal">
      <formula>0</formula>
    </cfRule>
  </conditionalFormatting>
  <conditionalFormatting sqref="CG73">
    <cfRule type="cellIs" dxfId="614" priority="497" operator="equal">
      <formula>0</formula>
    </cfRule>
  </conditionalFormatting>
  <conditionalFormatting sqref="CG76">
    <cfRule type="cellIs" dxfId="613" priority="498" operator="equal">
      <formula>0</formula>
    </cfRule>
  </conditionalFormatting>
  <conditionalFormatting sqref="CG79">
    <cfRule type="cellIs" dxfId="612" priority="499" operator="equal">
      <formula>0</formula>
    </cfRule>
  </conditionalFormatting>
  <conditionalFormatting sqref="CG82">
    <cfRule type="cellIs" dxfId="611" priority="500" operator="equal">
      <formula>0</formula>
    </cfRule>
  </conditionalFormatting>
  <conditionalFormatting sqref="CG85">
    <cfRule type="cellIs" dxfId="610" priority="501" operator="equal">
      <formula>0</formula>
    </cfRule>
  </conditionalFormatting>
  <conditionalFormatting sqref="CG88">
    <cfRule type="cellIs" dxfId="609" priority="475" operator="equal">
      <formula>0</formula>
    </cfRule>
  </conditionalFormatting>
  <conditionalFormatting sqref="CG91">
    <cfRule type="cellIs" dxfId="608" priority="474" operator="equal">
      <formula>0</formula>
    </cfRule>
  </conditionalFormatting>
  <conditionalFormatting sqref="CG94">
    <cfRule type="cellIs" dxfId="607" priority="473" operator="equal">
      <formula>0</formula>
    </cfRule>
  </conditionalFormatting>
  <conditionalFormatting sqref="CH98">
    <cfRule type="cellIs" dxfId="606" priority="398" operator="equal">
      <formula>0</formula>
    </cfRule>
    <cfRule type="cellIs" dxfId="605" priority="400" operator="greaterThan">
      <formula>0</formula>
    </cfRule>
    <cfRule type="cellIs" dxfId="604" priority="399" operator="lessThan">
      <formula>0</formula>
    </cfRule>
  </conditionalFormatting>
  <conditionalFormatting sqref="DE4">
    <cfRule type="cellIs" dxfId="603" priority="360" operator="equal">
      <formula>0</formula>
    </cfRule>
  </conditionalFormatting>
  <conditionalFormatting sqref="DE7">
    <cfRule type="cellIs" dxfId="602" priority="361" operator="equal">
      <formula>0</formula>
    </cfRule>
  </conditionalFormatting>
  <conditionalFormatting sqref="DE10">
    <cfRule type="cellIs" dxfId="601" priority="332" operator="equal">
      <formula>0</formula>
    </cfRule>
  </conditionalFormatting>
  <conditionalFormatting sqref="DE13">
    <cfRule type="cellIs" dxfId="600" priority="333" operator="equal">
      <formula>0</formula>
    </cfRule>
  </conditionalFormatting>
  <conditionalFormatting sqref="DE16">
    <cfRule type="cellIs" dxfId="599" priority="334" operator="equal">
      <formula>0</formula>
    </cfRule>
  </conditionalFormatting>
  <conditionalFormatting sqref="DE19">
    <cfRule type="cellIs" dxfId="598" priority="335" operator="equal">
      <formula>0</formula>
    </cfRule>
  </conditionalFormatting>
  <conditionalFormatting sqref="DE22">
    <cfRule type="cellIs" dxfId="597" priority="336" operator="equal">
      <formula>0</formula>
    </cfRule>
  </conditionalFormatting>
  <conditionalFormatting sqref="DE25">
    <cfRule type="cellIs" dxfId="596" priority="337" operator="equal">
      <formula>0</formula>
    </cfRule>
  </conditionalFormatting>
  <conditionalFormatting sqref="DE28">
    <cfRule type="cellIs" dxfId="595" priority="338" operator="equal">
      <formula>0</formula>
    </cfRule>
  </conditionalFormatting>
  <conditionalFormatting sqref="DE31">
    <cfRule type="cellIs" dxfId="594" priority="339" operator="equal">
      <formula>0</formula>
    </cfRule>
  </conditionalFormatting>
  <conditionalFormatting sqref="DE34">
    <cfRule type="cellIs" dxfId="593" priority="340" operator="equal">
      <formula>0</formula>
    </cfRule>
  </conditionalFormatting>
  <conditionalFormatting sqref="DE37">
    <cfRule type="cellIs" dxfId="592" priority="341" operator="equal">
      <formula>0</formula>
    </cfRule>
  </conditionalFormatting>
  <conditionalFormatting sqref="DE40">
    <cfRule type="cellIs" dxfId="591" priority="342" operator="equal">
      <formula>0</formula>
    </cfRule>
  </conditionalFormatting>
  <conditionalFormatting sqref="DE43">
    <cfRule type="cellIs" dxfId="590" priority="343" operator="equal">
      <formula>0</formula>
    </cfRule>
  </conditionalFormatting>
  <conditionalFormatting sqref="DE46">
    <cfRule type="cellIs" dxfId="589" priority="344" operator="equal">
      <formula>0</formula>
    </cfRule>
  </conditionalFormatting>
  <conditionalFormatting sqref="DE49">
    <cfRule type="cellIs" dxfId="588" priority="345" operator="equal">
      <formula>0</formula>
    </cfRule>
  </conditionalFormatting>
  <conditionalFormatting sqref="DE52">
    <cfRule type="cellIs" dxfId="587" priority="346" operator="equal">
      <formula>0</formula>
    </cfRule>
  </conditionalFormatting>
  <conditionalFormatting sqref="DE55">
    <cfRule type="cellIs" dxfId="586" priority="347" operator="equal">
      <formula>0</formula>
    </cfRule>
  </conditionalFormatting>
  <conditionalFormatting sqref="DE58">
    <cfRule type="cellIs" dxfId="585" priority="348" operator="equal">
      <formula>0</formula>
    </cfRule>
  </conditionalFormatting>
  <conditionalFormatting sqref="DE61">
    <cfRule type="cellIs" dxfId="584" priority="349" operator="equal">
      <formula>0</formula>
    </cfRule>
  </conditionalFormatting>
  <conditionalFormatting sqref="DE64">
    <cfRule type="cellIs" dxfId="583" priority="350" operator="equal">
      <formula>0</formula>
    </cfRule>
  </conditionalFormatting>
  <conditionalFormatting sqref="DE67">
    <cfRule type="cellIs" dxfId="582" priority="351" operator="equal">
      <formula>0</formula>
    </cfRule>
  </conditionalFormatting>
  <conditionalFormatting sqref="DE70">
    <cfRule type="cellIs" dxfId="581" priority="352" operator="equal">
      <formula>0</formula>
    </cfRule>
  </conditionalFormatting>
  <conditionalFormatting sqref="DE73">
    <cfRule type="cellIs" dxfId="580" priority="353" operator="equal">
      <formula>0</formula>
    </cfRule>
  </conditionalFormatting>
  <conditionalFormatting sqref="DE76">
    <cfRule type="cellIs" dxfId="579" priority="354" operator="equal">
      <formula>0</formula>
    </cfRule>
  </conditionalFormatting>
  <conditionalFormatting sqref="DE79">
    <cfRule type="cellIs" dxfId="578" priority="355" operator="equal">
      <formula>0</formula>
    </cfRule>
  </conditionalFormatting>
  <conditionalFormatting sqref="DE82">
    <cfRule type="cellIs" dxfId="577" priority="356" operator="equal">
      <formula>0</formula>
    </cfRule>
  </conditionalFormatting>
  <conditionalFormatting sqref="DE85">
    <cfRule type="cellIs" dxfId="576" priority="357" operator="equal">
      <formula>0</formula>
    </cfRule>
  </conditionalFormatting>
  <conditionalFormatting sqref="DE88">
    <cfRule type="cellIs" dxfId="575" priority="331" operator="equal">
      <formula>0</formula>
    </cfRule>
  </conditionalFormatting>
  <conditionalFormatting sqref="DE91">
    <cfRule type="cellIs" dxfId="574" priority="330" operator="equal">
      <formula>0</formula>
    </cfRule>
  </conditionalFormatting>
  <conditionalFormatting sqref="DE94">
    <cfRule type="cellIs" dxfId="573" priority="329" operator="equal">
      <formula>0</formula>
    </cfRule>
  </conditionalFormatting>
  <conditionalFormatting sqref="DF98">
    <cfRule type="cellIs" dxfId="572" priority="326" operator="equal">
      <formula>0</formula>
    </cfRule>
    <cfRule type="cellIs" dxfId="571" priority="328" operator="greaterThan">
      <formula>0</formula>
    </cfRule>
    <cfRule type="cellIs" dxfId="570" priority="327" operator="lessThan">
      <formula>0</formula>
    </cfRule>
  </conditionalFormatting>
  <conditionalFormatting sqref="DH6:DH95">
    <cfRule type="cellIs" dxfId="569" priority="358" operator="lessThan">
      <formula>DH3</formula>
    </cfRule>
    <cfRule type="cellIs" dxfId="568" priority="359" operator="greaterThan">
      <formula>DH3</formula>
    </cfRule>
  </conditionalFormatting>
  <conditionalFormatting sqref="EC4">
    <cfRule type="cellIs" dxfId="567" priority="324" operator="equal">
      <formula>0</formula>
    </cfRule>
  </conditionalFormatting>
  <conditionalFormatting sqref="EC7">
    <cfRule type="cellIs" dxfId="566" priority="325" operator="equal">
      <formula>0</formula>
    </cfRule>
  </conditionalFormatting>
  <conditionalFormatting sqref="EC10">
    <cfRule type="cellIs" dxfId="565" priority="296" operator="equal">
      <formula>0</formula>
    </cfRule>
  </conditionalFormatting>
  <conditionalFormatting sqref="EC13">
    <cfRule type="cellIs" dxfId="564" priority="297" operator="equal">
      <formula>0</formula>
    </cfRule>
  </conditionalFormatting>
  <conditionalFormatting sqref="EC16">
    <cfRule type="cellIs" dxfId="563" priority="298" operator="equal">
      <formula>0</formula>
    </cfRule>
  </conditionalFormatting>
  <conditionalFormatting sqref="EC19">
    <cfRule type="cellIs" dxfId="562" priority="299" operator="equal">
      <formula>0</formula>
    </cfRule>
  </conditionalFormatting>
  <conditionalFormatting sqref="EC22">
    <cfRule type="cellIs" dxfId="561" priority="300" operator="equal">
      <formula>0</formula>
    </cfRule>
  </conditionalFormatting>
  <conditionalFormatting sqref="EC25">
    <cfRule type="cellIs" dxfId="560" priority="301" operator="equal">
      <formula>0</formula>
    </cfRule>
  </conditionalFormatting>
  <conditionalFormatting sqref="EC28">
    <cfRule type="cellIs" dxfId="559" priority="302" operator="equal">
      <formula>0</formula>
    </cfRule>
  </conditionalFormatting>
  <conditionalFormatting sqref="EC31">
    <cfRule type="cellIs" dxfId="558" priority="303" operator="equal">
      <formula>0</formula>
    </cfRule>
  </conditionalFormatting>
  <conditionalFormatting sqref="EC34">
    <cfRule type="cellIs" dxfId="557" priority="304" operator="equal">
      <formula>0</formula>
    </cfRule>
  </conditionalFormatting>
  <conditionalFormatting sqref="EC37">
    <cfRule type="cellIs" dxfId="556" priority="305" operator="equal">
      <formula>0</formula>
    </cfRule>
  </conditionalFormatting>
  <conditionalFormatting sqref="EC40">
    <cfRule type="cellIs" dxfId="555" priority="306" operator="equal">
      <formula>0</formula>
    </cfRule>
  </conditionalFormatting>
  <conditionalFormatting sqref="EC43">
    <cfRule type="cellIs" dxfId="554" priority="307" operator="equal">
      <formula>0</formula>
    </cfRule>
  </conditionalFormatting>
  <conditionalFormatting sqref="EC46">
    <cfRule type="cellIs" dxfId="553" priority="308" operator="equal">
      <formula>0</formula>
    </cfRule>
  </conditionalFormatting>
  <conditionalFormatting sqref="EC49">
    <cfRule type="cellIs" dxfId="552" priority="309" operator="equal">
      <formula>0</formula>
    </cfRule>
  </conditionalFormatting>
  <conditionalFormatting sqref="EC52">
    <cfRule type="cellIs" dxfId="551" priority="310" operator="equal">
      <formula>0</formula>
    </cfRule>
  </conditionalFormatting>
  <conditionalFormatting sqref="EC55">
    <cfRule type="cellIs" dxfId="550" priority="311" operator="equal">
      <formula>0</formula>
    </cfRule>
  </conditionalFormatting>
  <conditionalFormatting sqref="EC58">
    <cfRule type="cellIs" dxfId="549" priority="312" operator="equal">
      <formula>0</formula>
    </cfRule>
  </conditionalFormatting>
  <conditionalFormatting sqref="EC61">
    <cfRule type="cellIs" dxfId="548" priority="313" operator="equal">
      <formula>0</formula>
    </cfRule>
  </conditionalFormatting>
  <conditionalFormatting sqref="EC64">
    <cfRule type="cellIs" dxfId="547" priority="314" operator="equal">
      <formula>0</formula>
    </cfRule>
  </conditionalFormatting>
  <conditionalFormatting sqref="EC67">
    <cfRule type="cellIs" dxfId="546" priority="315" operator="equal">
      <formula>0</formula>
    </cfRule>
  </conditionalFormatting>
  <conditionalFormatting sqref="EC70">
    <cfRule type="cellIs" dxfId="545" priority="316" operator="equal">
      <formula>0</formula>
    </cfRule>
  </conditionalFormatting>
  <conditionalFormatting sqref="EC73">
    <cfRule type="cellIs" dxfId="544" priority="317" operator="equal">
      <formula>0</formula>
    </cfRule>
  </conditionalFormatting>
  <conditionalFormatting sqref="EC76">
    <cfRule type="cellIs" dxfId="543" priority="318" operator="equal">
      <formula>0</formula>
    </cfRule>
  </conditionalFormatting>
  <conditionalFormatting sqref="EC79">
    <cfRule type="cellIs" dxfId="542" priority="319" operator="equal">
      <formula>0</formula>
    </cfRule>
  </conditionalFormatting>
  <conditionalFormatting sqref="EC82">
    <cfRule type="cellIs" dxfId="541" priority="320" operator="equal">
      <formula>0</formula>
    </cfRule>
  </conditionalFormatting>
  <conditionalFormatting sqref="EC85">
    <cfRule type="cellIs" dxfId="540" priority="321" operator="equal">
      <formula>0</formula>
    </cfRule>
  </conditionalFormatting>
  <conditionalFormatting sqref="EC88">
    <cfRule type="cellIs" dxfId="539" priority="295" operator="equal">
      <formula>0</formula>
    </cfRule>
  </conditionalFormatting>
  <conditionalFormatting sqref="EC91">
    <cfRule type="cellIs" dxfId="538" priority="294" operator="equal">
      <formula>0</formula>
    </cfRule>
  </conditionalFormatting>
  <conditionalFormatting sqref="EC94">
    <cfRule type="cellIs" dxfId="537" priority="293" operator="equal">
      <formula>0</formula>
    </cfRule>
  </conditionalFormatting>
  <conditionalFormatting sqref="ED98">
    <cfRule type="cellIs" dxfId="536" priority="292" operator="greaterThan">
      <formula>0</formula>
    </cfRule>
    <cfRule type="cellIs" dxfId="535" priority="290" operator="equal">
      <formula>0</formula>
    </cfRule>
    <cfRule type="cellIs" dxfId="534" priority="291" operator="lessThan">
      <formula>0</formula>
    </cfRule>
  </conditionalFormatting>
  <conditionalFormatting sqref="EF6:EF95">
    <cfRule type="cellIs" dxfId="533" priority="322" operator="lessThan">
      <formula>EF3</formula>
    </cfRule>
    <cfRule type="cellIs" dxfId="532" priority="323" operator="greaterThan">
      <formula>EF3</formula>
    </cfRule>
  </conditionalFormatting>
  <conditionalFormatting sqref="FA4">
    <cfRule type="cellIs" dxfId="531" priority="288" operator="equal">
      <formula>0</formula>
    </cfRule>
  </conditionalFormatting>
  <conditionalFormatting sqref="FA7">
    <cfRule type="cellIs" dxfId="530" priority="289" operator="equal">
      <formula>0</formula>
    </cfRule>
  </conditionalFormatting>
  <conditionalFormatting sqref="FA10">
    <cfRule type="cellIs" dxfId="529" priority="260" operator="equal">
      <formula>0</formula>
    </cfRule>
  </conditionalFormatting>
  <conditionalFormatting sqref="FA13">
    <cfRule type="cellIs" dxfId="528" priority="261" operator="equal">
      <formula>0</formula>
    </cfRule>
  </conditionalFormatting>
  <conditionalFormatting sqref="FA16">
    <cfRule type="cellIs" dxfId="527" priority="262" operator="equal">
      <formula>0</formula>
    </cfRule>
  </conditionalFormatting>
  <conditionalFormatting sqref="FA19">
    <cfRule type="cellIs" dxfId="526" priority="263" operator="equal">
      <formula>0</formula>
    </cfRule>
  </conditionalFormatting>
  <conditionalFormatting sqref="FA22">
    <cfRule type="cellIs" dxfId="525" priority="264" operator="equal">
      <formula>0</formula>
    </cfRule>
  </conditionalFormatting>
  <conditionalFormatting sqref="FA25">
    <cfRule type="cellIs" dxfId="524" priority="265" operator="equal">
      <formula>0</formula>
    </cfRule>
  </conditionalFormatting>
  <conditionalFormatting sqref="FA28">
    <cfRule type="cellIs" dxfId="523" priority="266" operator="equal">
      <formula>0</formula>
    </cfRule>
  </conditionalFormatting>
  <conditionalFormatting sqref="FA31">
    <cfRule type="cellIs" dxfId="522" priority="267" operator="equal">
      <formula>0</formula>
    </cfRule>
  </conditionalFormatting>
  <conditionalFormatting sqref="FA34">
    <cfRule type="cellIs" dxfId="521" priority="268" operator="equal">
      <formula>0</formula>
    </cfRule>
  </conditionalFormatting>
  <conditionalFormatting sqref="FA37">
    <cfRule type="cellIs" dxfId="520" priority="269" operator="equal">
      <formula>0</formula>
    </cfRule>
  </conditionalFormatting>
  <conditionalFormatting sqref="FA40">
    <cfRule type="cellIs" dxfId="519" priority="270" operator="equal">
      <formula>0</formula>
    </cfRule>
  </conditionalFormatting>
  <conditionalFormatting sqref="FA43">
    <cfRule type="cellIs" dxfId="518" priority="271" operator="equal">
      <formula>0</formula>
    </cfRule>
  </conditionalFormatting>
  <conditionalFormatting sqref="FA46">
    <cfRule type="cellIs" dxfId="517" priority="272" operator="equal">
      <formula>0</formula>
    </cfRule>
  </conditionalFormatting>
  <conditionalFormatting sqref="FA49">
    <cfRule type="cellIs" dxfId="516" priority="273" operator="equal">
      <formula>0</formula>
    </cfRule>
  </conditionalFormatting>
  <conditionalFormatting sqref="FA52">
    <cfRule type="cellIs" dxfId="515" priority="274" operator="equal">
      <formula>0</formula>
    </cfRule>
  </conditionalFormatting>
  <conditionalFormatting sqref="FA55">
    <cfRule type="cellIs" dxfId="514" priority="275" operator="equal">
      <formula>0</formula>
    </cfRule>
  </conditionalFormatting>
  <conditionalFormatting sqref="FA58">
    <cfRule type="cellIs" dxfId="513" priority="276" operator="equal">
      <formula>0</formula>
    </cfRule>
  </conditionalFormatting>
  <conditionalFormatting sqref="FA61">
    <cfRule type="cellIs" dxfId="512" priority="277" operator="equal">
      <formula>0</formula>
    </cfRule>
  </conditionalFormatting>
  <conditionalFormatting sqref="FA64">
    <cfRule type="cellIs" dxfId="511" priority="278" operator="equal">
      <formula>0</formula>
    </cfRule>
  </conditionalFormatting>
  <conditionalFormatting sqref="FA67">
    <cfRule type="cellIs" dxfId="510" priority="279" operator="equal">
      <formula>0</formula>
    </cfRule>
  </conditionalFormatting>
  <conditionalFormatting sqref="FA70">
    <cfRule type="cellIs" dxfId="509" priority="280" operator="equal">
      <formula>0</formula>
    </cfRule>
  </conditionalFormatting>
  <conditionalFormatting sqref="FA73">
    <cfRule type="cellIs" dxfId="508" priority="281" operator="equal">
      <formula>0</formula>
    </cfRule>
  </conditionalFormatting>
  <conditionalFormatting sqref="FA76">
    <cfRule type="cellIs" dxfId="507" priority="282" operator="equal">
      <formula>0</formula>
    </cfRule>
  </conditionalFormatting>
  <conditionalFormatting sqref="FA79">
    <cfRule type="cellIs" dxfId="506" priority="283" operator="equal">
      <formula>0</formula>
    </cfRule>
  </conditionalFormatting>
  <conditionalFormatting sqref="FA82">
    <cfRule type="cellIs" dxfId="505" priority="284" operator="equal">
      <formula>0</formula>
    </cfRule>
  </conditionalFormatting>
  <conditionalFormatting sqref="FA85">
    <cfRule type="cellIs" dxfId="504" priority="285" operator="equal">
      <formula>0</formula>
    </cfRule>
  </conditionalFormatting>
  <conditionalFormatting sqref="FA88">
    <cfRule type="cellIs" dxfId="503" priority="259" operator="equal">
      <formula>0</formula>
    </cfRule>
  </conditionalFormatting>
  <conditionalFormatting sqref="FA91">
    <cfRule type="cellIs" dxfId="502" priority="258" operator="equal">
      <formula>0</formula>
    </cfRule>
  </conditionalFormatting>
  <conditionalFormatting sqref="FA94">
    <cfRule type="cellIs" dxfId="501" priority="257" operator="equal">
      <formula>0</formula>
    </cfRule>
  </conditionalFormatting>
  <conditionalFormatting sqref="FB98">
    <cfRule type="cellIs" dxfId="500" priority="256" operator="greaterThan">
      <formula>0</formula>
    </cfRule>
    <cfRule type="cellIs" dxfId="499" priority="255" operator="lessThan">
      <formula>0</formula>
    </cfRule>
    <cfRule type="cellIs" dxfId="498" priority="254" operator="equal">
      <formula>0</formula>
    </cfRule>
  </conditionalFormatting>
  <conditionalFormatting sqref="FD6:FD95">
    <cfRule type="cellIs" dxfId="497" priority="287" operator="greaterThan">
      <formula>FD3</formula>
    </cfRule>
    <cfRule type="cellIs" dxfId="496" priority="286" operator="lessThan">
      <formula>FD3</formula>
    </cfRule>
  </conditionalFormatting>
  <conditionalFormatting sqref="FY4">
    <cfRule type="cellIs" dxfId="495" priority="252" operator="equal">
      <formula>0</formula>
    </cfRule>
  </conditionalFormatting>
  <conditionalFormatting sqref="FY7">
    <cfRule type="cellIs" dxfId="494" priority="253" operator="equal">
      <formula>0</formula>
    </cfRule>
  </conditionalFormatting>
  <conditionalFormatting sqref="FY10">
    <cfRule type="cellIs" dxfId="493" priority="224" operator="equal">
      <formula>0</formula>
    </cfRule>
  </conditionalFormatting>
  <conditionalFormatting sqref="FY13">
    <cfRule type="cellIs" dxfId="492" priority="225" operator="equal">
      <formula>0</formula>
    </cfRule>
  </conditionalFormatting>
  <conditionalFormatting sqref="FY16">
    <cfRule type="cellIs" dxfId="491" priority="226" operator="equal">
      <formula>0</formula>
    </cfRule>
  </conditionalFormatting>
  <conditionalFormatting sqref="FY19">
    <cfRule type="cellIs" dxfId="490" priority="227" operator="equal">
      <formula>0</formula>
    </cfRule>
  </conditionalFormatting>
  <conditionalFormatting sqref="FY22">
    <cfRule type="cellIs" dxfId="489" priority="228" operator="equal">
      <formula>0</formula>
    </cfRule>
  </conditionalFormatting>
  <conditionalFormatting sqref="FY25">
    <cfRule type="cellIs" dxfId="488" priority="229" operator="equal">
      <formula>0</formula>
    </cfRule>
  </conditionalFormatting>
  <conditionalFormatting sqref="FY28">
    <cfRule type="cellIs" dxfId="487" priority="230" operator="equal">
      <formula>0</formula>
    </cfRule>
  </conditionalFormatting>
  <conditionalFormatting sqref="FY31">
    <cfRule type="cellIs" dxfId="486" priority="231" operator="equal">
      <formula>0</formula>
    </cfRule>
  </conditionalFormatting>
  <conditionalFormatting sqref="FY34">
    <cfRule type="cellIs" dxfId="485" priority="232" operator="equal">
      <formula>0</formula>
    </cfRule>
  </conditionalFormatting>
  <conditionalFormatting sqref="FY37">
    <cfRule type="cellIs" dxfId="484" priority="233" operator="equal">
      <formula>0</formula>
    </cfRule>
  </conditionalFormatting>
  <conditionalFormatting sqref="FY40">
    <cfRule type="cellIs" dxfId="483" priority="234" operator="equal">
      <formula>0</formula>
    </cfRule>
  </conditionalFormatting>
  <conditionalFormatting sqref="FY43">
    <cfRule type="cellIs" dxfId="482" priority="235" operator="equal">
      <formula>0</formula>
    </cfRule>
  </conditionalFormatting>
  <conditionalFormatting sqref="FY46">
    <cfRule type="cellIs" dxfId="481" priority="236" operator="equal">
      <formula>0</formula>
    </cfRule>
  </conditionalFormatting>
  <conditionalFormatting sqref="FY49">
    <cfRule type="cellIs" dxfId="480" priority="237" operator="equal">
      <formula>0</formula>
    </cfRule>
  </conditionalFormatting>
  <conditionalFormatting sqref="FY52">
    <cfRule type="cellIs" dxfId="479" priority="238" operator="equal">
      <formula>0</formula>
    </cfRule>
  </conditionalFormatting>
  <conditionalFormatting sqref="FY55">
    <cfRule type="cellIs" dxfId="478" priority="239" operator="equal">
      <formula>0</formula>
    </cfRule>
  </conditionalFormatting>
  <conditionalFormatting sqref="FY58">
    <cfRule type="cellIs" dxfId="477" priority="240" operator="equal">
      <formula>0</formula>
    </cfRule>
  </conditionalFormatting>
  <conditionalFormatting sqref="FY61">
    <cfRule type="cellIs" dxfId="476" priority="241" operator="equal">
      <formula>0</formula>
    </cfRule>
  </conditionalFormatting>
  <conditionalFormatting sqref="FY64">
    <cfRule type="cellIs" dxfId="475" priority="242" operator="equal">
      <formula>0</formula>
    </cfRule>
  </conditionalFormatting>
  <conditionalFormatting sqref="FY67">
    <cfRule type="cellIs" dxfId="474" priority="243" operator="equal">
      <formula>0</formula>
    </cfRule>
  </conditionalFormatting>
  <conditionalFormatting sqref="FY70">
    <cfRule type="cellIs" dxfId="473" priority="244" operator="equal">
      <formula>0</formula>
    </cfRule>
  </conditionalFormatting>
  <conditionalFormatting sqref="FY73">
    <cfRule type="cellIs" dxfId="472" priority="245" operator="equal">
      <formula>0</formula>
    </cfRule>
  </conditionalFormatting>
  <conditionalFormatting sqref="FY76">
    <cfRule type="cellIs" dxfId="471" priority="246" operator="equal">
      <formula>0</formula>
    </cfRule>
  </conditionalFormatting>
  <conditionalFormatting sqref="FY79">
    <cfRule type="cellIs" dxfId="470" priority="247" operator="equal">
      <formula>0</formula>
    </cfRule>
  </conditionalFormatting>
  <conditionalFormatting sqref="FY82">
    <cfRule type="cellIs" dxfId="469" priority="248" operator="equal">
      <formula>0</formula>
    </cfRule>
  </conditionalFormatting>
  <conditionalFormatting sqref="FY85">
    <cfRule type="cellIs" dxfId="468" priority="249" operator="equal">
      <formula>0</formula>
    </cfRule>
  </conditionalFormatting>
  <conditionalFormatting sqref="FY88">
    <cfRule type="cellIs" dxfId="467" priority="223" operator="equal">
      <formula>0</formula>
    </cfRule>
  </conditionalFormatting>
  <conditionalFormatting sqref="FY91">
    <cfRule type="cellIs" dxfId="466" priority="222" operator="equal">
      <formula>0</formula>
    </cfRule>
  </conditionalFormatting>
  <conditionalFormatting sqref="FY94">
    <cfRule type="cellIs" dxfId="465" priority="221" operator="equal">
      <formula>0</formula>
    </cfRule>
  </conditionalFormatting>
  <conditionalFormatting sqref="FZ98">
    <cfRule type="cellIs" dxfId="464" priority="220" operator="greaterThan">
      <formula>0</formula>
    </cfRule>
    <cfRule type="cellIs" dxfId="463" priority="219" operator="lessThan">
      <formula>0</formula>
    </cfRule>
    <cfRule type="cellIs" dxfId="462" priority="218" operator="equal">
      <formula>0</formula>
    </cfRule>
  </conditionalFormatting>
  <conditionalFormatting sqref="GB6:GB95">
    <cfRule type="cellIs" dxfId="461" priority="250" operator="lessThan">
      <formula>GB3</formula>
    </cfRule>
    <cfRule type="cellIs" dxfId="460" priority="251" operator="greaterThan">
      <formula>GB3</formula>
    </cfRule>
  </conditionalFormatting>
  <conditionalFormatting sqref="GW4">
    <cfRule type="cellIs" dxfId="459" priority="216" operator="equal">
      <formula>0</formula>
    </cfRule>
  </conditionalFormatting>
  <conditionalFormatting sqref="GW7">
    <cfRule type="cellIs" dxfId="458" priority="217" operator="equal">
      <formula>0</formula>
    </cfRule>
  </conditionalFormatting>
  <conditionalFormatting sqref="GW10">
    <cfRule type="cellIs" dxfId="457" priority="188" operator="equal">
      <formula>0</formula>
    </cfRule>
  </conditionalFormatting>
  <conditionalFormatting sqref="GW13">
    <cfRule type="cellIs" dxfId="456" priority="189" operator="equal">
      <formula>0</formula>
    </cfRule>
  </conditionalFormatting>
  <conditionalFormatting sqref="GW16">
    <cfRule type="cellIs" dxfId="455" priority="190" operator="equal">
      <formula>0</formula>
    </cfRule>
  </conditionalFormatting>
  <conditionalFormatting sqref="GW19">
    <cfRule type="cellIs" dxfId="454" priority="191" operator="equal">
      <formula>0</formula>
    </cfRule>
  </conditionalFormatting>
  <conditionalFormatting sqref="GW22">
    <cfRule type="cellIs" dxfId="453" priority="192" operator="equal">
      <formula>0</formula>
    </cfRule>
  </conditionalFormatting>
  <conditionalFormatting sqref="GW25">
    <cfRule type="cellIs" dxfId="452" priority="193" operator="equal">
      <formula>0</formula>
    </cfRule>
  </conditionalFormatting>
  <conditionalFormatting sqref="GW28">
    <cfRule type="cellIs" dxfId="451" priority="194" operator="equal">
      <formula>0</formula>
    </cfRule>
  </conditionalFormatting>
  <conditionalFormatting sqref="GW31">
    <cfRule type="cellIs" dxfId="450" priority="195" operator="equal">
      <formula>0</formula>
    </cfRule>
  </conditionalFormatting>
  <conditionalFormatting sqref="GW34">
    <cfRule type="cellIs" dxfId="449" priority="196" operator="equal">
      <formula>0</formula>
    </cfRule>
  </conditionalFormatting>
  <conditionalFormatting sqref="GW37">
    <cfRule type="cellIs" dxfId="448" priority="197" operator="equal">
      <formula>0</formula>
    </cfRule>
  </conditionalFormatting>
  <conditionalFormatting sqref="GW40">
    <cfRule type="cellIs" dxfId="447" priority="198" operator="equal">
      <formula>0</formula>
    </cfRule>
  </conditionalFormatting>
  <conditionalFormatting sqref="GW43">
    <cfRule type="cellIs" dxfId="446" priority="199" operator="equal">
      <formula>0</formula>
    </cfRule>
  </conditionalFormatting>
  <conditionalFormatting sqref="GW46">
    <cfRule type="cellIs" dxfId="445" priority="200" operator="equal">
      <formula>0</formula>
    </cfRule>
  </conditionalFormatting>
  <conditionalFormatting sqref="GW49">
    <cfRule type="cellIs" dxfId="444" priority="201" operator="equal">
      <formula>0</formula>
    </cfRule>
  </conditionalFormatting>
  <conditionalFormatting sqref="GW52">
    <cfRule type="cellIs" dxfId="443" priority="202" operator="equal">
      <formula>0</formula>
    </cfRule>
  </conditionalFormatting>
  <conditionalFormatting sqref="GW55">
    <cfRule type="cellIs" dxfId="442" priority="203" operator="equal">
      <formula>0</formula>
    </cfRule>
  </conditionalFormatting>
  <conditionalFormatting sqref="GW58">
    <cfRule type="cellIs" dxfId="441" priority="204" operator="equal">
      <formula>0</formula>
    </cfRule>
  </conditionalFormatting>
  <conditionalFormatting sqref="GW61">
    <cfRule type="cellIs" dxfId="440" priority="205" operator="equal">
      <formula>0</formula>
    </cfRule>
  </conditionalFormatting>
  <conditionalFormatting sqref="GW64">
    <cfRule type="cellIs" dxfId="439" priority="206" operator="equal">
      <formula>0</formula>
    </cfRule>
  </conditionalFormatting>
  <conditionalFormatting sqref="GW67">
    <cfRule type="cellIs" dxfId="438" priority="207" operator="equal">
      <formula>0</formula>
    </cfRule>
  </conditionalFormatting>
  <conditionalFormatting sqref="GW70">
    <cfRule type="cellIs" dxfId="437" priority="208" operator="equal">
      <formula>0</formula>
    </cfRule>
  </conditionalFormatting>
  <conditionalFormatting sqref="GW73">
    <cfRule type="cellIs" dxfId="436" priority="209" operator="equal">
      <formula>0</formula>
    </cfRule>
  </conditionalFormatting>
  <conditionalFormatting sqref="GW76">
    <cfRule type="cellIs" dxfId="435" priority="210" operator="equal">
      <formula>0</formula>
    </cfRule>
  </conditionalFormatting>
  <conditionalFormatting sqref="GW79">
    <cfRule type="cellIs" dxfId="434" priority="211" operator="equal">
      <formula>0</formula>
    </cfRule>
  </conditionalFormatting>
  <conditionalFormatting sqref="GW82">
    <cfRule type="cellIs" dxfId="433" priority="212" operator="equal">
      <formula>0</formula>
    </cfRule>
  </conditionalFormatting>
  <conditionalFormatting sqref="GW85">
    <cfRule type="cellIs" dxfId="432" priority="213" operator="equal">
      <formula>0</formula>
    </cfRule>
  </conditionalFormatting>
  <conditionalFormatting sqref="GW88">
    <cfRule type="cellIs" dxfId="431" priority="187" operator="equal">
      <formula>0</formula>
    </cfRule>
  </conditionalFormatting>
  <conditionalFormatting sqref="GW91">
    <cfRule type="cellIs" dxfId="430" priority="186" operator="equal">
      <formula>0</formula>
    </cfRule>
  </conditionalFormatting>
  <conditionalFormatting sqref="GW94">
    <cfRule type="cellIs" dxfId="429" priority="185" operator="equal">
      <formula>0</formula>
    </cfRule>
  </conditionalFormatting>
  <conditionalFormatting sqref="GX98">
    <cfRule type="cellIs" dxfId="428" priority="182" operator="equal">
      <formula>0</formula>
    </cfRule>
    <cfRule type="cellIs" dxfId="427" priority="184" operator="greaterThan">
      <formula>0</formula>
    </cfRule>
    <cfRule type="cellIs" dxfId="426" priority="183" operator="lessThan">
      <formula>0</formula>
    </cfRule>
  </conditionalFormatting>
  <conditionalFormatting sqref="GZ6:GZ95">
    <cfRule type="cellIs" dxfId="425" priority="214" operator="lessThan">
      <formula>GZ3</formula>
    </cfRule>
    <cfRule type="cellIs" dxfId="424" priority="215" operator="greaterThan">
      <formula>GZ3</formula>
    </cfRule>
  </conditionalFormatting>
  <conditionalFormatting sqref="HU4">
    <cfRule type="cellIs" dxfId="423" priority="180" operator="equal">
      <formula>0</formula>
    </cfRule>
  </conditionalFormatting>
  <conditionalFormatting sqref="HU7">
    <cfRule type="cellIs" dxfId="422" priority="181" operator="equal">
      <formula>0</formula>
    </cfRule>
  </conditionalFormatting>
  <conditionalFormatting sqref="HU10">
    <cfRule type="cellIs" dxfId="421" priority="152" operator="equal">
      <formula>0</formula>
    </cfRule>
  </conditionalFormatting>
  <conditionalFormatting sqref="HU13">
    <cfRule type="cellIs" dxfId="420" priority="153" operator="equal">
      <formula>0</formula>
    </cfRule>
  </conditionalFormatting>
  <conditionalFormatting sqref="HU16">
    <cfRule type="cellIs" dxfId="419" priority="154" operator="equal">
      <formula>0</formula>
    </cfRule>
  </conditionalFormatting>
  <conditionalFormatting sqref="HU19">
    <cfRule type="cellIs" dxfId="418" priority="155" operator="equal">
      <formula>0</formula>
    </cfRule>
  </conditionalFormatting>
  <conditionalFormatting sqref="HU22">
    <cfRule type="cellIs" dxfId="417" priority="156" operator="equal">
      <formula>0</formula>
    </cfRule>
  </conditionalFormatting>
  <conditionalFormatting sqref="HU25">
    <cfRule type="cellIs" dxfId="416" priority="157" operator="equal">
      <formula>0</formula>
    </cfRule>
  </conditionalFormatting>
  <conditionalFormatting sqref="HU28">
    <cfRule type="cellIs" dxfId="415" priority="158" operator="equal">
      <formula>0</formula>
    </cfRule>
  </conditionalFormatting>
  <conditionalFormatting sqref="HU31">
    <cfRule type="cellIs" dxfId="414" priority="159" operator="equal">
      <formula>0</formula>
    </cfRule>
  </conditionalFormatting>
  <conditionalFormatting sqref="HU34">
    <cfRule type="cellIs" dxfId="413" priority="160" operator="equal">
      <formula>0</formula>
    </cfRule>
  </conditionalFormatting>
  <conditionalFormatting sqref="HU37">
    <cfRule type="cellIs" dxfId="412" priority="161" operator="equal">
      <formula>0</formula>
    </cfRule>
  </conditionalFormatting>
  <conditionalFormatting sqref="HU40">
    <cfRule type="cellIs" dxfId="411" priority="162" operator="equal">
      <formula>0</formula>
    </cfRule>
  </conditionalFormatting>
  <conditionalFormatting sqref="HU43">
    <cfRule type="cellIs" dxfId="410" priority="163" operator="equal">
      <formula>0</formula>
    </cfRule>
  </conditionalFormatting>
  <conditionalFormatting sqref="HU46">
    <cfRule type="cellIs" dxfId="409" priority="164" operator="equal">
      <formula>0</formula>
    </cfRule>
  </conditionalFormatting>
  <conditionalFormatting sqref="HU49">
    <cfRule type="cellIs" dxfId="408" priority="165" operator="equal">
      <formula>0</formula>
    </cfRule>
  </conditionalFormatting>
  <conditionalFormatting sqref="HU52">
    <cfRule type="cellIs" dxfId="407" priority="166" operator="equal">
      <formula>0</formula>
    </cfRule>
  </conditionalFormatting>
  <conditionalFormatting sqref="HU55">
    <cfRule type="cellIs" dxfId="406" priority="167" operator="equal">
      <formula>0</formula>
    </cfRule>
  </conditionalFormatting>
  <conditionalFormatting sqref="HU58">
    <cfRule type="cellIs" dxfId="405" priority="168" operator="equal">
      <formula>0</formula>
    </cfRule>
  </conditionalFormatting>
  <conditionalFormatting sqref="HU61">
    <cfRule type="cellIs" dxfId="404" priority="169" operator="equal">
      <formula>0</formula>
    </cfRule>
  </conditionalFormatting>
  <conditionalFormatting sqref="HU64">
    <cfRule type="cellIs" dxfId="403" priority="170" operator="equal">
      <formula>0</formula>
    </cfRule>
  </conditionalFormatting>
  <conditionalFormatting sqref="HU67">
    <cfRule type="cellIs" dxfId="402" priority="171" operator="equal">
      <formula>0</formula>
    </cfRule>
  </conditionalFormatting>
  <conditionalFormatting sqref="HU70">
    <cfRule type="cellIs" dxfId="401" priority="172" operator="equal">
      <formula>0</formula>
    </cfRule>
  </conditionalFormatting>
  <conditionalFormatting sqref="HU73">
    <cfRule type="cellIs" dxfId="400" priority="173" operator="equal">
      <formula>0</formula>
    </cfRule>
  </conditionalFormatting>
  <conditionalFormatting sqref="HU76">
    <cfRule type="cellIs" dxfId="399" priority="174" operator="equal">
      <formula>0</formula>
    </cfRule>
  </conditionalFormatting>
  <conditionalFormatting sqref="HU79">
    <cfRule type="cellIs" dxfId="398" priority="175" operator="equal">
      <formula>0</formula>
    </cfRule>
  </conditionalFormatting>
  <conditionalFormatting sqref="HU82">
    <cfRule type="cellIs" dxfId="397" priority="176" operator="equal">
      <formula>0</formula>
    </cfRule>
  </conditionalFormatting>
  <conditionalFormatting sqref="HU85">
    <cfRule type="cellIs" dxfId="396" priority="177" operator="equal">
      <formula>0</formula>
    </cfRule>
  </conditionalFormatting>
  <conditionalFormatting sqref="HU88">
    <cfRule type="cellIs" dxfId="395" priority="151" operator="equal">
      <formula>0</formula>
    </cfRule>
  </conditionalFormatting>
  <conditionalFormatting sqref="HU91">
    <cfRule type="cellIs" dxfId="394" priority="150" operator="equal">
      <formula>0</formula>
    </cfRule>
  </conditionalFormatting>
  <conditionalFormatting sqref="HU94">
    <cfRule type="cellIs" dxfId="393" priority="149" operator="equal">
      <formula>0</formula>
    </cfRule>
  </conditionalFormatting>
  <conditionalFormatting sqref="HV98">
    <cfRule type="cellIs" dxfId="392" priority="146" operator="equal">
      <formula>0</formula>
    </cfRule>
    <cfRule type="cellIs" dxfId="391" priority="148" operator="greaterThan">
      <formula>0</formula>
    </cfRule>
    <cfRule type="cellIs" dxfId="390" priority="147" operator="lessThan">
      <formula>0</formula>
    </cfRule>
  </conditionalFormatting>
  <conditionalFormatting sqref="HX6:HX95">
    <cfRule type="cellIs" dxfId="389" priority="178" operator="lessThan">
      <formula>HX3</formula>
    </cfRule>
    <cfRule type="cellIs" dxfId="388" priority="179" operator="greaterThan">
      <formula>HX3</formula>
    </cfRule>
  </conditionalFormatting>
  <conditionalFormatting sqref="IS4">
    <cfRule type="cellIs" dxfId="387" priority="144" operator="equal">
      <formula>0</formula>
    </cfRule>
  </conditionalFormatting>
  <conditionalFormatting sqref="IS7">
    <cfRule type="cellIs" dxfId="386" priority="145" operator="equal">
      <formula>0</formula>
    </cfRule>
  </conditionalFormatting>
  <conditionalFormatting sqref="IS10">
    <cfRule type="cellIs" dxfId="385" priority="116" operator="equal">
      <formula>0</formula>
    </cfRule>
  </conditionalFormatting>
  <conditionalFormatting sqref="IS13">
    <cfRule type="cellIs" dxfId="384" priority="117" operator="equal">
      <formula>0</formula>
    </cfRule>
  </conditionalFormatting>
  <conditionalFormatting sqref="IS16">
    <cfRule type="cellIs" dxfId="383" priority="118" operator="equal">
      <formula>0</formula>
    </cfRule>
  </conditionalFormatting>
  <conditionalFormatting sqref="IS19">
    <cfRule type="cellIs" dxfId="382" priority="119" operator="equal">
      <formula>0</formula>
    </cfRule>
  </conditionalFormatting>
  <conditionalFormatting sqref="IS22">
    <cfRule type="cellIs" dxfId="381" priority="120" operator="equal">
      <formula>0</formula>
    </cfRule>
  </conditionalFormatting>
  <conditionalFormatting sqref="IS25">
    <cfRule type="cellIs" dxfId="380" priority="121" operator="equal">
      <formula>0</formula>
    </cfRule>
  </conditionalFormatting>
  <conditionalFormatting sqref="IS28">
    <cfRule type="cellIs" dxfId="379" priority="122" operator="equal">
      <formula>0</formula>
    </cfRule>
  </conditionalFormatting>
  <conditionalFormatting sqref="IS31">
    <cfRule type="cellIs" dxfId="378" priority="123" operator="equal">
      <formula>0</formula>
    </cfRule>
  </conditionalFormatting>
  <conditionalFormatting sqref="IS34">
    <cfRule type="cellIs" dxfId="377" priority="124" operator="equal">
      <formula>0</formula>
    </cfRule>
  </conditionalFormatting>
  <conditionalFormatting sqref="IS37">
    <cfRule type="cellIs" dxfId="376" priority="125" operator="equal">
      <formula>0</formula>
    </cfRule>
  </conditionalFormatting>
  <conditionalFormatting sqref="IS40">
    <cfRule type="cellIs" dxfId="375" priority="126" operator="equal">
      <formula>0</formula>
    </cfRule>
  </conditionalFormatting>
  <conditionalFormatting sqref="IS43">
    <cfRule type="cellIs" dxfId="374" priority="127" operator="equal">
      <formula>0</formula>
    </cfRule>
  </conditionalFormatting>
  <conditionalFormatting sqref="IS46">
    <cfRule type="cellIs" dxfId="373" priority="128" operator="equal">
      <formula>0</formula>
    </cfRule>
  </conditionalFormatting>
  <conditionalFormatting sqref="IS49">
    <cfRule type="cellIs" dxfId="372" priority="129" operator="equal">
      <formula>0</formula>
    </cfRule>
  </conditionalFormatting>
  <conditionalFormatting sqref="IS52">
    <cfRule type="cellIs" dxfId="371" priority="130" operator="equal">
      <formula>0</formula>
    </cfRule>
  </conditionalFormatting>
  <conditionalFormatting sqref="IS55">
    <cfRule type="cellIs" dxfId="370" priority="131" operator="equal">
      <formula>0</formula>
    </cfRule>
  </conditionalFormatting>
  <conditionalFormatting sqref="IS58">
    <cfRule type="cellIs" dxfId="369" priority="132" operator="equal">
      <formula>0</formula>
    </cfRule>
  </conditionalFormatting>
  <conditionalFormatting sqref="IS61">
    <cfRule type="cellIs" dxfId="368" priority="133" operator="equal">
      <formula>0</formula>
    </cfRule>
  </conditionalFormatting>
  <conditionalFormatting sqref="IS64">
    <cfRule type="cellIs" dxfId="367" priority="134" operator="equal">
      <formula>0</formula>
    </cfRule>
  </conditionalFormatting>
  <conditionalFormatting sqref="IS67">
    <cfRule type="cellIs" dxfId="366" priority="135" operator="equal">
      <formula>0</formula>
    </cfRule>
  </conditionalFormatting>
  <conditionalFormatting sqref="IS70">
    <cfRule type="cellIs" dxfId="365" priority="136" operator="equal">
      <formula>0</formula>
    </cfRule>
  </conditionalFormatting>
  <conditionalFormatting sqref="IS73">
    <cfRule type="cellIs" dxfId="364" priority="137" operator="equal">
      <formula>0</formula>
    </cfRule>
  </conditionalFormatting>
  <conditionalFormatting sqref="IS76">
    <cfRule type="cellIs" dxfId="363" priority="138" operator="equal">
      <formula>0</formula>
    </cfRule>
  </conditionalFormatting>
  <conditionalFormatting sqref="IS79">
    <cfRule type="cellIs" dxfId="362" priority="139" operator="equal">
      <formula>0</formula>
    </cfRule>
  </conditionalFormatting>
  <conditionalFormatting sqref="IS82">
    <cfRule type="cellIs" dxfId="361" priority="140" operator="equal">
      <formula>0</formula>
    </cfRule>
  </conditionalFormatting>
  <conditionalFormatting sqref="IS85">
    <cfRule type="cellIs" dxfId="360" priority="141" operator="equal">
      <formula>0</formula>
    </cfRule>
  </conditionalFormatting>
  <conditionalFormatting sqref="IS88">
    <cfRule type="cellIs" dxfId="359" priority="115" operator="equal">
      <formula>0</formula>
    </cfRule>
  </conditionalFormatting>
  <conditionalFormatting sqref="IS91">
    <cfRule type="cellIs" dxfId="358" priority="114" operator="equal">
      <formula>0</formula>
    </cfRule>
  </conditionalFormatting>
  <conditionalFormatting sqref="IS94">
    <cfRule type="cellIs" dxfId="357" priority="113" operator="equal">
      <formula>0</formula>
    </cfRule>
  </conditionalFormatting>
  <conditionalFormatting sqref="IT98">
    <cfRule type="cellIs" dxfId="356" priority="112" operator="greaterThan">
      <formula>0</formula>
    </cfRule>
    <cfRule type="cellIs" dxfId="355" priority="110" operator="equal">
      <formula>0</formula>
    </cfRule>
    <cfRule type="cellIs" dxfId="354" priority="111" operator="lessThan">
      <formula>0</formula>
    </cfRule>
  </conditionalFormatting>
  <conditionalFormatting sqref="IV6:IV95">
    <cfRule type="cellIs" dxfId="353" priority="142" operator="lessThan">
      <formula>IV3</formula>
    </cfRule>
    <cfRule type="cellIs" dxfId="352" priority="143" operator="greaterThan">
      <formula>IV3</formula>
    </cfRule>
  </conditionalFormatting>
  <conditionalFormatting sqref="JQ4">
    <cfRule type="cellIs" dxfId="351" priority="108" operator="equal">
      <formula>0</formula>
    </cfRule>
  </conditionalFormatting>
  <conditionalFormatting sqref="JQ7">
    <cfRule type="cellIs" dxfId="350" priority="109" operator="equal">
      <formula>0</formula>
    </cfRule>
  </conditionalFormatting>
  <conditionalFormatting sqref="JQ10">
    <cfRule type="cellIs" dxfId="349" priority="80" operator="equal">
      <formula>0</formula>
    </cfRule>
  </conditionalFormatting>
  <conditionalFormatting sqref="JQ13">
    <cfRule type="cellIs" dxfId="348" priority="81" operator="equal">
      <formula>0</formula>
    </cfRule>
  </conditionalFormatting>
  <conditionalFormatting sqref="JQ16">
    <cfRule type="cellIs" dxfId="347" priority="82" operator="equal">
      <formula>0</formula>
    </cfRule>
  </conditionalFormatting>
  <conditionalFormatting sqref="JQ19">
    <cfRule type="cellIs" dxfId="346" priority="83" operator="equal">
      <formula>0</formula>
    </cfRule>
  </conditionalFormatting>
  <conditionalFormatting sqref="JQ22">
    <cfRule type="cellIs" dxfId="345" priority="84" operator="equal">
      <formula>0</formula>
    </cfRule>
  </conditionalFormatting>
  <conditionalFormatting sqref="JQ25">
    <cfRule type="cellIs" dxfId="344" priority="85" operator="equal">
      <formula>0</formula>
    </cfRule>
  </conditionalFormatting>
  <conditionalFormatting sqref="JQ28">
    <cfRule type="cellIs" dxfId="343" priority="86" operator="equal">
      <formula>0</formula>
    </cfRule>
  </conditionalFormatting>
  <conditionalFormatting sqref="JQ31">
    <cfRule type="cellIs" dxfId="342" priority="87" operator="equal">
      <formula>0</formula>
    </cfRule>
  </conditionalFormatting>
  <conditionalFormatting sqref="JQ34">
    <cfRule type="cellIs" dxfId="341" priority="88" operator="equal">
      <formula>0</formula>
    </cfRule>
  </conditionalFormatting>
  <conditionalFormatting sqref="JQ37">
    <cfRule type="cellIs" dxfId="340" priority="89" operator="equal">
      <formula>0</formula>
    </cfRule>
  </conditionalFormatting>
  <conditionalFormatting sqref="JQ40">
    <cfRule type="cellIs" dxfId="339" priority="90" operator="equal">
      <formula>0</formula>
    </cfRule>
  </conditionalFormatting>
  <conditionalFormatting sqref="JQ43">
    <cfRule type="cellIs" dxfId="338" priority="91" operator="equal">
      <formula>0</formula>
    </cfRule>
  </conditionalFormatting>
  <conditionalFormatting sqref="JQ46">
    <cfRule type="cellIs" dxfId="337" priority="92" operator="equal">
      <formula>0</formula>
    </cfRule>
  </conditionalFormatting>
  <conditionalFormatting sqref="JQ49">
    <cfRule type="cellIs" dxfId="336" priority="93" operator="equal">
      <formula>0</formula>
    </cfRule>
  </conditionalFormatting>
  <conditionalFormatting sqref="JQ52">
    <cfRule type="cellIs" dxfId="335" priority="94" operator="equal">
      <formula>0</formula>
    </cfRule>
  </conditionalFormatting>
  <conditionalFormatting sqref="JQ55">
    <cfRule type="cellIs" dxfId="334" priority="95" operator="equal">
      <formula>0</formula>
    </cfRule>
  </conditionalFormatting>
  <conditionalFormatting sqref="JQ58">
    <cfRule type="cellIs" dxfId="333" priority="96" operator="equal">
      <formula>0</formula>
    </cfRule>
  </conditionalFormatting>
  <conditionalFormatting sqref="JQ61">
    <cfRule type="cellIs" dxfId="332" priority="97" operator="equal">
      <formula>0</formula>
    </cfRule>
  </conditionalFormatting>
  <conditionalFormatting sqref="JQ64">
    <cfRule type="cellIs" dxfId="331" priority="98" operator="equal">
      <formula>0</formula>
    </cfRule>
  </conditionalFormatting>
  <conditionalFormatting sqref="JQ67">
    <cfRule type="cellIs" dxfId="330" priority="99" operator="equal">
      <formula>0</formula>
    </cfRule>
  </conditionalFormatting>
  <conditionalFormatting sqref="JQ70">
    <cfRule type="cellIs" dxfId="329" priority="100" operator="equal">
      <formula>0</formula>
    </cfRule>
  </conditionalFormatting>
  <conditionalFormatting sqref="JQ73">
    <cfRule type="cellIs" dxfId="328" priority="101" operator="equal">
      <formula>0</formula>
    </cfRule>
  </conditionalFormatting>
  <conditionalFormatting sqref="JQ76">
    <cfRule type="cellIs" dxfId="327" priority="102" operator="equal">
      <formula>0</formula>
    </cfRule>
  </conditionalFormatting>
  <conditionalFormatting sqref="JQ79">
    <cfRule type="cellIs" dxfId="326" priority="103" operator="equal">
      <formula>0</formula>
    </cfRule>
  </conditionalFormatting>
  <conditionalFormatting sqref="JQ82">
    <cfRule type="cellIs" dxfId="325" priority="104" operator="equal">
      <formula>0</formula>
    </cfRule>
  </conditionalFormatting>
  <conditionalFormatting sqref="JQ85">
    <cfRule type="cellIs" dxfId="324" priority="105" operator="equal">
      <formula>0</formula>
    </cfRule>
  </conditionalFormatting>
  <conditionalFormatting sqref="JQ88">
    <cfRule type="cellIs" dxfId="323" priority="79" operator="equal">
      <formula>0</formula>
    </cfRule>
  </conditionalFormatting>
  <conditionalFormatting sqref="JQ91">
    <cfRule type="cellIs" dxfId="322" priority="78" operator="equal">
      <formula>0</formula>
    </cfRule>
  </conditionalFormatting>
  <conditionalFormatting sqref="JQ94">
    <cfRule type="cellIs" dxfId="321" priority="77" operator="equal">
      <formula>0</formula>
    </cfRule>
  </conditionalFormatting>
  <conditionalFormatting sqref="JR98">
    <cfRule type="cellIs" dxfId="320" priority="75" operator="lessThan">
      <formula>0</formula>
    </cfRule>
    <cfRule type="cellIs" dxfId="319" priority="74" operator="equal">
      <formula>0</formula>
    </cfRule>
    <cfRule type="cellIs" dxfId="318" priority="76" operator="greaterThan">
      <formula>0</formula>
    </cfRule>
  </conditionalFormatting>
  <conditionalFormatting sqref="JT6:JT95">
    <cfRule type="cellIs" dxfId="317" priority="107" operator="greaterThan">
      <formula>JT3</formula>
    </cfRule>
    <cfRule type="cellIs" dxfId="316" priority="106" operator="lessThan">
      <formula>JT3</formula>
    </cfRule>
  </conditionalFormatting>
  <conditionalFormatting sqref="KO4">
    <cfRule type="cellIs" dxfId="315" priority="72" operator="equal">
      <formula>0</formula>
    </cfRule>
  </conditionalFormatting>
  <conditionalFormatting sqref="KO7">
    <cfRule type="cellIs" dxfId="314" priority="73" operator="equal">
      <formula>0</formula>
    </cfRule>
  </conditionalFormatting>
  <conditionalFormatting sqref="KO10">
    <cfRule type="cellIs" dxfId="313" priority="44" operator="equal">
      <formula>0</formula>
    </cfRule>
  </conditionalFormatting>
  <conditionalFormatting sqref="KO13">
    <cfRule type="cellIs" dxfId="312" priority="45" operator="equal">
      <formula>0</formula>
    </cfRule>
  </conditionalFormatting>
  <conditionalFormatting sqref="KO16">
    <cfRule type="cellIs" dxfId="311" priority="46" operator="equal">
      <formula>0</formula>
    </cfRule>
  </conditionalFormatting>
  <conditionalFormatting sqref="KO19">
    <cfRule type="cellIs" dxfId="310" priority="47" operator="equal">
      <formula>0</formula>
    </cfRule>
  </conditionalFormatting>
  <conditionalFormatting sqref="KO22">
    <cfRule type="cellIs" dxfId="309" priority="48" operator="equal">
      <formula>0</formula>
    </cfRule>
  </conditionalFormatting>
  <conditionalFormatting sqref="KO25">
    <cfRule type="cellIs" dxfId="308" priority="49" operator="equal">
      <formula>0</formula>
    </cfRule>
  </conditionalFormatting>
  <conditionalFormatting sqref="KO28">
    <cfRule type="cellIs" dxfId="307" priority="50" operator="equal">
      <formula>0</formula>
    </cfRule>
  </conditionalFormatting>
  <conditionalFormatting sqref="KO31">
    <cfRule type="cellIs" dxfId="306" priority="51" operator="equal">
      <formula>0</formula>
    </cfRule>
  </conditionalFormatting>
  <conditionalFormatting sqref="KO34">
    <cfRule type="cellIs" dxfId="305" priority="52" operator="equal">
      <formula>0</formula>
    </cfRule>
  </conditionalFormatting>
  <conditionalFormatting sqref="KO37">
    <cfRule type="cellIs" dxfId="304" priority="53" operator="equal">
      <formula>0</formula>
    </cfRule>
  </conditionalFormatting>
  <conditionalFormatting sqref="KO40">
    <cfRule type="cellIs" dxfId="303" priority="54" operator="equal">
      <formula>0</formula>
    </cfRule>
  </conditionalFormatting>
  <conditionalFormatting sqref="KO43">
    <cfRule type="cellIs" dxfId="302" priority="55" operator="equal">
      <formula>0</formula>
    </cfRule>
  </conditionalFormatting>
  <conditionalFormatting sqref="KO46">
    <cfRule type="cellIs" dxfId="301" priority="56" operator="equal">
      <formula>0</formula>
    </cfRule>
  </conditionalFormatting>
  <conditionalFormatting sqref="KO49">
    <cfRule type="cellIs" dxfId="300" priority="57" operator="equal">
      <formula>0</formula>
    </cfRule>
  </conditionalFormatting>
  <conditionalFormatting sqref="KO52">
    <cfRule type="cellIs" dxfId="299" priority="58" operator="equal">
      <formula>0</formula>
    </cfRule>
  </conditionalFormatting>
  <conditionalFormatting sqref="KO55">
    <cfRule type="cellIs" dxfId="298" priority="59" operator="equal">
      <formula>0</formula>
    </cfRule>
  </conditionalFormatting>
  <conditionalFormatting sqref="KO58">
    <cfRule type="cellIs" dxfId="297" priority="60" operator="equal">
      <formula>0</formula>
    </cfRule>
  </conditionalFormatting>
  <conditionalFormatting sqref="KO61">
    <cfRule type="cellIs" dxfId="296" priority="61" operator="equal">
      <formula>0</formula>
    </cfRule>
  </conditionalFormatting>
  <conditionalFormatting sqref="KO64">
    <cfRule type="cellIs" dxfId="295" priority="62" operator="equal">
      <formula>0</formula>
    </cfRule>
  </conditionalFormatting>
  <conditionalFormatting sqref="KO67">
    <cfRule type="cellIs" dxfId="294" priority="63" operator="equal">
      <formula>0</formula>
    </cfRule>
  </conditionalFormatting>
  <conditionalFormatting sqref="KO70">
    <cfRule type="cellIs" dxfId="293" priority="64" operator="equal">
      <formula>0</formula>
    </cfRule>
  </conditionalFormatting>
  <conditionalFormatting sqref="KO73">
    <cfRule type="cellIs" dxfId="292" priority="65" operator="equal">
      <formula>0</formula>
    </cfRule>
  </conditionalFormatting>
  <conditionalFormatting sqref="KO76">
    <cfRule type="cellIs" dxfId="291" priority="66" operator="equal">
      <formula>0</formula>
    </cfRule>
  </conditionalFormatting>
  <conditionalFormatting sqref="KO79">
    <cfRule type="cellIs" dxfId="290" priority="67" operator="equal">
      <formula>0</formula>
    </cfRule>
  </conditionalFormatting>
  <conditionalFormatting sqref="KO82">
    <cfRule type="cellIs" dxfId="289" priority="68" operator="equal">
      <formula>0</formula>
    </cfRule>
  </conditionalFormatting>
  <conditionalFormatting sqref="KO85">
    <cfRule type="cellIs" dxfId="288" priority="69" operator="equal">
      <formula>0</formula>
    </cfRule>
  </conditionalFormatting>
  <conditionalFormatting sqref="KO88">
    <cfRule type="cellIs" dxfId="287" priority="43" operator="equal">
      <formula>0</formula>
    </cfRule>
  </conditionalFormatting>
  <conditionalFormatting sqref="KO91">
    <cfRule type="cellIs" dxfId="286" priority="42" operator="equal">
      <formula>0</formula>
    </cfRule>
  </conditionalFormatting>
  <conditionalFormatting sqref="KO94">
    <cfRule type="cellIs" dxfId="285" priority="41" operator="equal">
      <formula>0</formula>
    </cfRule>
  </conditionalFormatting>
  <conditionalFormatting sqref="KP98">
    <cfRule type="cellIs" dxfId="284" priority="40" operator="greaterThan">
      <formula>0</formula>
    </cfRule>
    <cfRule type="cellIs" dxfId="283" priority="39" operator="lessThan">
      <formula>0</formula>
    </cfRule>
    <cfRule type="cellIs" dxfId="282" priority="38" operator="equal">
      <formula>0</formula>
    </cfRule>
  </conditionalFormatting>
  <conditionalFormatting sqref="KR6:KR95">
    <cfRule type="cellIs" dxfId="281" priority="71" operator="greaterThan">
      <formula>KR3</formula>
    </cfRule>
    <cfRule type="cellIs" dxfId="280" priority="70" operator="lessThan">
      <formula>KR3</formula>
    </cfRule>
  </conditionalFormatting>
  <conditionalFormatting sqref="LM4">
    <cfRule type="cellIs" dxfId="279" priority="36" operator="equal">
      <formula>0</formula>
    </cfRule>
  </conditionalFormatting>
  <conditionalFormatting sqref="LM7">
    <cfRule type="cellIs" dxfId="278" priority="37" operator="equal">
      <formula>0</formula>
    </cfRule>
  </conditionalFormatting>
  <conditionalFormatting sqref="LM10">
    <cfRule type="cellIs" dxfId="277" priority="8" operator="equal">
      <formula>0</formula>
    </cfRule>
  </conditionalFormatting>
  <conditionalFormatting sqref="LM13">
    <cfRule type="cellIs" dxfId="276" priority="9" operator="equal">
      <formula>0</formula>
    </cfRule>
  </conditionalFormatting>
  <conditionalFormatting sqref="LM16">
    <cfRule type="cellIs" dxfId="275" priority="10" operator="equal">
      <formula>0</formula>
    </cfRule>
  </conditionalFormatting>
  <conditionalFormatting sqref="LM19">
    <cfRule type="cellIs" dxfId="274" priority="11" operator="equal">
      <formula>0</formula>
    </cfRule>
  </conditionalFormatting>
  <conditionalFormatting sqref="LM22">
    <cfRule type="cellIs" dxfId="273" priority="12" operator="equal">
      <formula>0</formula>
    </cfRule>
  </conditionalFormatting>
  <conditionalFormatting sqref="LM25">
    <cfRule type="cellIs" dxfId="272" priority="13" operator="equal">
      <formula>0</formula>
    </cfRule>
  </conditionalFormatting>
  <conditionalFormatting sqref="LM28">
    <cfRule type="cellIs" dxfId="271" priority="14" operator="equal">
      <formula>0</formula>
    </cfRule>
  </conditionalFormatting>
  <conditionalFormatting sqref="LM31">
    <cfRule type="cellIs" dxfId="270" priority="15" operator="equal">
      <formula>0</formula>
    </cfRule>
  </conditionalFormatting>
  <conditionalFormatting sqref="LM34">
    <cfRule type="cellIs" dxfId="269" priority="16" operator="equal">
      <formula>0</formula>
    </cfRule>
  </conditionalFormatting>
  <conditionalFormatting sqref="LM37">
    <cfRule type="cellIs" dxfId="268" priority="17" operator="equal">
      <formula>0</formula>
    </cfRule>
  </conditionalFormatting>
  <conditionalFormatting sqref="LM40">
    <cfRule type="cellIs" dxfId="267" priority="18" operator="equal">
      <formula>0</formula>
    </cfRule>
  </conditionalFormatting>
  <conditionalFormatting sqref="LM43">
    <cfRule type="cellIs" dxfId="266" priority="19" operator="equal">
      <formula>0</formula>
    </cfRule>
  </conditionalFormatting>
  <conditionalFormatting sqref="LM46">
    <cfRule type="cellIs" dxfId="265" priority="20" operator="equal">
      <formula>0</formula>
    </cfRule>
  </conditionalFormatting>
  <conditionalFormatting sqref="LM49">
    <cfRule type="cellIs" dxfId="264" priority="21" operator="equal">
      <formula>0</formula>
    </cfRule>
  </conditionalFormatting>
  <conditionalFormatting sqref="LM52">
    <cfRule type="cellIs" dxfId="263" priority="22" operator="equal">
      <formula>0</formula>
    </cfRule>
  </conditionalFormatting>
  <conditionalFormatting sqref="LM55">
    <cfRule type="cellIs" dxfId="262" priority="23" operator="equal">
      <formula>0</formula>
    </cfRule>
  </conditionalFormatting>
  <conditionalFormatting sqref="LM58">
    <cfRule type="cellIs" dxfId="261" priority="24" operator="equal">
      <formula>0</formula>
    </cfRule>
  </conditionalFormatting>
  <conditionalFormatting sqref="LM61">
    <cfRule type="cellIs" dxfId="260" priority="25" operator="equal">
      <formula>0</formula>
    </cfRule>
  </conditionalFormatting>
  <conditionalFormatting sqref="LM64">
    <cfRule type="cellIs" dxfId="259" priority="26" operator="equal">
      <formula>0</formula>
    </cfRule>
  </conditionalFormatting>
  <conditionalFormatting sqref="LM67">
    <cfRule type="cellIs" dxfId="258" priority="27" operator="equal">
      <formula>0</formula>
    </cfRule>
  </conditionalFormatting>
  <conditionalFormatting sqref="LM70">
    <cfRule type="cellIs" dxfId="257" priority="28" operator="equal">
      <formula>0</formula>
    </cfRule>
  </conditionalFormatting>
  <conditionalFormatting sqref="LM73">
    <cfRule type="cellIs" dxfId="256" priority="29" operator="equal">
      <formula>0</formula>
    </cfRule>
  </conditionalFormatting>
  <conditionalFormatting sqref="LM76">
    <cfRule type="cellIs" dxfId="255" priority="30" operator="equal">
      <formula>0</formula>
    </cfRule>
  </conditionalFormatting>
  <conditionalFormatting sqref="LM79">
    <cfRule type="cellIs" dxfId="254" priority="31" operator="equal">
      <formula>0</formula>
    </cfRule>
  </conditionalFormatting>
  <conditionalFormatting sqref="LM82">
    <cfRule type="cellIs" dxfId="253" priority="32" operator="equal">
      <formula>0</formula>
    </cfRule>
  </conditionalFormatting>
  <conditionalFormatting sqref="LM85">
    <cfRule type="cellIs" dxfId="252" priority="33" operator="equal">
      <formula>0</formula>
    </cfRule>
  </conditionalFormatting>
  <conditionalFormatting sqref="LM88">
    <cfRule type="cellIs" dxfId="251" priority="7" operator="equal">
      <formula>0</formula>
    </cfRule>
  </conditionalFormatting>
  <conditionalFormatting sqref="LM91">
    <cfRule type="cellIs" dxfId="250" priority="6" operator="equal">
      <formula>0</formula>
    </cfRule>
  </conditionalFormatting>
  <conditionalFormatting sqref="LM94">
    <cfRule type="cellIs" dxfId="249" priority="5" operator="equal">
      <formula>0</formula>
    </cfRule>
  </conditionalFormatting>
  <conditionalFormatting sqref="LN98">
    <cfRule type="cellIs" dxfId="248" priority="4" operator="greaterThan">
      <formula>0</formula>
    </cfRule>
    <cfRule type="cellIs" dxfId="247" priority="3" operator="lessThan">
      <formula>0</formula>
    </cfRule>
    <cfRule type="cellIs" dxfId="246" priority="2" operator="equal">
      <formula>0</formula>
    </cfRule>
  </conditionalFormatting>
  <conditionalFormatting sqref="LP6:LP95">
    <cfRule type="cellIs" dxfId="245" priority="35" operator="greaterThan">
      <formula>LP3</formula>
    </cfRule>
    <cfRule type="cellIs" dxfId="244" priority="34" operator="lessThan">
      <formula>LP3</formula>
    </cfRule>
  </conditionalFormatting>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2A46B-E692-4136-BB59-BEC5A9D8F4CC}">
  <sheetPr>
    <tabColor rgb="FF92D050"/>
  </sheetPr>
  <dimension ref="A1:AO1951"/>
  <sheetViews>
    <sheetView topLeftCell="I1" zoomScale="70" zoomScaleNormal="70" workbookViewId="0">
      <pane ySplit="4" topLeftCell="A1921" activePane="bottomLeft" state="frozen"/>
      <selection activeCell="BM67" sqref="BM67"/>
      <selection pane="bottomLeft" activeCell="AF1941" sqref="AF1941"/>
    </sheetView>
  </sheetViews>
  <sheetFormatPr defaultColWidth="9.140625" defaultRowHeight="15.75"/>
  <cols>
    <col min="1" max="1" width="20.5703125" style="134" customWidth="1"/>
    <col min="2" max="2" width="20.5703125" style="134" bestFit="1" customWidth="1"/>
    <col min="3" max="3" width="7.140625" style="134" bestFit="1" customWidth="1"/>
    <col min="4" max="4" width="7.140625" style="134" customWidth="1"/>
    <col min="5" max="5" width="45.42578125" style="170" bestFit="1" customWidth="1"/>
    <col min="6" max="6" width="10.42578125" style="171" bestFit="1" customWidth="1"/>
    <col min="7" max="7" width="13.7109375" style="172" bestFit="1" customWidth="1"/>
    <col min="8" max="8" width="15.28515625" style="170" bestFit="1" customWidth="1"/>
    <col min="9" max="9" width="10.85546875" style="170" bestFit="1" customWidth="1"/>
    <col min="10" max="10" width="7" style="170" bestFit="1" customWidth="1"/>
    <col min="11" max="11" width="9.5703125" style="170" bestFit="1" customWidth="1"/>
    <col min="12" max="12" width="8.85546875" style="170" bestFit="1" customWidth="1"/>
    <col min="13" max="15" width="8.85546875" style="170" customWidth="1"/>
    <col min="16" max="16" width="7.140625" style="134" customWidth="1"/>
    <col min="17" max="17" width="13.28515625" style="302" customWidth="1"/>
    <col min="18" max="18" width="14.85546875" style="302" bestFit="1" customWidth="1"/>
    <col min="19" max="19" width="10.85546875" style="302" bestFit="1" customWidth="1"/>
    <col min="20" max="20" width="45.42578125" style="302" bestFit="1" customWidth="1"/>
    <col min="21" max="21" width="8.85546875" style="302" bestFit="1" customWidth="1"/>
    <col min="22" max="22" width="11.5703125" style="365" bestFit="1" customWidth="1"/>
    <col min="23" max="23" width="15.42578125" style="302" bestFit="1" customWidth="1"/>
    <col min="24" max="24" width="10.85546875" style="302" bestFit="1" customWidth="1"/>
    <col min="25" max="25" width="14.28515625" style="302" customWidth="1"/>
    <col min="26" max="26" width="9.5703125" style="302" bestFit="1" customWidth="1"/>
    <col min="27" max="27" width="8.85546875" style="302" bestFit="1" customWidth="1"/>
    <col min="28" max="28" width="8.85546875" style="302" hidden="1" customWidth="1"/>
    <col min="29" max="29" width="6.85546875" style="302" bestFit="1" customWidth="1"/>
    <col min="30" max="30" width="1.85546875" style="134" customWidth="1"/>
    <col min="31" max="31" width="21" style="134" customWidth="1"/>
    <col min="32" max="32" width="22.85546875" style="134" customWidth="1"/>
    <col min="33" max="33" width="12.42578125" style="134" customWidth="1"/>
    <col min="34" max="34" width="14.28515625" style="134" customWidth="1"/>
    <col min="35" max="35" width="16.140625" style="134" customWidth="1"/>
    <col min="36" max="36" width="61" style="134" customWidth="1"/>
    <col min="37" max="16384" width="9.140625" style="134"/>
  </cols>
  <sheetData>
    <row r="1" spans="1:37" ht="22.5">
      <c r="A1" s="135" t="s">
        <v>158</v>
      </c>
      <c r="E1" s="134"/>
      <c r="F1" s="134"/>
      <c r="G1" s="134"/>
      <c r="H1" s="134"/>
      <c r="I1" s="134"/>
      <c r="J1" s="134"/>
      <c r="K1" s="134"/>
      <c r="L1" s="134"/>
      <c r="M1" s="134"/>
      <c r="N1" s="134"/>
      <c r="O1" s="134"/>
      <c r="Q1" s="134"/>
      <c r="R1" s="134"/>
      <c r="S1" s="134"/>
      <c r="T1" s="134"/>
      <c r="U1" s="134"/>
      <c r="V1" s="362"/>
      <c r="W1" s="134"/>
      <c r="X1" s="134"/>
      <c r="Y1" s="134"/>
      <c r="Z1" s="134"/>
      <c r="AA1" s="134"/>
      <c r="AB1" s="134"/>
      <c r="AC1" s="134"/>
    </row>
    <row r="2" spans="1:37" ht="22.5">
      <c r="A2" s="135"/>
      <c r="E2" s="134"/>
      <c r="F2" s="134"/>
      <c r="G2" s="134"/>
      <c r="H2" s="134"/>
      <c r="I2" s="134"/>
      <c r="J2" s="134"/>
      <c r="K2" s="134"/>
      <c r="L2" s="134"/>
      <c r="M2" s="134"/>
      <c r="N2" s="134"/>
      <c r="O2" s="134"/>
      <c r="Q2" s="134"/>
      <c r="R2" s="134"/>
      <c r="S2" s="134"/>
      <c r="T2" s="134"/>
      <c r="U2" s="134"/>
      <c r="V2" s="362"/>
      <c r="W2" s="134"/>
      <c r="X2" s="134"/>
      <c r="Y2" s="134"/>
      <c r="Z2" s="134"/>
      <c r="AA2" s="134"/>
      <c r="AB2" s="134"/>
      <c r="AC2" s="134"/>
    </row>
    <row r="3" spans="1:37" ht="19.5">
      <c r="A3" s="136" t="s">
        <v>159</v>
      </c>
      <c r="E3" s="136" t="s">
        <v>160</v>
      </c>
      <c r="F3" s="137"/>
      <c r="G3" s="137"/>
      <c r="H3" s="137"/>
      <c r="I3" s="137"/>
      <c r="J3" s="137"/>
      <c r="K3" s="137"/>
      <c r="L3" s="137"/>
      <c r="M3" s="137"/>
      <c r="N3" s="137"/>
      <c r="O3" s="137"/>
      <c r="P3" s="137"/>
      <c r="Q3" s="136" t="s">
        <v>161</v>
      </c>
      <c r="R3" s="137"/>
      <c r="S3" s="137"/>
      <c r="T3" s="137"/>
      <c r="U3" s="137"/>
      <c r="V3" s="363"/>
      <c r="W3" s="137"/>
      <c r="X3" s="137"/>
      <c r="Y3" s="137"/>
      <c r="Z3" s="137"/>
      <c r="AA3" s="137"/>
      <c r="AB3" s="137"/>
      <c r="AC3" s="134"/>
      <c r="AE3" s="593" t="s">
        <v>927</v>
      </c>
      <c r="AF3" s="596"/>
      <c r="AK3" s="592"/>
    </row>
    <row r="4" spans="1:37" ht="22.5">
      <c r="A4" s="138" t="s">
        <v>162</v>
      </c>
      <c r="B4" s="139"/>
      <c r="C4" s="140"/>
      <c r="E4" s="141" t="s">
        <v>163</v>
      </c>
      <c r="F4" s="141" t="s">
        <v>164</v>
      </c>
      <c r="G4" s="141" t="s">
        <v>165</v>
      </c>
      <c r="H4" s="141" t="s">
        <v>166</v>
      </c>
      <c r="I4" s="141" t="s">
        <v>167</v>
      </c>
      <c r="J4" s="141" t="s">
        <v>168</v>
      </c>
      <c r="K4" s="141" t="s">
        <v>169</v>
      </c>
      <c r="L4" s="638" t="s">
        <v>170</v>
      </c>
      <c r="M4" s="641" t="s">
        <v>1094</v>
      </c>
      <c r="N4" s="639" t="s">
        <v>1095</v>
      </c>
      <c r="O4" s="640" t="s">
        <v>1096</v>
      </c>
      <c r="P4" s="137"/>
      <c r="Q4" s="141" t="s">
        <v>1</v>
      </c>
      <c r="R4" s="141" t="s">
        <v>171</v>
      </c>
      <c r="S4" s="141" t="s">
        <v>172</v>
      </c>
      <c r="T4" s="141" t="s">
        <v>163</v>
      </c>
      <c r="U4" s="141" t="s">
        <v>164</v>
      </c>
      <c r="V4" s="141" t="s">
        <v>165</v>
      </c>
      <c r="W4" s="141" t="s">
        <v>166</v>
      </c>
      <c r="X4" s="141" t="s">
        <v>167</v>
      </c>
      <c r="Y4" s="142" t="s">
        <v>168</v>
      </c>
      <c r="Z4" s="142" t="s">
        <v>169</v>
      </c>
      <c r="AA4" s="672" t="s">
        <v>170</v>
      </c>
      <c r="AB4" s="671" t="s">
        <v>1094</v>
      </c>
      <c r="AC4" s="673" t="s">
        <v>173</v>
      </c>
      <c r="AE4" s="594" t="s">
        <v>928</v>
      </c>
      <c r="AF4" s="594" t="s">
        <v>929</v>
      </c>
      <c r="AG4" s="594" t="s">
        <v>644</v>
      </c>
      <c r="AH4" s="594" t="s">
        <v>930</v>
      </c>
      <c r="AI4" s="594" t="s">
        <v>588</v>
      </c>
      <c r="AJ4" s="595" t="s">
        <v>931</v>
      </c>
    </row>
    <row r="5" spans="1:37">
      <c r="A5" s="143" t="s">
        <v>174</v>
      </c>
      <c r="B5" s="143" t="s">
        <v>175</v>
      </c>
      <c r="C5" s="143" t="s">
        <v>165</v>
      </c>
      <c r="D5" s="144"/>
      <c r="E5" s="319" t="s">
        <v>499</v>
      </c>
      <c r="F5" s="323">
        <v>1</v>
      </c>
      <c r="G5" s="316" t="s">
        <v>498</v>
      </c>
      <c r="H5" s="319">
        <v>1400</v>
      </c>
      <c r="I5" s="319">
        <v>140</v>
      </c>
      <c r="J5" s="319">
        <v>90</v>
      </c>
      <c r="K5" s="319">
        <v>0</v>
      </c>
      <c r="L5" s="643">
        <v>0</v>
      </c>
      <c r="M5" s="664">
        <v>0</v>
      </c>
      <c r="N5" s="299"/>
      <c r="O5" s="299"/>
      <c r="P5" s="148"/>
      <c r="Q5" s="288">
        <v>46037</v>
      </c>
      <c r="R5" s="276">
        <v>0.33333333333333331</v>
      </c>
      <c r="S5" s="277" t="s">
        <v>178</v>
      </c>
      <c r="T5" s="277" t="s">
        <v>418</v>
      </c>
      <c r="U5" s="278">
        <v>1.5</v>
      </c>
      <c r="V5" s="361" t="str">
        <f t="shared" ref="V5:V19" si="0">IFERROR(VLOOKUP(T5, $E$5:$L$818, 3, FALSE), "")</f>
        <v>potato</v>
      </c>
      <c r="W5" s="279">
        <f t="shared" ref="W5:W19" si="1">IFERROR(VLOOKUP(T5, $E$5:$L$818, 4, FALSE) * (U5 / VLOOKUP(T5, $E$5:$L$818, 2, FALSE)), "")</f>
        <v>225</v>
      </c>
      <c r="X5" s="279">
        <f t="shared" ref="X5:X19" si="2">IFERROR(VLOOKUP(T5, $E$5:$L$818, 5, FALSE) * (U5 / VLOOKUP(T5, $E$5:$L$818, 2, FALSE)), "")</f>
        <v>3</v>
      </c>
      <c r="Y5" s="279">
        <f t="shared" ref="Y5:Y19" si="3">IFERROR(VLOOKUP(T5, $E$5:$L$818, 6, FALSE) * (U5 / VLOOKUP(T5, $E$5:$L$818, 2, FALSE)), "")</f>
        <v>0</v>
      </c>
      <c r="Z5" s="279">
        <f t="shared" ref="Z5:Z19" si="4">IFERROR(VLOOKUP(T5, $E$5:$L$818, 7, FALSE) * (U5 / VLOOKUP(T5, $E$5:$L$818, 2, FALSE)), "")</f>
        <v>52.5</v>
      </c>
      <c r="AA5" s="279">
        <f t="shared" ref="AA5:AA19" si="5">IFERROR(VLOOKUP(T5, $E$5:$L$818, 8, FALSE) * (U5 / VLOOKUP(T5, $E$5:$L$818, 2, FALSE)), "")</f>
        <v>7.5</v>
      </c>
      <c r="AB5" s="674">
        <f t="shared" ref="AB5:AB19" si="6">IFERROR(VLOOKUP(T5, $E$5:$O$818, 9, FALSE) * (U5 / VLOOKUP(T5, $E$5:$O$818, 2, FALSE)), "")</f>
        <v>0</v>
      </c>
      <c r="AC5" s="277"/>
      <c r="AE5" s="597" t="s">
        <v>932</v>
      </c>
      <c r="AF5" s="723" t="s">
        <v>933</v>
      </c>
      <c r="AG5" s="723"/>
      <c r="AH5" s="723"/>
      <c r="AI5" s="598" t="s">
        <v>934</v>
      </c>
      <c r="AJ5" s="599">
        <v>46120</v>
      </c>
    </row>
    <row r="6" spans="1:37">
      <c r="A6" s="145" t="s">
        <v>1</v>
      </c>
      <c r="B6" s="153">
        <v>46037</v>
      </c>
      <c r="C6" s="154"/>
      <c r="D6" s="144"/>
      <c r="E6" s="319" t="s">
        <v>616</v>
      </c>
      <c r="F6" s="210">
        <v>1</v>
      </c>
      <c r="G6" s="189" t="s">
        <v>451</v>
      </c>
      <c r="H6" s="188">
        <v>880</v>
      </c>
      <c r="I6" s="188">
        <v>78</v>
      </c>
      <c r="J6" s="188">
        <v>28</v>
      </c>
      <c r="K6" s="188">
        <v>90</v>
      </c>
      <c r="L6" s="644">
        <v>3</v>
      </c>
      <c r="M6" s="665">
        <v>0</v>
      </c>
      <c r="N6" s="241"/>
      <c r="O6" s="241"/>
      <c r="P6" s="148"/>
      <c r="Q6" s="288">
        <v>46037</v>
      </c>
      <c r="R6" s="276">
        <v>0.33333333333333331</v>
      </c>
      <c r="S6" s="277" t="s">
        <v>178</v>
      </c>
      <c r="T6" s="277" t="s">
        <v>295</v>
      </c>
      <c r="U6" s="278">
        <v>1</v>
      </c>
      <c r="V6" s="361" t="str">
        <f t="shared" si="0"/>
        <v>bottle</v>
      </c>
      <c r="W6" s="279">
        <f t="shared" si="1"/>
        <v>200</v>
      </c>
      <c r="X6" s="279">
        <f t="shared" si="2"/>
        <v>35</v>
      </c>
      <c r="Y6" s="279">
        <f t="shared" si="3"/>
        <v>2.5</v>
      </c>
      <c r="Z6" s="279">
        <f t="shared" si="4"/>
        <v>9</v>
      </c>
      <c r="AA6" s="279">
        <f t="shared" si="5"/>
        <v>0</v>
      </c>
      <c r="AB6" s="584">
        <f t="shared" si="6"/>
        <v>0</v>
      </c>
      <c r="AC6" s="277"/>
    </row>
    <row r="7" spans="1:37">
      <c r="A7" s="145" t="s">
        <v>182</v>
      </c>
      <c r="B7" s="151">
        <v>28</v>
      </c>
      <c r="C7" s="145" t="s">
        <v>183</v>
      </c>
      <c r="D7" s="144"/>
      <c r="E7" s="188" t="s">
        <v>817</v>
      </c>
      <c r="F7" s="210">
        <v>300</v>
      </c>
      <c r="G7" s="189" t="s">
        <v>177</v>
      </c>
      <c r="H7" s="188">
        <v>330</v>
      </c>
      <c r="I7" s="188">
        <v>63</v>
      </c>
      <c r="J7" s="188">
        <v>9</v>
      </c>
      <c r="K7" s="188">
        <v>0</v>
      </c>
      <c r="L7" s="644">
        <v>0</v>
      </c>
      <c r="M7" s="665">
        <v>0</v>
      </c>
      <c r="N7" s="241"/>
      <c r="O7" s="241"/>
      <c r="P7" s="148"/>
      <c r="Q7" s="288">
        <v>46037</v>
      </c>
      <c r="R7" s="276">
        <v>0.375</v>
      </c>
      <c r="S7" s="277" t="s">
        <v>289</v>
      </c>
      <c r="T7" s="277" t="s">
        <v>212</v>
      </c>
      <c r="U7" s="278">
        <v>1</v>
      </c>
      <c r="V7" s="361" t="str">
        <f t="shared" si="0"/>
        <v>bottle</v>
      </c>
      <c r="W7" s="279">
        <f t="shared" si="1"/>
        <v>70</v>
      </c>
      <c r="X7" s="279">
        <f t="shared" si="2"/>
        <v>0</v>
      </c>
      <c r="Y7" s="279">
        <f t="shared" si="3"/>
        <v>0</v>
      </c>
      <c r="Z7" s="279">
        <f t="shared" si="4"/>
        <v>17</v>
      </c>
      <c r="AA7" s="279">
        <f t="shared" si="5"/>
        <v>1</v>
      </c>
      <c r="AB7" s="584">
        <f t="shared" si="6"/>
        <v>0</v>
      </c>
      <c r="AC7" s="277"/>
      <c r="AE7" s="597" t="s">
        <v>935</v>
      </c>
    </row>
    <row r="8" spans="1:37">
      <c r="A8" s="145" t="s">
        <v>186</v>
      </c>
      <c r="B8" s="151">
        <v>191</v>
      </c>
      <c r="C8" s="145" t="s">
        <v>187</v>
      </c>
      <c r="D8" s="144"/>
      <c r="E8" s="234" t="s">
        <v>358</v>
      </c>
      <c r="F8" s="235">
        <v>100</v>
      </c>
      <c r="G8" s="236" t="s">
        <v>177</v>
      </c>
      <c r="H8" s="234">
        <v>520</v>
      </c>
      <c r="I8" s="145">
        <v>60</v>
      </c>
      <c r="J8" s="234">
        <v>30</v>
      </c>
      <c r="K8" s="234">
        <v>0</v>
      </c>
      <c r="L8" s="645">
        <v>0</v>
      </c>
      <c r="M8" s="665">
        <v>0</v>
      </c>
      <c r="P8" s="148"/>
      <c r="Q8" s="288">
        <v>46037</v>
      </c>
      <c r="R8" s="276">
        <v>0.45833333333333331</v>
      </c>
      <c r="S8" s="277" t="s">
        <v>289</v>
      </c>
      <c r="T8" s="277" t="s">
        <v>190</v>
      </c>
      <c r="U8" s="278">
        <v>2</v>
      </c>
      <c r="V8" s="361" t="str">
        <f t="shared" si="0"/>
        <v>medium</v>
      </c>
      <c r="W8" s="279">
        <f t="shared" si="1"/>
        <v>124</v>
      </c>
      <c r="X8" s="279">
        <f t="shared" si="2"/>
        <v>2.4</v>
      </c>
      <c r="Y8" s="279">
        <f t="shared" si="3"/>
        <v>0.4</v>
      </c>
      <c r="Z8" s="279">
        <f t="shared" si="4"/>
        <v>30.8</v>
      </c>
      <c r="AA8" s="279">
        <f t="shared" si="5"/>
        <v>6.2</v>
      </c>
      <c r="AB8" s="584">
        <f t="shared" si="6"/>
        <v>0</v>
      </c>
      <c r="AC8" s="277"/>
      <c r="AE8" s="608" t="s">
        <v>936</v>
      </c>
      <c r="AF8" s="601" t="s">
        <v>937</v>
      </c>
      <c r="AG8" s="601">
        <v>2835</v>
      </c>
      <c r="AH8" s="601">
        <v>2456</v>
      </c>
      <c r="AI8" s="603" t="s">
        <v>938</v>
      </c>
      <c r="AJ8" s="611" t="s">
        <v>939</v>
      </c>
    </row>
    <row r="9" spans="1:37">
      <c r="A9" s="145" t="s">
        <v>137</v>
      </c>
      <c r="B9" s="151">
        <v>77</v>
      </c>
      <c r="C9" s="145" t="s">
        <v>66</v>
      </c>
      <c r="D9" s="144"/>
      <c r="E9" s="319" t="s">
        <v>545</v>
      </c>
      <c r="F9" s="210">
        <v>1</v>
      </c>
      <c r="G9" s="189" t="s">
        <v>283</v>
      </c>
      <c r="H9" s="188">
        <v>950</v>
      </c>
      <c r="I9" s="188">
        <v>55</v>
      </c>
      <c r="J9" s="188">
        <v>45</v>
      </c>
      <c r="K9" s="188">
        <v>95</v>
      </c>
      <c r="L9" s="644">
        <v>4</v>
      </c>
      <c r="M9" s="665">
        <v>0</v>
      </c>
      <c r="N9" s="241"/>
      <c r="O9" s="241"/>
      <c r="P9" s="148"/>
      <c r="Q9" s="288">
        <v>46037</v>
      </c>
      <c r="R9" s="276">
        <v>0.5</v>
      </c>
      <c r="S9" s="277" t="s">
        <v>185</v>
      </c>
      <c r="T9" s="277" t="s">
        <v>247</v>
      </c>
      <c r="U9" s="278">
        <v>2</v>
      </c>
      <c r="V9" s="361" t="str">
        <f t="shared" si="0"/>
        <v>large bowl</v>
      </c>
      <c r="W9" s="279">
        <f t="shared" si="1"/>
        <v>800</v>
      </c>
      <c r="X9" s="279">
        <f t="shared" si="2"/>
        <v>40</v>
      </c>
      <c r="Y9" s="279">
        <f t="shared" si="3"/>
        <v>20</v>
      </c>
      <c r="Z9" s="279">
        <f t="shared" si="4"/>
        <v>110</v>
      </c>
      <c r="AA9" s="279">
        <f t="shared" si="5"/>
        <v>6</v>
      </c>
      <c r="AB9" s="584">
        <f t="shared" si="6"/>
        <v>0</v>
      </c>
      <c r="AC9" s="277"/>
      <c r="AE9" s="608" t="s">
        <v>248</v>
      </c>
      <c r="AF9" s="601" t="s">
        <v>940</v>
      </c>
      <c r="AG9" s="601">
        <v>154</v>
      </c>
      <c r="AH9" s="601">
        <v>169</v>
      </c>
      <c r="AI9" s="609" t="s">
        <v>941</v>
      </c>
      <c r="AJ9" s="611" t="s">
        <v>942</v>
      </c>
    </row>
    <row r="10" spans="1:37">
      <c r="A10" s="145" t="s">
        <v>191</v>
      </c>
      <c r="B10" s="151" t="s">
        <v>192</v>
      </c>
      <c r="C10" s="145" t="s">
        <v>193</v>
      </c>
      <c r="D10" s="144"/>
      <c r="E10" s="188" t="s">
        <v>324</v>
      </c>
      <c r="F10" s="210">
        <v>1</v>
      </c>
      <c r="G10" s="189" t="s">
        <v>213</v>
      </c>
      <c r="H10" s="188">
        <v>306</v>
      </c>
      <c r="I10" s="145">
        <v>48</v>
      </c>
      <c r="J10" s="188">
        <v>4</v>
      </c>
      <c r="K10" s="188">
        <v>18</v>
      </c>
      <c r="L10" s="644">
        <v>1</v>
      </c>
      <c r="M10" s="665">
        <v>0</v>
      </c>
      <c r="N10" s="241"/>
      <c r="O10" s="241"/>
      <c r="P10" s="148"/>
      <c r="Q10" s="288">
        <v>46037</v>
      </c>
      <c r="R10" s="276">
        <v>0.79166666666666663</v>
      </c>
      <c r="S10" s="277" t="s">
        <v>289</v>
      </c>
      <c r="T10" s="277" t="s">
        <v>214</v>
      </c>
      <c r="U10" s="278">
        <v>1</v>
      </c>
      <c r="V10" s="361" t="str">
        <f t="shared" si="0"/>
        <v>bar</v>
      </c>
      <c r="W10" s="279">
        <f t="shared" si="1"/>
        <v>67</v>
      </c>
      <c r="X10" s="279">
        <f t="shared" si="2"/>
        <v>1</v>
      </c>
      <c r="Y10" s="279">
        <f t="shared" si="3"/>
        <v>3.5</v>
      </c>
      <c r="Z10" s="279">
        <f t="shared" si="4"/>
        <v>22</v>
      </c>
      <c r="AA10" s="279">
        <f t="shared" si="5"/>
        <v>0.3</v>
      </c>
      <c r="AB10" s="584">
        <f t="shared" si="6"/>
        <v>0</v>
      </c>
      <c r="AC10" s="277"/>
      <c r="AE10" s="608" t="s">
        <v>250</v>
      </c>
      <c r="AF10" s="601" t="s">
        <v>940</v>
      </c>
      <c r="AG10" s="601">
        <v>64</v>
      </c>
      <c r="AH10" s="601">
        <v>57</v>
      </c>
      <c r="AI10" s="603" t="s">
        <v>943</v>
      </c>
      <c r="AJ10" s="611" t="s">
        <v>944</v>
      </c>
    </row>
    <row r="11" spans="1:37">
      <c r="A11" s="145" t="s">
        <v>196</v>
      </c>
      <c r="B11" s="151" t="s">
        <v>215</v>
      </c>
      <c r="C11" s="154"/>
      <c r="D11" s="144"/>
      <c r="E11" s="319" t="s">
        <v>486</v>
      </c>
      <c r="F11" s="210">
        <v>1</v>
      </c>
      <c r="G11" s="189" t="s">
        <v>283</v>
      </c>
      <c r="H11" s="188">
        <v>1050</v>
      </c>
      <c r="I11" s="188">
        <v>45</v>
      </c>
      <c r="J11" s="188">
        <v>48</v>
      </c>
      <c r="K11" s="188">
        <v>115</v>
      </c>
      <c r="L11" s="644">
        <v>6</v>
      </c>
      <c r="M11" s="665">
        <v>30</v>
      </c>
      <c r="N11" s="241"/>
      <c r="O11" s="241"/>
      <c r="P11" s="148"/>
      <c r="Q11" s="288">
        <v>46037</v>
      </c>
      <c r="R11" s="276">
        <v>0.79166666666666663</v>
      </c>
      <c r="S11" s="277" t="s">
        <v>199</v>
      </c>
      <c r="T11" s="277" t="s">
        <v>418</v>
      </c>
      <c r="U11" s="278">
        <v>1</v>
      </c>
      <c r="V11" s="361" t="str">
        <f t="shared" si="0"/>
        <v>potato</v>
      </c>
      <c r="W11" s="279">
        <f t="shared" si="1"/>
        <v>150</v>
      </c>
      <c r="X11" s="279">
        <f t="shared" si="2"/>
        <v>2</v>
      </c>
      <c r="Y11" s="279">
        <f t="shared" si="3"/>
        <v>0</v>
      </c>
      <c r="Z11" s="279">
        <f t="shared" si="4"/>
        <v>35</v>
      </c>
      <c r="AA11" s="279">
        <f t="shared" si="5"/>
        <v>5</v>
      </c>
      <c r="AB11" s="584">
        <f t="shared" si="6"/>
        <v>0</v>
      </c>
      <c r="AC11" s="277"/>
      <c r="AE11" s="608" t="s">
        <v>252</v>
      </c>
      <c r="AF11" s="601" t="s">
        <v>940</v>
      </c>
      <c r="AG11" s="601">
        <v>411</v>
      </c>
      <c r="AH11" s="601">
        <v>304</v>
      </c>
      <c r="AI11" s="603" t="s">
        <v>938</v>
      </c>
      <c r="AJ11" s="611" t="s">
        <v>945</v>
      </c>
    </row>
    <row r="12" spans="1:37">
      <c r="A12" s="145" t="s">
        <v>200</v>
      </c>
      <c r="B12" s="151" t="s">
        <v>228</v>
      </c>
      <c r="C12" s="154"/>
      <c r="D12" s="144"/>
      <c r="E12" s="319" t="s">
        <v>818</v>
      </c>
      <c r="F12" s="210">
        <v>1</v>
      </c>
      <c r="G12" s="189" t="s">
        <v>361</v>
      </c>
      <c r="H12" s="188">
        <v>430</v>
      </c>
      <c r="I12" s="188">
        <v>42</v>
      </c>
      <c r="J12" s="188">
        <v>5</v>
      </c>
      <c r="K12" s="188">
        <v>55</v>
      </c>
      <c r="L12" s="644">
        <v>6</v>
      </c>
      <c r="M12" s="665">
        <v>0</v>
      </c>
      <c r="N12" s="241"/>
      <c r="O12" s="241"/>
      <c r="P12" s="148"/>
      <c r="Q12" s="288">
        <v>46037</v>
      </c>
      <c r="R12" s="276">
        <v>0.79166666666666663</v>
      </c>
      <c r="S12" s="277" t="s">
        <v>199</v>
      </c>
      <c r="T12" s="277" t="s">
        <v>189</v>
      </c>
      <c r="U12" s="278">
        <v>173</v>
      </c>
      <c r="V12" s="361" t="str">
        <f t="shared" si="0"/>
        <v>g</v>
      </c>
      <c r="W12" s="279">
        <f t="shared" si="1"/>
        <v>60.55</v>
      </c>
      <c r="X12" s="279">
        <f t="shared" si="2"/>
        <v>4.3250000000000002</v>
      </c>
      <c r="Y12" s="279">
        <f t="shared" si="3"/>
        <v>0.69200000000000006</v>
      </c>
      <c r="Z12" s="279">
        <f t="shared" si="4"/>
        <v>12.11</v>
      </c>
      <c r="AA12" s="279">
        <f t="shared" si="5"/>
        <v>4.4980000000000002</v>
      </c>
      <c r="AB12" s="584">
        <f t="shared" si="6"/>
        <v>0</v>
      </c>
      <c r="AC12" s="277"/>
      <c r="AE12" s="600" t="s">
        <v>254</v>
      </c>
      <c r="AF12" s="602" t="s">
        <v>940</v>
      </c>
      <c r="AG12" s="602">
        <v>40</v>
      </c>
      <c r="AH12" s="602">
        <v>30</v>
      </c>
      <c r="AI12" s="604" t="s">
        <v>943</v>
      </c>
      <c r="AJ12" s="607" t="s">
        <v>946</v>
      </c>
    </row>
    <row r="13" spans="1:37">
      <c r="A13" s="147" t="s">
        <v>205</v>
      </c>
      <c r="B13" s="147" t="s">
        <v>206</v>
      </c>
      <c r="C13" s="155"/>
      <c r="D13" s="144"/>
      <c r="E13" s="188" t="s">
        <v>656</v>
      </c>
      <c r="F13" s="210">
        <v>1</v>
      </c>
      <c r="G13" s="189" t="s">
        <v>283</v>
      </c>
      <c r="H13" s="188">
        <v>920</v>
      </c>
      <c r="I13" s="188">
        <v>42</v>
      </c>
      <c r="J13" s="188">
        <v>38</v>
      </c>
      <c r="K13" s="188">
        <v>110</v>
      </c>
      <c r="L13" s="644">
        <v>7</v>
      </c>
      <c r="M13" s="665">
        <v>0</v>
      </c>
      <c r="N13" s="241"/>
      <c r="O13" s="241"/>
      <c r="P13" s="148"/>
      <c r="Q13" s="288">
        <v>46037</v>
      </c>
      <c r="R13" s="276">
        <v>0.79166666666666663</v>
      </c>
      <c r="S13" s="277" t="s">
        <v>199</v>
      </c>
      <c r="T13" s="277" t="s">
        <v>176</v>
      </c>
      <c r="U13" s="278">
        <v>244</v>
      </c>
      <c r="V13" s="361" t="str">
        <f t="shared" si="0"/>
        <v>g</v>
      </c>
      <c r="W13" s="279">
        <f t="shared" si="1"/>
        <v>402.59999999999997</v>
      </c>
      <c r="X13" s="279">
        <f t="shared" si="2"/>
        <v>61</v>
      </c>
      <c r="Y13" s="279">
        <f t="shared" si="3"/>
        <v>8.7840000000000007</v>
      </c>
      <c r="Z13" s="279">
        <f t="shared" si="4"/>
        <v>0</v>
      </c>
      <c r="AA13" s="279">
        <f t="shared" si="5"/>
        <v>0</v>
      </c>
      <c r="AB13" s="584">
        <f t="shared" si="6"/>
        <v>0</v>
      </c>
      <c r="AC13" s="277"/>
    </row>
    <row r="14" spans="1:37">
      <c r="A14" s="145" t="s">
        <v>210</v>
      </c>
      <c r="B14" s="145">
        <v>1.2</v>
      </c>
      <c r="C14" s="155"/>
      <c r="D14" s="144"/>
      <c r="E14" s="188" t="s">
        <v>482</v>
      </c>
      <c r="F14" s="210">
        <v>1</v>
      </c>
      <c r="G14" s="189" t="s">
        <v>480</v>
      </c>
      <c r="H14" s="188">
        <v>700</v>
      </c>
      <c r="I14" s="188">
        <v>40</v>
      </c>
      <c r="J14" s="188">
        <v>35</v>
      </c>
      <c r="K14" s="188">
        <v>75</v>
      </c>
      <c r="L14" s="644">
        <v>2</v>
      </c>
      <c r="M14" s="665">
        <v>0</v>
      </c>
      <c r="N14" s="241"/>
      <c r="O14" s="241"/>
      <c r="P14" s="148"/>
      <c r="Q14" s="288">
        <v>46037</v>
      </c>
      <c r="R14" s="276">
        <v>0.79166666666666663</v>
      </c>
      <c r="S14" s="277" t="s">
        <v>199</v>
      </c>
      <c r="T14" s="277" t="s">
        <v>418</v>
      </c>
      <c r="U14" s="278">
        <v>1</v>
      </c>
      <c r="V14" s="361" t="str">
        <f t="shared" si="0"/>
        <v>potato</v>
      </c>
      <c r="W14" s="279">
        <f t="shared" si="1"/>
        <v>150</v>
      </c>
      <c r="X14" s="279">
        <f t="shared" si="2"/>
        <v>2</v>
      </c>
      <c r="Y14" s="279">
        <f t="shared" si="3"/>
        <v>0</v>
      </c>
      <c r="Z14" s="279">
        <f t="shared" si="4"/>
        <v>35</v>
      </c>
      <c r="AA14" s="279">
        <f t="shared" si="5"/>
        <v>5</v>
      </c>
      <c r="AB14" s="584">
        <f t="shared" si="6"/>
        <v>0</v>
      </c>
      <c r="AC14" s="277"/>
      <c r="AE14" s="597" t="s">
        <v>947</v>
      </c>
    </row>
    <row r="15" spans="1:37">
      <c r="A15" s="145" t="s">
        <v>197</v>
      </c>
      <c r="B15" s="214">
        <v>1.375</v>
      </c>
      <c r="C15" s="155"/>
      <c r="D15" s="144"/>
      <c r="E15" s="319" t="s">
        <v>618</v>
      </c>
      <c r="F15" s="210">
        <v>3</v>
      </c>
      <c r="G15" s="189" t="s">
        <v>281</v>
      </c>
      <c r="H15" s="188">
        <v>480</v>
      </c>
      <c r="I15" s="188">
        <v>38</v>
      </c>
      <c r="J15" s="188">
        <v>26</v>
      </c>
      <c r="K15" s="188">
        <v>28</v>
      </c>
      <c r="L15" s="644">
        <v>1</v>
      </c>
      <c r="M15" s="665">
        <v>0</v>
      </c>
      <c r="N15" s="241"/>
      <c r="O15" s="241"/>
      <c r="P15" s="148"/>
      <c r="Q15" s="288">
        <v>46037</v>
      </c>
      <c r="R15" s="276">
        <v>0.79166666666666663</v>
      </c>
      <c r="S15" s="277" t="s">
        <v>199</v>
      </c>
      <c r="T15" s="277" t="s">
        <v>351</v>
      </c>
      <c r="U15" s="278">
        <v>1</v>
      </c>
      <c r="V15" s="361" t="str">
        <f t="shared" si="0"/>
        <v>egg</v>
      </c>
      <c r="W15" s="279">
        <f t="shared" si="1"/>
        <v>70</v>
      </c>
      <c r="X15" s="279">
        <f t="shared" si="2"/>
        <v>6</v>
      </c>
      <c r="Y15" s="279">
        <f t="shared" si="3"/>
        <v>5</v>
      </c>
      <c r="Z15" s="279">
        <f t="shared" si="4"/>
        <v>0</v>
      </c>
      <c r="AA15" s="279">
        <f t="shared" si="5"/>
        <v>0</v>
      </c>
      <c r="AB15" s="584">
        <f t="shared" si="6"/>
        <v>35</v>
      </c>
      <c r="AC15" s="277"/>
      <c r="AE15" s="608" t="s">
        <v>948</v>
      </c>
      <c r="AF15" s="601" t="s">
        <v>949</v>
      </c>
      <c r="AG15" s="601" t="s">
        <v>950</v>
      </c>
      <c r="AH15" s="601" t="s">
        <v>951</v>
      </c>
      <c r="AI15" s="612" t="s">
        <v>952</v>
      </c>
      <c r="AJ15" s="611" t="s">
        <v>953</v>
      </c>
    </row>
    <row r="16" spans="1:37">
      <c r="A16" s="145" t="s">
        <v>215</v>
      </c>
      <c r="B16" s="145">
        <v>1.55</v>
      </c>
      <c r="C16" s="155"/>
      <c r="D16" s="144"/>
      <c r="E16" s="188" t="s">
        <v>456</v>
      </c>
      <c r="F16" s="210">
        <v>1</v>
      </c>
      <c r="G16" s="189" t="s">
        <v>361</v>
      </c>
      <c r="H16" s="188">
        <v>720</v>
      </c>
      <c r="I16" s="188">
        <v>38</v>
      </c>
      <c r="J16" s="188">
        <v>32</v>
      </c>
      <c r="K16" s="188">
        <v>72</v>
      </c>
      <c r="L16" s="644">
        <v>2</v>
      </c>
      <c r="M16" s="665">
        <v>200</v>
      </c>
      <c r="N16" s="241"/>
      <c r="O16" s="241"/>
      <c r="P16" s="156"/>
      <c r="Q16" s="288">
        <v>46037</v>
      </c>
      <c r="R16" s="276">
        <v>0.79166666666666663</v>
      </c>
      <c r="S16" s="277" t="s">
        <v>199</v>
      </c>
      <c r="T16" s="277" t="s">
        <v>374</v>
      </c>
      <c r="U16" s="278">
        <v>1</v>
      </c>
      <c r="V16" s="361" t="str">
        <f t="shared" si="0"/>
        <v>egg</v>
      </c>
      <c r="W16" s="279">
        <f t="shared" si="1"/>
        <v>80</v>
      </c>
      <c r="X16" s="279">
        <f t="shared" si="2"/>
        <v>7</v>
      </c>
      <c r="Y16" s="279">
        <f t="shared" si="3"/>
        <v>6</v>
      </c>
      <c r="Z16" s="279">
        <f t="shared" si="4"/>
        <v>0</v>
      </c>
      <c r="AA16" s="279">
        <f t="shared" si="5"/>
        <v>0</v>
      </c>
      <c r="AB16" s="584">
        <f t="shared" si="6"/>
        <v>40</v>
      </c>
      <c r="AC16" s="277"/>
      <c r="AE16" s="608" t="s">
        <v>954</v>
      </c>
      <c r="AF16" s="601" t="s">
        <v>955</v>
      </c>
      <c r="AG16" s="601" t="s">
        <v>956</v>
      </c>
      <c r="AH16" s="601" t="s">
        <v>951</v>
      </c>
      <c r="AI16" s="612" t="s">
        <v>952</v>
      </c>
      <c r="AJ16" s="611" t="s">
        <v>957</v>
      </c>
    </row>
    <row r="17" spans="1:36">
      <c r="A17" s="145" t="s">
        <v>218</v>
      </c>
      <c r="B17" s="145">
        <v>1.7250000000000001</v>
      </c>
      <c r="C17" s="155"/>
      <c r="D17" s="144"/>
      <c r="E17" s="520" t="s">
        <v>313</v>
      </c>
      <c r="F17" s="520">
        <v>1</v>
      </c>
      <c r="G17" s="534" t="s">
        <v>314</v>
      </c>
      <c r="H17" s="520">
        <v>620</v>
      </c>
      <c r="I17" s="145">
        <v>38</v>
      </c>
      <c r="J17" s="520">
        <v>42</v>
      </c>
      <c r="K17" s="520">
        <v>22</v>
      </c>
      <c r="L17" s="646">
        <v>1</v>
      </c>
      <c r="M17" s="666">
        <v>30</v>
      </c>
      <c r="N17" s="636"/>
      <c r="O17" s="636"/>
      <c r="P17" s="160"/>
      <c r="Q17" s="288">
        <v>46037</v>
      </c>
      <c r="R17" s="276">
        <v>0.83333333333333337</v>
      </c>
      <c r="S17" s="277" t="s">
        <v>199</v>
      </c>
      <c r="T17" s="277" t="s">
        <v>219</v>
      </c>
      <c r="U17" s="278">
        <v>1</v>
      </c>
      <c r="V17" s="361" t="str">
        <f t="shared" si="0"/>
        <v>bottle</v>
      </c>
      <c r="W17" s="279">
        <f t="shared" si="1"/>
        <v>0</v>
      </c>
      <c r="X17" s="279">
        <f t="shared" si="2"/>
        <v>0</v>
      </c>
      <c r="Y17" s="279">
        <f t="shared" si="3"/>
        <v>0</v>
      </c>
      <c r="Z17" s="279">
        <f t="shared" si="4"/>
        <v>0</v>
      </c>
      <c r="AA17" s="279">
        <f t="shared" si="5"/>
        <v>0</v>
      </c>
      <c r="AB17" s="584">
        <f t="shared" si="6"/>
        <v>0</v>
      </c>
      <c r="AC17" s="277"/>
      <c r="AE17" s="608" t="s">
        <v>958</v>
      </c>
      <c r="AF17" s="601" t="s">
        <v>959</v>
      </c>
      <c r="AG17" s="601" t="s">
        <v>960</v>
      </c>
      <c r="AH17" s="601" t="s">
        <v>951</v>
      </c>
      <c r="AI17" s="612" t="s">
        <v>952</v>
      </c>
      <c r="AJ17" s="611" t="s">
        <v>961</v>
      </c>
    </row>
    <row r="18" spans="1:36">
      <c r="A18" s="145" t="s">
        <v>221</v>
      </c>
      <c r="B18" s="145">
        <v>1.9</v>
      </c>
      <c r="C18" s="155"/>
      <c r="D18" s="144"/>
      <c r="E18" s="188" t="s">
        <v>466</v>
      </c>
      <c r="F18" s="210">
        <v>1</v>
      </c>
      <c r="G18" s="189" t="s">
        <v>447</v>
      </c>
      <c r="H18" s="241">
        <v>850</v>
      </c>
      <c r="I18" s="188">
        <v>38</v>
      </c>
      <c r="J18" s="241">
        <v>38</v>
      </c>
      <c r="K18" s="241">
        <v>92</v>
      </c>
      <c r="L18" s="241">
        <v>7</v>
      </c>
      <c r="M18" s="665">
        <v>0</v>
      </c>
      <c r="N18" s="241"/>
      <c r="O18" s="241"/>
      <c r="P18" s="160"/>
      <c r="Q18" s="288">
        <v>46037</v>
      </c>
      <c r="R18" s="276">
        <v>0.875</v>
      </c>
      <c r="S18" s="277" t="s">
        <v>289</v>
      </c>
      <c r="T18" s="277" t="s">
        <v>284</v>
      </c>
      <c r="U18" s="278">
        <v>1</v>
      </c>
      <c r="V18" s="361" t="str">
        <f t="shared" si="0"/>
        <v>bar</v>
      </c>
      <c r="W18" s="279">
        <f t="shared" si="1"/>
        <v>200</v>
      </c>
      <c r="X18" s="279">
        <f t="shared" si="2"/>
        <v>3</v>
      </c>
      <c r="Y18" s="279">
        <f t="shared" si="3"/>
        <v>12</v>
      </c>
      <c r="Z18" s="279">
        <f t="shared" si="4"/>
        <v>19</v>
      </c>
      <c r="AA18" s="279">
        <f t="shared" si="5"/>
        <v>0</v>
      </c>
      <c r="AB18" s="584">
        <f t="shared" si="6"/>
        <v>0</v>
      </c>
      <c r="AC18" s="277"/>
      <c r="AE18" s="608" t="s">
        <v>962</v>
      </c>
      <c r="AF18" s="601" t="s">
        <v>963</v>
      </c>
      <c r="AG18" s="601" t="s">
        <v>964</v>
      </c>
      <c r="AH18" s="601" t="s">
        <v>951</v>
      </c>
      <c r="AI18" s="612" t="s">
        <v>952</v>
      </c>
      <c r="AJ18" s="611" t="s">
        <v>965</v>
      </c>
    </row>
    <row r="19" spans="1:36">
      <c r="A19" s="147" t="s">
        <v>223</v>
      </c>
      <c r="B19" s="147" t="s">
        <v>224</v>
      </c>
      <c r="C19" s="147" t="s">
        <v>165</v>
      </c>
      <c r="D19" s="144"/>
      <c r="E19" s="188" t="s">
        <v>490</v>
      </c>
      <c r="F19" s="210">
        <v>1</v>
      </c>
      <c r="G19" s="189" t="s">
        <v>361</v>
      </c>
      <c r="H19" s="188">
        <v>580</v>
      </c>
      <c r="I19" s="188">
        <v>37</v>
      </c>
      <c r="J19" s="188">
        <v>22.5</v>
      </c>
      <c r="K19" s="188">
        <v>59</v>
      </c>
      <c r="L19" s="644">
        <v>1</v>
      </c>
      <c r="M19" s="665">
        <v>0</v>
      </c>
      <c r="N19" s="241"/>
      <c r="O19" s="241"/>
      <c r="P19" s="160"/>
      <c r="Q19" s="288">
        <v>46037</v>
      </c>
      <c r="R19" s="276">
        <v>0.875</v>
      </c>
      <c r="S19" s="277" t="s">
        <v>199</v>
      </c>
      <c r="T19" s="277" t="s">
        <v>181</v>
      </c>
      <c r="U19" s="278">
        <v>4</v>
      </c>
      <c r="V19" s="361" t="str">
        <f t="shared" si="0"/>
        <v>slice</v>
      </c>
      <c r="W19" s="279">
        <f t="shared" si="1"/>
        <v>280</v>
      </c>
      <c r="X19" s="279">
        <f t="shared" si="2"/>
        <v>10</v>
      </c>
      <c r="Y19" s="279">
        <f t="shared" si="3"/>
        <v>5</v>
      </c>
      <c r="Z19" s="279">
        <f t="shared" si="4"/>
        <v>48</v>
      </c>
      <c r="AA19" s="279">
        <f t="shared" si="5"/>
        <v>4</v>
      </c>
      <c r="AB19" s="684">
        <f t="shared" si="6"/>
        <v>0</v>
      </c>
      <c r="AC19" s="277"/>
      <c r="AE19" s="608" t="s">
        <v>966</v>
      </c>
      <c r="AF19" s="601" t="s">
        <v>967</v>
      </c>
      <c r="AG19" s="601" t="s">
        <v>968</v>
      </c>
      <c r="AH19" s="601" t="s">
        <v>969</v>
      </c>
      <c r="AI19" s="612" t="s">
        <v>952</v>
      </c>
      <c r="AJ19" s="611" t="s">
        <v>970</v>
      </c>
    </row>
    <row r="20" spans="1:36">
      <c r="A20" s="145" t="s">
        <v>201</v>
      </c>
      <c r="B20" s="145">
        <v>-300</v>
      </c>
      <c r="C20" s="162" t="s">
        <v>226</v>
      </c>
      <c r="D20" s="144"/>
      <c r="E20" s="145" t="s">
        <v>255</v>
      </c>
      <c r="F20" s="146">
        <v>1</v>
      </c>
      <c r="G20" s="147" t="s">
        <v>213</v>
      </c>
      <c r="H20" s="188">
        <v>190</v>
      </c>
      <c r="I20" s="145">
        <v>36</v>
      </c>
      <c r="J20" s="188">
        <v>1.5</v>
      </c>
      <c r="K20" s="188">
        <v>6</v>
      </c>
      <c r="L20" s="644">
        <v>1</v>
      </c>
      <c r="M20" s="665">
        <v>0</v>
      </c>
      <c r="N20" s="241"/>
      <c r="O20" s="241"/>
      <c r="P20" s="144"/>
      <c r="Q20" s="280"/>
      <c r="R20" s="281" t="s">
        <v>217</v>
      </c>
      <c r="S20" s="294"/>
      <c r="T20" s="282"/>
      <c r="U20" s="282"/>
      <c r="V20" s="364"/>
      <c r="W20" s="283">
        <f>SUM(W5:W19)</f>
        <v>2879.15</v>
      </c>
      <c r="X20" s="283">
        <f t="shared" ref="X20:Z20" si="7">SUM(X5:X19)</f>
        <v>176.72500000000002</v>
      </c>
      <c r="Y20" s="283">
        <f t="shared" si="7"/>
        <v>63.875999999999998</v>
      </c>
      <c r="Z20" s="283">
        <f t="shared" si="7"/>
        <v>390.41</v>
      </c>
      <c r="AA20" s="683">
        <f>SUM(AA5:AA19)</f>
        <v>39.498000000000005</v>
      </c>
      <c r="AB20" s="691">
        <f>SUM(AB5:AB19)</f>
        <v>75</v>
      </c>
      <c r="AC20" s="281"/>
      <c r="AE20" s="608" t="s">
        <v>971</v>
      </c>
      <c r="AF20" s="601" t="s">
        <v>972</v>
      </c>
      <c r="AG20" s="601" t="s">
        <v>973</v>
      </c>
      <c r="AH20" s="601" t="s">
        <v>951</v>
      </c>
      <c r="AI20" s="612" t="s">
        <v>952</v>
      </c>
      <c r="AJ20" s="611" t="s">
        <v>974</v>
      </c>
    </row>
    <row r="21" spans="1:36">
      <c r="A21" s="145" t="s">
        <v>228</v>
      </c>
      <c r="B21" s="145">
        <v>0</v>
      </c>
      <c r="C21" s="162" t="s">
        <v>226</v>
      </c>
      <c r="D21" s="144"/>
      <c r="E21" s="188" t="s">
        <v>295</v>
      </c>
      <c r="F21" s="210">
        <v>1</v>
      </c>
      <c r="G21" s="189" t="s">
        <v>213</v>
      </c>
      <c r="H21" s="188">
        <v>200</v>
      </c>
      <c r="I21" s="145">
        <v>35</v>
      </c>
      <c r="J21" s="188">
        <v>2.5</v>
      </c>
      <c r="K21" s="188">
        <v>9</v>
      </c>
      <c r="L21" s="644">
        <v>0</v>
      </c>
      <c r="M21" s="665">
        <v>0</v>
      </c>
      <c r="N21" s="241"/>
      <c r="O21" s="241"/>
      <c r="P21" s="144"/>
      <c r="Q21" s="280"/>
      <c r="R21" s="281" t="s">
        <v>220</v>
      </c>
      <c r="S21" s="294"/>
      <c r="T21" s="282"/>
      <c r="U21" s="282"/>
      <c r="V21" s="364"/>
      <c r="W21" s="284">
        <f>$B$27</f>
        <v>2834.5625</v>
      </c>
      <c r="X21" s="284">
        <f>$B$29</f>
        <v>154</v>
      </c>
      <c r="Y21" s="284">
        <f>$B$30</f>
        <v>63.91</v>
      </c>
      <c r="Z21" s="284">
        <f>$B$31</f>
        <v>410.84312499999999</v>
      </c>
      <c r="AA21" s="690">
        <f>$B$32</f>
        <v>39.683875</v>
      </c>
      <c r="AB21" s="695">
        <f>$B$39</f>
        <v>500</v>
      </c>
      <c r="AC21" s="281"/>
      <c r="AE21" s="608" t="s">
        <v>975</v>
      </c>
      <c r="AF21" s="601" t="s">
        <v>976</v>
      </c>
      <c r="AG21" s="601" t="s">
        <v>977</v>
      </c>
      <c r="AH21" s="601" t="s">
        <v>978</v>
      </c>
      <c r="AI21" s="603" t="s">
        <v>979</v>
      </c>
      <c r="AJ21" s="611" t="s">
        <v>980</v>
      </c>
    </row>
    <row r="22" spans="1:36">
      <c r="A22" s="145" t="s">
        <v>230</v>
      </c>
      <c r="B22" s="145">
        <v>500</v>
      </c>
      <c r="C22" s="162" t="s">
        <v>226</v>
      </c>
      <c r="D22" s="144"/>
      <c r="E22" s="319" t="s">
        <v>463</v>
      </c>
      <c r="F22" s="210">
        <v>1</v>
      </c>
      <c r="G22" s="189" t="s">
        <v>213</v>
      </c>
      <c r="H22" s="188">
        <v>190</v>
      </c>
      <c r="I22" s="188">
        <v>35</v>
      </c>
      <c r="J22" s="188">
        <v>2</v>
      </c>
      <c r="K22" s="188">
        <v>9</v>
      </c>
      <c r="L22" s="644">
        <v>0</v>
      </c>
      <c r="M22" s="665">
        <v>0</v>
      </c>
      <c r="N22" s="241"/>
      <c r="O22" s="241"/>
      <c r="P22" s="144"/>
      <c r="Q22" s="280"/>
      <c r="R22" s="281" t="s">
        <v>222</v>
      </c>
      <c r="S22" s="294"/>
      <c r="T22" s="282"/>
      <c r="U22" s="282"/>
      <c r="V22" s="364"/>
      <c r="W22" s="284">
        <f t="shared" ref="W22:AB22" si="8">W20-W21</f>
        <v>44.587500000000091</v>
      </c>
      <c r="X22" s="284">
        <f t="shared" si="8"/>
        <v>22.725000000000023</v>
      </c>
      <c r="Y22" s="284">
        <f t="shared" si="8"/>
        <v>-3.399999999999892E-2</v>
      </c>
      <c r="Z22" s="284">
        <f t="shared" si="8"/>
        <v>-20.433124999999961</v>
      </c>
      <c r="AA22" s="690">
        <f t="shared" si="8"/>
        <v>-0.18587499999999579</v>
      </c>
      <c r="AB22" s="689">
        <f t="shared" si="8"/>
        <v>-425</v>
      </c>
      <c r="AC22" s="281"/>
      <c r="AE22" s="608" t="s">
        <v>981</v>
      </c>
      <c r="AF22" s="601" t="s">
        <v>982</v>
      </c>
      <c r="AG22" s="601" t="s">
        <v>983</v>
      </c>
      <c r="AH22" s="601" t="s">
        <v>969</v>
      </c>
      <c r="AI22" s="603" t="s">
        <v>979</v>
      </c>
      <c r="AJ22" s="611" t="s">
        <v>984</v>
      </c>
    </row>
    <row r="23" spans="1:36">
      <c r="A23" s="147" t="s">
        <v>232</v>
      </c>
      <c r="B23" s="147" t="s">
        <v>233</v>
      </c>
      <c r="C23" s="147" t="s">
        <v>165</v>
      </c>
      <c r="D23" s="144"/>
      <c r="E23" s="183" t="s">
        <v>302</v>
      </c>
      <c r="F23" s="183">
        <v>1</v>
      </c>
      <c r="G23" s="184" t="s">
        <v>303</v>
      </c>
      <c r="H23" s="183">
        <v>450</v>
      </c>
      <c r="I23" s="145">
        <v>35</v>
      </c>
      <c r="J23" s="183">
        <v>32</v>
      </c>
      <c r="K23" s="183">
        <v>5</v>
      </c>
      <c r="L23" s="647">
        <v>0</v>
      </c>
      <c r="M23" s="667">
        <v>0</v>
      </c>
      <c r="N23" s="321"/>
      <c r="O23" s="321"/>
      <c r="P23" s="144"/>
      <c r="Q23" s="288">
        <v>46038</v>
      </c>
      <c r="R23" s="276">
        <v>0.33333333333333331</v>
      </c>
      <c r="S23" s="277" t="s">
        <v>178</v>
      </c>
      <c r="T23" s="277" t="s">
        <v>418</v>
      </c>
      <c r="U23" s="278">
        <v>1</v>
      </c>
      <c r="V23" s="361" t="str">
        <f t="shared" ref="V23:V39" si="9">IFERROR(VLOOKUP(T23, $E$5:$L$818, 3, FALSE), "")</f>
        <v>potato</v>
      </c>
      <c r="W23" s="279">
        <f t="shared" ref="W23:W39" si="10">IFERROR(VLOOKUP(T23, $E$5:$L$818, 4, FALSE) * (U23 / VLOOKUP(T23, $E$5:$L$818, 2, FALSE)), "")</f>
        <v>150</v>
      </c>
      <c r="X23" s="279">
        <f t="shared" ref="X23:X39" si="11">IFERROR(VLOOKUP(T23, $E$5:$L$818, 5, FALSE) * (U23 / VLOOKUP(T23, $E$5:$L$818, 2, FALSE)), "")</f>
        <v>2</v>
      </c>
      <c r="Y23" s="279">
        <f t="shared" ref="Y23:Y39" si="12">IFERROR(VLOOKUP(T23, $E$5:$L$818, 6, FALSE) * (U23 / VLOOKUP(T23, $E$5:$L$818, 2, FALSE)), "")</f>
        <v>0</v>
      </c>
      <c r="Z23" s="279">
        <f t="shared" ref="Z23:Z39" si="13">IFERROR(VLOOKUP(T23, $E$5:$L$818, 7, FALSE) * (U23 / VLOOKUP(T23, $E$5:$L$818, 2, FALSE)), "")</f>
        <v>35</v>
      </c>
      <c r="AA23" s="279">
        <f t="shared" ref="AA23:AA39" si="14">IFERROR(VLOOKUP(T23, $E$5:$L$818, 8, FALSE) * (U23 / VLOOKUP(T23, $E$5:$L$818, 2, FALSE)), "")</f>
        <v>5</v>
      </c>
      <c r="AB23" s="674">
        <f t="shared" ref="AB23:AB39" si="15">IFERROR(VLOOKUP(T23, $E$5:$O$818, 9, FALSE) * (U23 / VLOOKUP(T23, $E$5:$O$818, 2, FALSE)), "")</f>
        <v>0</v>
      </c>
      <c r="AC23" s="277"/>
      <c r="AE23" s="608" t="s">
        <v>985</v>
      </c>
      <c r="AF23" s="601" t="s">
        <v>986</v>
      </c>
      <c r="AG23" s="601" t="s">
        <v>987</v>
      </c>
      <c r="AH23" s="601" t="s">
        <v>969</v>
      </c>
      <c r="AI23" s="603" t="s">
        <v>979</v>
      </c>
      <c r="AJ23" s="611" t="s">
        <v>988</v>
      </c>
    </row>
    <row r="24" spans="1:36" ht="18">
      <c r="A24" s="145" t="s">
        <v>236</v>
      </c>
      <c r="B24" s="163">
        <f>B9/((B8/100)^2)</f>
        <v>21.106877552698666</v>
      </c>
      <c r="C24" s="240" t="s">
        <v>237</v>
      </c>
      <c r="D24" s="144"/>
      <c r="E24" s="188" t="s">
        <v>813</v>
      </c>
      <c r="F24" s="210">
        <v>1</v>
      </c>
      <c r="G24" s="189" t="s">
        <v>213</v>
      </c>
      <c r="H24" s="188">
        <v>250</v>
      </c>
      <c r="I24" s="145">
        <v>33</v>
      </c>
      <c r="J24" s="188">
        <v>4</v>
      </c>
      <c r="K24" s="188">
        <v>21</v>
      </c>
      <c r="L24" s="644">
        <v>0</v>
      </c>
      <c r="M24" s="665">
        <v>0</v>
      </c>
      <c r="N24" s="241"/>
      <c r="O24" s="241"/>
      <c r="P24" s="144"/>
      <c r="Q24" s="288">
        <v>46038</v>
      </c>
      <c r="R24" s="276">
        <v>0.33333333333333331</v>
      </c>
      <c r="S24" s="277" t="s">
        <v>178</v>
      </c>
      <c r="T24" s="277" t="s">
        <v>295</v>
      </c>
      <c r="U24" s="278">
        <v>1</v>
      </c>
      <c r="V24" s="361" t="str">
        <f t="shared" si="9"/>
        <v>bottle</v>
      </c>
      <c r="W24" s="279">
        <f t="shared" si="10"/>
        <v>200</v>
      </c>
      <c r="X24" s="279">
        <f t="shared" si="11"/>
        <v>35</v>
      </c>
      <c r="Y24" s="279">
        <f t="shared" si="12"/>
        <v>2.5</v>
      </c>
      <c r="Z24" s="279">
        <f t="shared" si="13"/>
        <v>9</v>
      </c>
      <c r="AA24" s="279">
        <f t="shared" si="14"/>
        <v>0</v>
      </c>
      <c r="AB24" s="584">
        <f t="shared" si="15"/>
        <v>0</v>
      </c>
      <c r="AC24" s="277"/>
      <c r="AE24" s="608" t="s">
        <v>989</v>
      </c>
      <c r="AF24" s="601" t="s">
        <v>990</v>
      </c>
      <c r="AG24" s="601" t="s">
        <v>991</v>
      </c>
      <c r="AH24" s="601" t="s">
        <v>992</v>
      </c>
      <c r="AI24" s="609" t="s">
        <v>993</v>
      </c>
      <c r="AJ24" s="611" t="s">
        <v>994</v>
      </c>
    </row>
    <row r="25" spans="1:36">
      <c r="A25" s="145" t="s">
        <v>239</v>
      </c>
      <c r="B25" s="163">
        <f>IF(B10="M", (10*B9)+(6.25*B8)-(5*B7)+5, (10*B9)+(6.25*B8)-(5*B7)-161)</f>
        <v>1828.75</v>
      </c>
      <c r="C25" s="162" t="s">
        <v>226</v>
      </c>
      <c r="D25" s="144"/>
      <c r="E25" s="145" t="s">
        <v>814</v>
      </c>
      <c r="F25" s="146">
        <v>1</v>
      </c>
      <c r="G25" s="147" t="s">
        <v>213</v>
      </c>
      <c r="H25" s="145">
        <v>260</v>
      </c>
      <c r="I25" s="145">
        <v>33</v>
      </c>
      <c r="J25" s="145">
        <v>6</v>
      </c>
      <c r="K25" s="145">
        <v>20</v>
      </c>
      <c r="L25" s="648">
        <v>0</v>
      </c>
      <c r="M25" s="591">
        <v>0</v>
      </c>
      <c r="N25" s="160"/>
      <c r="O25" s="160"/>
      <c r="P25" s="144"/>
      <c r="Q25" s="288">
        <v>46038</v>
      </c>
      <c r="R25" s="276">
        <v>0.33333333333333331</v>
      </c>
      <c r="S25" s="277" t="s">
        <v>178</v>
      </c>
      <c r="T25" s="277" t="s">
        <v>275</v>
      </c>
      <c r="U25" s="278">
        <v>4</v>
      </c>
      <c r="V25" s="361" t="str">
        <f t="shared" si="9"/>
        <v>piece</v>
      </c>
      <c r="W25" s="279">
        <f t="shared" si="10"/>
        <v>360</v>
      </c>
      <c r="X25" s="279">
        <f t="shared" si="11"/>
        <v>2</v>
      </c>
      <c r="Y25" s="279">
        <f t="shared" si="12"/>
        <v>18</v>
      </c>
      <c r="Z25" s="279">
        <f t="shared" si="13"/>
        <v>48</v>
      </c>
      <c r="AA25" s="279">
        <f t="shared" si="14"/>
        <v>4</v>
      </c>
      <c r="AB25" s="584">
        <f t="shared" si="15"/>
        <v>0</v>
      </c>
      <c r="AC25" s="277"/>
      <c r="AE25" s="600" t="s">
        <v>995</v>
      </c>
      <c r="AF25" s="602" t="s">
        <v>996</v>
      </c>
      <c r="AG25" s="602" t="s">
        <v>991</v>
      </c>
      <c r="AH25" s="602" t="s">
        <v>992</v>
      </c>
      <c r="AI25" s="610" t="s">
        <v>993</v>
      </c>
      <c r="AJ25" s="607" t="s">
        <v>997</v>
      </c>
    </row>
    <row r="26" spans="1:36">
      <c r="A26" s="145" t="s">
        <v>242</v>
      </c>
      <c r="B26" s="163">
        <f>B25 * VLOOKUP(B11, A14:B18, 2, FALSE)</f>
        <v>2834.5625</v>
      </c>
      <c r="C26" s="162" t="s">
        <v>226</v>
      </c>
      <c r="D26" s="144"/>
      <c r="E26" s="188" t="s">
        <v>774</v>
      </c>
      <c r="F26" s="210">
        <v>1</v>
      </c>
      <c r="G26" s="189" t="s">
        <v>283</v>
      </c>
      <c r="H26" s="188">
        <v>580</v>
      </c>
      <c r="I26" s="188">
        <v>32</v>
      </c>
      <c r="J26" s="188">
        <v>22</v>
      </c>
      <c r="K26" s="188">
        <v>65</v>
      </c>
      <c r="L26" s="644">
        <v>3</v>
      </c>
      <c r="M26" s="665">
        <v>0</v>
      </c>
      <c r="N26" s="241"/>
      <c r="O26" s="241"/>
      <c r="P26" s="144"/>
      <c r="Q26" s="288">
        <v>46038</v>
      </c>
      <c r="R26" s="276">
        <v>0.45833333333333331</v>
      </c>
      <c r="S26" s="277" t="s">
        <v>289</v>
      </c>
      <c r="T26" s="277" t="s">
        <v>181</v>
      </c>
      <c r="U26" s="278">
        <v>2</v>
      </c>
      <c r="V26" s="361" t="str">
        <f t="shared" si="9"/>
        <v>slice</v>
      </c>
      <c r="W26" s="279">
        <f t="shared" si="10"/>
        <v>140</v>
      </c>
      <c r="X26" s="279">
        <f t="shared" si="11"/>
        <v>5</v>
      </c>
      <c r="Y26" s="279">
        <f t="shared" si="12"/>
        <v>2.5</v>
      </c>
      <c r="Z26" s="279">
        <f t="shared" si="13"/>
        <v>24</v>
      </c>
      <c r="AA26" s="279">
        <f t="shared" si="14"/>
        <v>2</v>
      </c>
      <c r="AB26" s="584">
        <f t="shared" si="15"/>
        <v>0</v>
      </c>
      <c r="AC26" s="277"/>
    </row>
    <row r="27" spans="1:36">
      <c r="A27" s="145" t="s">
        <v>244</v>
      </c>
      <c r="B27" s="163">
        <f>B26 + VLOOKUP(B12, A20:B22, 2, FALSE)</f>
        <v>2834.5625</v>
      </c>
      <c r="C27" s="162" t="s">
        <v>226</v>
      </c>
      <c r="D27" s="144"/>
      <c r="E27" s="234" t="s">
        <v>427</v>
      </c>
      <c r="F27" s="235">
        <v>1</v>
      </c>
      <c r="G27" s="236" t="s">
        <v>361</v>
      </c>
      <c r="H27" s="234">
        <v>720</v>
      </c>
      <c r="I27" s="145">
        <v>32</v>
      </c>
      <c r="J27" s="234">
        <v>30</v>
      </c>
      <c r="K27" s="234">
        <v>78</v>
      </c>
      <c r="L27" s="645">
        <v>5</v>
      </c>
      <c r="M27" s="665">
        <v>120</v>
      </c>
      <c r="P27" s="144"/>
      <c r="Q27" s="288">
        <v>46038</v>
      </c>
      <c r="R27" s="276">
        <v>0.45833333333333331</v>
      </c>
      <c r="S27" s="277" t="s">
        <v>289</v>
      </c>
      <c r="T27" s="277" t="s">
        <v>212</v>
      </c>
      <c r="U27" s="278">
        <v>1</v>
      </c>
      <c r="V27" s="361" t="str">
        <f t="shared" si="9"/>
        <v>bottle</v>
      </c>
      <c r="W27" s="279">
        <f t="shared" si="10"/>
        <v>70</v>
      </c>
      <c r="X27" s="279">
        <f t="shared" si="11"/>
        <v>0</v>
      </c>
      <c r="Y27" s="279">
        <f t="shared" si="12"/>
        <v>0</v>
      </c>
      <c r="Z27" s="279">
        <f t="shared" si="13"/>
        <v>17</v>
      </c>
      <c r="AA27" s="279">
        <f t="shared" si="14"/>
        <v>1</v>
      </c>
      <c r="AB27" s="584">
        <f t="shared" si="15"/>
        <v>0</v>
      </c>
      <c r="AC27" s="277"/>
      <c r="AE27" s="597" t="s">
        <v>998</v>
      </c>
    </row>
    <row r="28" spans="1:36" ht="39.950000000000003" customHeight="1">
      <c r="A28" s="147" t="s">
        <v>246</v>
      </c>
      <c r="B28" s="147" t="s">
        <v>233</v>
      </c>
      <c r="C28" s="147" t="s">
        <v>165</v>
      </c>
      <c r="D28" s="144"/>
      <c r="E28" s="319" t="s">
        <v>621</v>
      </c>
      <c r="F28" s="210">
        <v>150</v>
      </c>
      <c r="G28" s="189" t="s">
        <v>177</v>
      </c>
      <c r="H28" s="188">
        <v>350</v>
      </c>
      <c r="I28" s="188">
        <v>30</v>
      </c>
      <c r="J28" s="188">
        <v>25</v>
      </c>
      <c r="K28" s="188">
        <v>3</v>
      </c>
      <c r="L28" s="644">
        <v>0</v>
      </c>
      <c r="M28" s="665">
        <v>0</v>
      </c>
      <c r="N28" s="241"/>
      <c r="O28" s="241"/>
      <c r="P28" s="144"/>
      <c r="Q28" s="288">
        <v>46038</v>
      </c>
      <c r="R28" s="276">
        <v>0.45833333333333331</v>
      </c>
      <c r="S28" s="277" t="s">
        <v>289</v>
      </c>
      <c r="T28" s="277" t="s">
        <v>369</v>
      </c>
      <c r="U28" s="278">
        <v>1</v>
      </c>
      <c r="V28" s="361" t="str">
        <f t="shared" si="9"/>
        <v>lozenge</v>
      </c>
      <c r="W28" s="279">
        <f t="shared" si="10"/>
        <v>10</v>
      </c>
      <c r="X28" s="279">
        <f t="shared" si="11"/>
        <v>0</v>
      </c>
      <c r="Y28" s="279">
        <f t="shared" si="12"/>
        <v>0</v>
      </c>
      <c r="Z28" s="279">
        <f t="shared" si="13"/>
        <v>3</v>
      </c>
      <c r="AA28" s="279">
        <f t="shared" si="14"/>
        <v>0</v>
      </c>
      <c r="AB28" s="584">
        <f t="shared" si="15"/>
        <v>0</v>
      </c>
      <c r="AC28" s="277"/>
      <c r="AE28" s="608">
        <v>1</v>
      </c>
      <c r="AF28" s="721" t="s">
        <v>999</v>
      </c>
      <c r="AG28" s="722"/>
      <c r="AH28" s="722"/>
      <c r="AI28" s="722"/>
      <c r="AJ28" s="722"/>
    </row>
    <row r="29" spans="1:36" ht="39.950000000000003" customHeight="1">
      <c r="A29" s="145" t="s">
        <v>248</v>
      </c>
      <c r="B29" s="163">
        <f>B9 * 2</f>
        <v>154</v>
      </c>
      <c r="C29" s="162" t="s">
        <v>177</v>
      </c>
      <c r="D29" s="144"/>
      <c r="E29" s="145" t="s">
        <v>207</v>
      </c>
      <c r="F29" s="146">
        <v>1</v>
      </c>
      <c r="G29" s="147" t="s">
        <v>208</v>
      </c>
      <c r="H29" s="145">
        <v>140</v>
      </c>
      <c r="I29" s="145">
        <v>30</v>
      </c>
      <c r="J29" s="145">
        <v>2</v>
      </c>
      <c r="K29" s="145">
        <v>4</v>
      </c>
      <c r="L29" s="648">
        <v>0</v>
      </c>
      <c r="M29" s="591">
        <v>0</v>
      </c>
      <c r="N29" s="160"/>
      <c r="O29" s="160"/>
      <c r="P29" s="144"/>
      <c r="Q29" s="288">
        <v>46038</v>
      </c>
      <c r="R29" s="276">
        <v>0.5</v>
      </c>
      <c r="S29" s="277" t="s">
        <v>185</v>
      </c>
      <c r="T29" s="277" t="s">
        <v>427</v>
      </c>
      <c r="U29" s="278">
        <v>1</v>
      </c>
      <c r="V29" s="361" t="str">
        <f t="shared" si="9"/>
        <v>box</v>
      </c>
      <c r="W29" s="279">
        <f t="shared" si="10"/>
        <v>720</v>
      </c>
      <c r="X29" s="279">
        <f t="shared" si="11"/>
        <v>32</v>
      </c>
      <c r="Y29" s="279">
        <f t="shared" si="12"/>
        <v>30</v>
      </c>
      <c r="Z29" s="279">
        <f t="shared" si="13"/>
        <v>78</v>
      </c>
      <c r="AA29" s="279">
        <f t="shared" si="14"/>
        <v>5</v>
      </c>
      <c r="AB29" s="584">
        <f t="shared" si="15"/>
        <v>120</v>
      </c>
      <c r="AC29" s="277"/>
      <c r="AE29" s="608">
        <v>2</v>
      </c>
      <c r="AF29" s="721" t="s">
        <v>1000</v>
      </c>
      <c r="AG29" s="722"/>
      <c r="AH29" s="722"/>
      <c r="AI29" s="722"/>
      <c r="AJ29" s="722"/>
    </row>
    <row r="30" spans="1:36" ht="39.950000000000003" customHeight="1">
      <c r="A30" s="145" t="s">
        <v>250</v>
      </c>
      <c r="B30" s="163">
        <f>B9 * 0.83</f>
        <v>63.91</v>
      </c>
      <c r="C30" s="162" t="s">
        <v>177</v>
      </c>
      <c r="D30" s="144"/>
      <c r="E30" s="145" t="s">
        <v>216</v>
      </c>
      <c r="F30" s="146">
        <v>1</v>
      </c>
      <c r="G30" s="147" t="s">
        <v>213</v>
      </c>
      <c r="H30" s="145">
        <v>180</v>
      </c>
      <c r="I30" s="145">
        <v>30</v>
      </c>
      <c r="J30" s="145">
        <v>1</v>
      </c>
      <c r="K30" s="145">
        <v>14</v>
      </c>
      <c r="L30" s="648">
        <v>0</v>
      </c>
      <c r="M30" s="591">
        <v>0</v>
      </c>
      <c r="N30" s="160"/>
      <c r="O30" s="160"/>
      <c r="P30" s="144"/>
      <c r="Q30" s="288">
        <v>46038</v>
      </c>
      <c r="R30" s="276">
        <v>0.54166666666666663</v>
      </c>
      <c r="S30" s="277" t="s">
        <v>289</v>
      </c>
      <c r="T30" s="277" t="s">
        <v>275</v>
      </c>
      <c r="U30" s="278">
        <v>1</v>
      </c>
      <c r="V30" s="361" t="str">
        <f t="shared" si="9"/>
        <v>piece</v>
      </c>
      <c r="W30" s="279">
        <f t="shared" si="10"/>
        <v>90</v>
      </c>
      <c r="X30" s="279">
        <f t="shared" si="11"/>
        <v>0.5</v>
      </c>
      <c r="Y30" s="279">
        <f t="shared" si="12"/>
        <v>4.5</v>
      </c>
      <c r="Z30" s="279">
        <f t="shared" si="13"/>
        <v>12</v>
      </c>
      <c r="AA30" s="279">
        <f t="shared" si="14"/>
        <v>1</v>
      </c>
      <c r="AB30" s="584">
        <f t="shared" si="15"/>
        <v>0</v>
      </c>
      <c r="AC30" s="277"/>
      <c r="AE30" s="608">
        <v>3</v>
      </c>
      <c r="AF30" s="721" t="s">
        <v>1001</v>
      </c>
      <c r="AG30" s="722"/>
      <c r="AH30" s="722"/>
      <c r="AI30" s="722"/>
      <c r="AJ30" s="722"/>
    </row>
    <row r="31" spans="1:36" ht="39.950000000000003" customHeight="1">
      <c r="A31" s="145" t="s">
        <v>252</v>
      </c>
      <c r="B31" s="163">
        <f>(B27 - (B29*4 + B30*9))/4</f>
        <v>410.84312499999999</v>
      </c>
      <c r="C31" s="162" t="s">
        <v>177</v>
      </c>
      <c r="D31" s="144"/>
      <c r="E31" s="145" t="s">
        <v>234</v>
      </c>
      <c r="F31" s="146">
        <v>1</v>
      </c>
      <c r="G31" s="147" t="s">
        <v>235</v>
      </c>
      <c r="H31" s="145">
        <v>260</v>
      </c>
      <c r="I31" s="145">
        <v>30</v>
      </c>
      <c r="J31" s="145">
        <v>16</v>
      </c>
      <c r="K31" s="145">
        <v>2</v>
      </c>
      <c r="L31" s="648">
        <v>0</v>
      </c>
      <c r="M31" s="591">
        <v>1300</v>
      </c>
      <c r="N31" s="160"/>
      <c r="O31" s="160"/>
      <c r="P31" s="144"/>
      <c r="Q31" s="288">
        <v>46038</v>
      </c>
      <c r="R31" s="276">
        <v>0.54166666666666663</v>
      </c>
      <c r="S31" s="277" t="s">
        <v>289</v>
      </c>
      <c r="T31" s="277" t="s">
        <v>214</v>
      </c>
      <c r="U31" s="278">
        <v>1</v>
      </c>
      <c r="V31" s="361" t="str">
        <f t="shared" si="9"/>
        <v>bar</v>
      </c>
      <c r="W31" s="279">
        <f t="shared" si="10"/>
        <v>67</v>
      </c>
      <c r="X31" s="279">
        <f t="shared" si="11"/>
        <v>1</v>
      </c>
      <c r="Y31" s="279">
        <f t="shared" si="12"/>
        <v>3.5</v>
      </c>
      <c r="Z31" s="279">
        <f t="shared" si="13"/>
        <v>22</v>
      </c>
      <c r="AA31" s="279">
        <f t="shared" si="14"/>
        <v>0.3</v>
      </c>
      <c r="AB31" s="584">
        <f t="shared" si="15"/>
        <v>0</v>
      </c>
      <c r="AC31" s="277"/>
      <c r="AE31" s="608">
        <v>4</v>
      </c>
      <c r="AF31" s="721" t="s">
        <v>1002</v>
      </c>
      <c r="AG31" s="722"/>
      <c r="AH31" s="722"/>
      <c r="AI31" s="722"/>
      <c r="AJ31" s="722"/>
    </row>
    <row r="32" spans="1:36" ht="39.950000000000003" customHeight="1">
      <c r="A32" s="145" t="s">
        <v>254</v>
      </c>
      <c r="B32" s="163">
        <f>(B27 / 1000) * 14</f>
        <v>39.683875</v>
      </c>
      <c r="C32" s="162" t="s">
        <v>177</v>
      </c>
      <c r="D32" s="144"/>
      <c r="E32" s="515" t="s">
        <v>315</v>
      </c>
      <c r="F32" s="515">
        <v>1</v>
      </c>
      <c r="G32" s="532" t="s">
        <v>288</v>
      </c>
      <c r="H32" s="515">
        <v>520</v>
      </c>
      <c r="I32" s="145">
        <v>30</v>
      </c>
      <c r="J32" s="515">
        <v>26</v>
      </c>
      <c r="K32" s="515">
        <v>42</v>
      </c>
      <c r="L32" s="649">
        <v>2</v>
      </c>
      <c r="M32" s="668">
        <v>0</v>
      </c>
      <c r="N32" s="308"/>
      <c r="O32" s="308"/>
      <c r="P32" s="144"/>
      <c r="Q32" s="288">
        <v>46038</v>
      </c>
      <c r="R32" s="276">
        <v>0.625</v>
      </c>
      <c r="S32" s="277" t="s">
        <v>289</v>
      </c>
      <c r="T32" s="277" t="s">
        <v>190</v>
      </c>
      <c r="U32" s="278">
        <v>2</v>
      </c>
      <c r="V32" s="361" t="str">
        <f t="shared" si="9"/>
        <v>medium</v>
      </c>
      <c r="W32" s="279">
        <f t="shared" si="10"/>
        <v>124</v>
      </c>
      <c r="X32" s="279">
        <f t="shared" si="11"/>
        <v>2.4</v>
      </c>
      <c r="Y32" s="279">
        <f t="shared" si="12"/>
        <v>0.4</v>
      </c>
      <c r="Z32" s="279">
        <f t="shared" si="13"/>
        <v>30.8</v>
      </c>
      <c r="AA32" s="279">
        <f t="shared" si="14"/>
        <v>6.2</v>
      </c>
      <c r="AB32" s="584">
        <f t="shared" si="15"/>
        <v>0</v>
      </c>
      <c r="AC32" s="277"/>
      <c r="AE32" s="600">
        <v>5</v>
      </c>
      <c r="AF32" s="721" t="s">
        <v>1003</v>
      </c>
      <c r="AG32" s="722"/>
      <c r="AH32" s="722"/>
      <c r="AI32" s="722"/>
      <c r="AJ32" s="722"/>
    </row>
    <row r="33" spans="1:36">
      <c r="A33" s="147" t="s">
        <v>256</v>
      </c>
      <c r="B33" s="147" t="s">
        <v>257</v>
      </c>
      <c r="C33" s="147" t="s">
        <v>165</v>
      </c>
      <c r="D33" s="144"/>
      <c r="E33" s="319" t="s">
        <v>441</v>
      </c>
      <c r="F33" s="323">
        <v>1</v>
      </c>
      <c r="G33" s="316" t="s">
        <v>283</v>
      </c>
      <c r="H33" s="319">
        <v>550</v>
      </c>
      <c r="I33" s="319">
        <v>30</v>
      </c>
      <c r="J33" s="319">
        <v>20</v>
      </c>
      <c r="K33" s="319">
        <v>60</v>
      </c>
      <c r="L33" s="643">
        <v>3</v>
      </c>
      <c r="M33" s="665">
        <v>0</v>
      </c>
      <c r="N33" s="299"/>
      <c r="O33" s="299"/>
      <c r="P33" s="144"/>
      <c r="Q33" s="288">
        <v>46038</v>
      </c>
      <c r="R33" s="276">
        <v>0.83333333333333337</v>
      </c>
      <c r="S33" s="277" t="s">
        <v>199</v>
      </c>
      <c r="T33" s="277" t="s">
        <v>189</v>
      </c>
      <c r="U33" s="278">
        <v>188</v>
      </c>
      <c r="V33" s="361" t="str">
        <f t="shared" si="9"/>
        <v>g</v>
      </c>
      <c r="W33" s="279">
        <f t="shared" si="10"/>
        <v>65.8</v>
      </c>
      <c r="X33" s="279">
        <f t="shared" si="11"/>
        <v>4.6999999999999993</v>
      </c>
      <c r="Y33" s="279">
        <f t="shared" si="12"/>
        <v>0.752</v>
      </c>
      <c r="Z33" s="279">
        <f t="shared" si="13"/>
        <v>13.16</v>
      </c>
      <c r="AA33" s="279">
        <f t="shared" si="14"/>
        <v>4.8879999999999999</v>
      </c>
      <c r="AB33" s="584">
        <f t="shared" si="15"/>
        <v>0</v>
      </c>
      <c r="AC33" s="277"/>
    </row>
    <row r="34" spans="1:36">
      <c r="A34" s="145" t="s">
        <v>260</v>
      </c>
      <c r="B34" s="164">
        <f>B29 * 4</f>
        <v>616</v>
      </c>
      <c r="C34" s="162" t="s">
        <v>226</v>
      </c>
      <c r="D34" s="144"/>
      <c r="E34" s="319" t="s">
        <v>752</v>
      </c>
      <c r="F34" s="210">
        <v>1</v>
      </c>
      <c r="G34" s="189" t="s">
        <v>283</v>
      </c>
      <c r="H34" s="188">
        <v>520</v>
      </c>
      <c r="I34" s="188">
        <v>28</v>
      </c>
      <c r="J34" s="188">
        <v>12</v>
      </c>
      <c r="K34" s="188">
        <v>75</v>
      </c>
      <c r="L34" s="644">
        <v>2</v>
      </c>
      <c r="M34" s="665">
        <v>0</v>
      </c>
      <c r="N34" s="241"/>
      <c r="O34" s="241"/>
      <c r="P34" s="144"/>
      <c r="Q34" s="288">
        <v>46038</v>
      </c>
      <c r="R34" s="276">
        <v>0.83333333333333337</v>
      </c>
      <c r="S34" s="277" t="s">
        <v>199</v>
      </c>
      <c r="T34" s="277" t="s">
        <v>176</v>
      </c>
      <c r="U34" s="278">
        <v>193</v>
      </c>
      <c r="V34" s="361" t="str">
        <f t="shared" si="9"/>
        <v>g</v>
      </c>
      <c r="W34" s="279">
        <f t="shared" si="10"/>
        <v>318.45</v>
      </c>
      <c r="X34" s="279">
        <f t="shared" si="11"/>
        <v>48.25</v>
      </c>
      <c r="Y34" s="279">
        <f t="shared" si="12"/>
        <v>6.9479999999999995</v>
      </c>
      <c r="Z34" s="279">
        <f t="shared" si="13"/>
        <v>0</v>
      </c>
      <c r="AA34" s="279">
        <f t="shared" si="14"/>
        <v>0</v>
      </c>
      <c r="AB34" s="584">
        <f t="shared" si="15"/>
        <v>0</v>
      </c>
      <c r="AC34" s="277"/>
      <c r="AE34" s="597" t="s">
        <v>1004</v>
      </c>
    </row>
    <row r="35" spans="1:36" ht="39.950000000000003" customHeight="1">
      <c r="A35" s="145" t="s">
        <v>263</v>
      </c>
      <c r="B35" s="164">
        <f>B30 * 9</f>
        <v>575.18999999999994</v>
      </c>
      <c r="C35" s="162" t="s">
        <v>226</v>
      </c>
      <c r="D35" s="144"/>
      <c r="E35" s="188" t="s">
        <v>790</v>
      </c>
      <c r="F35" s="210">
        <v>150</v>
      </c>
      <c r="G35" s="189" t="s">
        <v>177</v>
      </c>
      <c r="H35" s="188">
        <v>220</v>
      </c>
      <c r="I35" s="188">
        <v>28</v>
      </c>
      <c r="J35" s="188">
        <v>10</v>
      </c>
      <c r="K35" s="188">
        <v>6</v>
      </c>
      <c r="L35" s="644">
        <v>2</v>
      </c>
      <c r="M35" s="665">
        <v>0</v>
      </c>
      <c r="N35" s="241"/>
      <c r="O35" s="241"/>
      <c r="P35" s="144"/>
      <c r="Q35" s="288">
        <v>46038</v>
      </c>
      <c r="R35" s="276">
        <v>0.83333333333333337</v>
      </c>
      <c r="S35" s="277" t="s">
        <v>199</v>
      </c>
      <c r="T35" s="277" t="s">
        <v>374</v>
      </c>
      <c r="U35" s="278">
        <v>2</v>
      </c>
      <c r="V35" s="361" t="str">
        <f t="shared" si="9"/>
        <v>egg</v>
      </c>
      <c r="W35" s="279">
        <f t="shared" si="10"/>
        <v>160</v>
      </c>
      <c r="X35" s="279">
        <f t="shared" si="11"/>
        <v>14</v>
      </c>
      <c r="Y35" s="279">
        <f t="shared" si="12"/>
        <v>12</v>
      </c>
      <c r="Z35" s="279">
        <f t="shared" si="13"/>
        <v>0</v>
      </c>
      <c r="AA35" s="279">
        <f t="shared" si="14"/>
        <v>0</v>
      </c>
      <c r="AB35" s="584">
        <f t="shared" si="15"/>
        <v>80</v>
      </c>
      <c r="AC35" s="277"/>
      <c r="AE35" s="601" t="s">
        <v>1005</v>
      </c>
      <c r="AF35" s="721" t="s">
        <v>1006</v>
      </c>
      <c r="AG35" s="722"/>
      <c r="AH35" s="722"/>
      <c r="AI35" s="722"/>
      <c r="AJ35" s="722"/>
    </row>
    <row r="36" spans="1:36" ht="39.950000000000003" customHeight="1">
      <c r="A36" s="145" t="s">
        <v>265</v>
      </c>
      <c r="B36" s="164">
        <f>B31 * 4</f>
        <v>1643.3724999999999</v>
      </c>
      <c r="C36" s="162" t="s">
        <v>226</v>
      </c>
      <c r="D36" s="144"/>
      <c r="E36" s="188" t="s">
        <v>801</v>
      </c>
      <c r="F36" s="210">
        <v>1</v>
      </c>
      <c r="G36" s="189" t="s">
        <v>283</v>
      </c>
      <c r="H36" s="188">
        <v>650</v>
      </c>
      <c r="I36" s="188">
        <v>28</v>
      </c>
      <c r="J36" s="188">
        <v>38</v>
      </c>
      <c r="K36" s="188">
        <v>58</v>
      </c>
      <c r="L36" s="644">
        <v>3</v>
      </c>
      <c r="M36" s="665">
        <v>0</v>
      </c>
      <c r="N36" s="241"/>
      <c r="O36" s="241"/>
      <c r="P36" s="144"/>
      <c r="Q36" s="288">
        <v>46038</v>
      </c>
      <c r="R36" s="276">
        <v>0.83333333333333337</v>
      </c>
      <c r="S36" s="277" t="s">
        <v>199</v>
      </c>
      <c r="T36" s="277" t="s">
        <v>753</v>
      </c>
      <c r="U36" s="278">
        <v>218</v>
      </c>
      <c r="V36" s="361" t="str">
        <f t="shared" si="9"/>
        <v>g</v>
      </c>
      <c r="W36" s="279">
        <f t="shared" si="10"/>
        <v>283.40000000000003</v>
      </c>
      <c r="X36" s="279">
        <f t="shared" si="11"/>
        <v>2.1800000000000002</v>
      </c>
      <c r="Y36" s="279">
        <f t="shared" si="12"/>
        <v>0</v>
      </c>
      <c r="Z36" s="279">
        <f t="shared" si="13"/>
        <v>67.58</v>
      </c>
      <c r="AA36" s="279">
        <f t="shared" si="14"/>
        <v>6.5400000000000009</v>
      </c>
      <c r="AB36" s="584">
        <f t="shared" si="15"/>
        <v>0</v>
      </c>
      <c r="AC36" s="277"/>
      <c r="AE36" s="601" t="s">
        <v>1007</v>
      </c>
      <c r="AF36" s="721" t="s">
        <v>1008</v>
      </c>
      <c r="AG36" s="722"/>
      <c r="AH36" s="722"/>
      <c r="AI36" s="722"/>
      <c r="AJ36" s="722"/>
    </row>
    <row r="37" spans="1:36" ht="39.950000000000003" customHeight="1">
      <c r="A37" s="211" t="s">
        <v>55</v>
      </c>
      <c r="B37" s="676">
        <f>SUM(B34:B36)</f>
        <v>2834.5625</v>
      </c>
      <c r="C37" s="677" t="s">
        <v>226</v>
      </c>
      <c r="D37" s="144"/>
      <c r="E37" s="319" t="s">
        <v>450</v>
      </c>
      <c r="F37" s="323">
        <v>1</v>
      </c>
      <c r="G37" s="316" t="s">
        <v>451</v>
      </c>
      <c r="H37" s="319">
        <v>680</v>
      </c>
      <c r="I37" s="319">
        <v>28</v>
      </c>
      <c r="J37" s="319">
        <v>38</v>
      </c>
      <c r="K37" s="319">
        <v>55</v>
      </c>
      <c r="L37" s="643">
        <v>3</v>
      </c>
      <c r="M37" s="665">
        <v>0</v>
      </c>
      <c r="N37" s="299"/>
      <c r="O37" s="299"/>
      <c r="P37" s="144"/>
      <c r="Q37" s="288">
        <v>46038</v>
      </c>
      <c r="R37" s="276">
        <v>0.875</v>
      </c>
      <c r="S37" s="277" t="s">
        <v>289</v>
      </c>
      <c r="T37" s="277" t="s">
        <v>181</v>
      </c>
      <c r="U37" s="278">
        <v>2</v>
      </c>
      <c r="V37" s="361" t="str">
        <f t="shared" si="9"/>
        <v>slice</v>
      </c>
      <c r="W37" s="279">
        <f t="shared" si="10"/>
        <v>140</v>
      </c>
      <c r="X37" s="279">
        <f t="shared" si="11"/>
        <v>5</v>
      </c>
      <c r="Y37" s="279">
        <f t="shared" si="12"/>
        <v>2.5</v>
      </c>
      <c r="Z37" s="279">
        <f t="shared" si="13"/>
        <v>24</v>
      </c>
      <c r="AA37" s="279">
        <f t="shared" si="14"/>
        <v>2</v>
      </c>
      <c r="AB37" s="584">
        <f t="shared" si="15"/>
        <v>0</v>
      </c>
      <c r="AC37" s="277"/>
      <c r="AE37" s="601" t="s">
        <v>1009</v>
      </c>
      <c r="AF37" s="721" t="s">
        <v>1010</v>
      </c>
      <c r="AG37" s="722"/>
      <c r="AH37" s="722"/>
      <c r="AI37" s="722"/>
      <c r="AJ37" s="722"/>
    </row>
    <row r="38" spans="1:36" ht="39.950000000000003" customHeight="1">
      <c r="A38" s="678" t="s">
        <v>1097</v>
      </c>
      <c r="B38" s="675" t="s">
        <v>644</v>
      </c>
      <c r="C38" s="681" t="s">
        <v>165</v>
      </c>
      <c r="D38" s="144"/>
      <c r="E38" s="188" t="s">
        <v>347</v>
      </c>
      <c r="F38" s="210">
        <v>1</v>
      </c>
      <c r="G38" s="189" t="s">
        <v>213</v>
      </c>
      <c r="H38" s="188">
        <v>170</v>
      </c>
      <c r="I38" s="145">
        <v>27</v>
      </c>
      <c r="J38" s="188">
        <v>3</v>
      </c>
      <c r="K38" s="188">
        <v>9</v>
      </c>
      <c r="L38" s="644">
        <v>0</v>
      </c>
      <c r="M38" s="665">
        <v>0</v>
      </c>
      <c r="N38" s="241"/>
      <c r="O38" s="241"/>
      <c r="P38" s="144"/>
      <c r="Q38" s="288">
        <v>46038</v>
      </c>
      <c r="R38" s="276">
        <v>0.875</v>
      </c>
      <c r="S38" s="277" t="s">
        <v>289</v>
      </c>
      <c r="T38" s="277" t="s">
        <v>214</v>
      </c>
      <c r="U38" s="278">
        <v>1</v>
      </c>
      <c r="V38" s="361" t="str">
        <f t="shared" si="9"/>
        <v>bar</v>
      </c>
      <c r="W38" s="279">
        <f t="shared" si="10"/>
        <v>67</v>
      </c>
      <c r="X38" s="279">
        <f t="shared" si="11"/>
        <v>1</v>
      </c>
      <c r="Y38" s="279">
        <f t="shared" si="12"/>
        <v>3.5</v>
      </c>
      <c r="Z38" s="279">
        <f t="shared" si="13"/>
        <v>22</v>
      </c>
      <c r="AA38" s="279">
        <f t="shared" si="14"/>
        <v>0.3</v>
      </c>
      <c r="AB38" s="584">
        <f t="shared" si="15"/>
        <v>0</v>
      </c>
      <c r="AC38" s="277"/>
      <c r="AE38" s="601" t="s">
        <v>1011</v>
      </c>
      <c r="AF38" s="721" t="s">
        <v>1012</v>
      </c>
      <c r="AG38" s="722"/>
      <c r="AH38" s="722"/>
      <c r="AI38" s="722"/>
      <c r="AJ38" s="722"/>
    </row>
    <row r="39" spans="1:36" ht="39.950000000000003" customHeight="1">
      <c r="A39" s="679" t="s">
        <v>1098</v>
      </c>
      <c r="B39" s="680">
        <v>500</v>
      </c>
      <c r="C39" s="682" t="s">
        <v>1099</v>
      </c>
      <c r="D39" s="144"/>
      <c r="E39" s="188" t="s">
        <v>816</v>
      </c>
      <c r="F39" s="210">
        <v>100</v>
      </c>
      <c r="G39" s="189" t="s">
        <v>177</v>
      </c>
      <c r="H39" s="188">
        <v>217</v>
      </c>
      <c r="I39" s="188">
        <v>26</v>
      </c>
      <c r="J39" s="188">
        <v>12</v>
      </c>
      <c r="K39" s="188">
        <v>0</v>
      </c>
      <c r="L39" s="644">
        <v>0</v>
      </c>
      <c r="M39" s="665">
        <v>0</v>
      </c>
      <c r="N39" s="241"/>
      <c r="O39" s="241"/>
      <c r="P39" s="144"/>
      <c r="Q39" s="288">
        <v>46038</v>
      </c>
      <c r="R39" s="276">
        <v>0.875</v>
      </c>
      <c r="S39" s="277" t="s">
        <v>289</v>
      </c>
      <c r="T39" s="277" t="s">
        <v>209</v>
      </c>
      <c r="U39" s="278">
        <v>1</v>
      </c>
      <c r="V39" s="361" t="str">
        <f t="shared" si="9"/>
        <v>tbsp</v>
      </c>
      <c r="W39" s="279">
        <f t="shared" si="10"/>
        <v>20</v>
      </c>
      <c r="X39" s="279">
        <f t="shared" si="11"/>
        <v>0</v>
      </c>
      <c r="Y39" s="279">
        <f t="shared" si="12"/>
        <v>0</v>
      </c>
      <c r="Z39" s="279">
        <f t="shared" si="13"/>
        <v>5</v>
      </c>
      <c r="AA39" s="279">
        <f t="shared" si="14"/>
        <v>4.5</v>
      </c>
      <c r="AB39" s="684">
        <f t="shared" si="15"/>
        <v>0</v>
      </c>
      <c r="AC39" s="277"/>
      <c r="AE39" s="602" t="s">
        <v>1013</v>
      </c>
      <c r="AF39" s="721" t="s">
        <v>1014</v>
      </c>
      <c r="AG39" s="722"/>
      <c r="AH39" s="722"/>
      <c r="AI39" s="722"/>
      <c r="AJ39" s="722"/>
    </row>
    <row r="40" spans="1:36" ht="16.5" customHeight="1">
      <c r="A40" s="289"/>
      <c r="B40" s="289"/>
      <c r="C40" s="289"/>
      <c r="D40" s="144"/>
      <c r="E40" s="194" t="s">
        <v>471</v>
      </c>
      <c r="F40" s="216">
        <v>100</v>
      </c>
      <c r="G40" s="195" t="s">
        <v>177</v>
      </c>
      <c r="H40" s="194">
        <v>250</v>
      </c>
      <c r="I40" s="188">
        <v>26</v>
      </c>
      <c r="J40" s="194">
        <v>17</v>
      </c>
      <c r="K40" s="194">
        <v>0</v>
      </c>
      <c r="L40" s="650">
        <v>0</v>
      </c>
      <c r="M40" s="665">
        <v>0</v>
      </c>
      <c r="N40" s="241"/>
      <c r="O40" s="241"/>
      <c r="P40" s="144"/>
      <c r="Q40" s="280"/>
      <c r="R40" s="281" t="s">
        <v>217</v>
      </c>
      <c r="S40" s="294"/>
      <c r="T40" s="282"/>
      <c r="U40" s="282"/>
      <c r="V40" s="364"/>
      <c r="W40" s="283">
        <f t="shared" ref="W40:AB40" si="16">SUM(W23:W39)</f>
        <v>2985.65</v>
      </c>
      <c r="X40" s="283">
        <f t="shared" si="16"/>
        <v>155.03000000000003</v>
      </c>
      <c r="Y40" s="283">
        <f t="shared" si="16"/>
        <v>87.1</v>
      </c>
      <c r="Z40" s="283">
        <f t="shared" si="16"/>
        <v>410.54</v>
      </c>
      <c r="AA40" s="683">
        <f t="shared" si="16"/>
        <v>42.727999999999994</v>
      </c>
      <c r="AB40" s="691">
        <f t="shared" si="16"/>
        <v>200</v>
      </c>
      <c r="AC40" s="281"/>
    </row>
    <row r="41" spans="1:36">
      <c r="A41" s="160"/>
      <c r="B41" s="290"/>
      <c r="C41" s="160"/>
      <c r="D41" s="144"/>
      <c r="E41" s="145" t="s">
        <v>194</v>
      </c>
      <c r="F41" s="146">
        <v>1</v>
      </c>
      <c r="G41" s="147" t="s">
        <v>195</v>
      </c>
      <c r="H41" s="145">
        <v>126</v>
      </c>
      <c r="I41" s="145">
        <v>26</v>
      </c>
      <c r="J41" s="145">
        <v>0.4</v>
      </c>
      <c r="K41" s="145">
        <v>1.8</v>
      </c>
      <c r="L41" s="648">
        <v>0</v>
      </c>
      <c r="M41" s="591">
        <v>0</v>
      </c>
      <c r="N41" s="637"/>
      <c r="O41" s="637"/>
      <c r="P41" s="287"/>
      <c r="Q41" s="280"/>
      <c r="R41" s="281" t="s">
        <v>220</v>
      </c>
      <c r="S41" s="294"/>
      <c r="T41" s="282"/>
      <c r="U41" s="282"/>
      <c r="V41" s="364"/>
      <c r="W41" s="284">
        <f>$B$27</f>
        <v>2834.5625</v>
      </c>
      <c r="X41" s="284">
        <f>$B$29</f>
        <v>154</v>
      </c>
      <c r="Y41" s="284">
        <f>$B$30</f>
        <v>63.91</v>
      </c>
      <c r="Z41" s="284">
        <f>$B$31</f>
        <v>410.84312499999999</v>
      </c>
      <c r="AA41" s="690">
        <f>$B$32</f>
        <v>39.683875</v>
      </c>
      <c r="AB41" s="695">
        <f>$B$39</f>
        <v>500</v>
      </c>
      <c r="AC41" s="281"/>
      <c r="AE41" s="597" t="s">
        <v>1015</v>
      </c>
    </row>
    <row r="42" spans="1:36" ht="39.950000000000003" customHeight="1">
      <c r="A42" s="160"/>
      <c r="B42" s="160"/>
      <c r="C42" s="160"/>
      <c r="D42" s="144"/>
      <c r="E42" s="188" t="s">
        <v>812</v>
      </c>
      <c r="F42" s="210">
        <v>1</v>
      </c>
      <c r="G42" s="189" t="s">
        <v>314</v>
      </c>
      <c r="H42" s="188">
        <v>430</v>
      </c>
      <c r="I42" s="188">
        <v>26</v>
      </c>
      <c r="J42" s="188">
        <v>20</v>
      </c>
      <c r="K42" s="188">
        <v>34</v>
      </c>
      <c r="L42" s="644">
        <v>4</v>
      </c>
      <c r="M42" s="665">
        <v>0</v>
      </c>
      <c r="N42" s="241"/>
      <c r="O42" s="241"/>
      <c r="P42" s="144"/>
      <c r="Q42" s="280"/>
      <c r="R42" s="281" t="s">
        <v>222</v>
      </c>
      <c r="S42" s="294"/>
      <c r="T42" s="441"/>
      <c r="U42" s="282"/>
      <c r="V42" s="364"/>
      <c r="W42" s="284">
        <f t="shared" ref="W42:AB42" si="17">W40-W41</f>
        <v>151.08750000000009</v>
      </c>
      <c r="X42" s="284">
        <f t="shared" si="17"/>
        <v>1.0300000000000296</v>
      </c>
      <c r="Y42" s="284">
        <f t="shared" si="17"/>
        <v>23.189999999999998</v>
      </c>
      <c r="Z42" s="284">
        <f t="shared" si="17"/>
        <v>-0.30312499999996589</v>
      </c>
      <c r="AA42" s="690">
        <f t="shared" si="17"/>
        <v>3.044124999999994</v>
      </c>
      <c r="AB42" s="689">
        <f t="shared" si="17"/>
        <v>-300</v>
      </c>
      <c r="AC42" s="281"/>
      <c r="AE42" s="605"/>
      <c r="AF42" s="721" t="s">
        <v>1016</v>
      </c>
      <c r="AG42" s="722"/>
      <c r="AH42" s="722"/>
      <c r="AI42" s="722"/>
      <c r="AJ42" s="722"/>
    </row>
    <row r="43" spans="1:36" ht="39.950000000000003" customHeight="1">
      <c r="A43" s="160"/>
      <c r="B43" s="160"/>
      <c r="C43" s="160"/>
      <c r="D43" s="144"/>
      <c r="E43" s="188" t="s">
        <v>477</v>
      </c>
      <c r="F43" s="210">
        <v>100</v>
      </c>
      <c r="G43" s="189" t="s">
        <v>177</v>
      </c>
      <c r="H43" s="188">
        <v>567</v>
      </c>
      <c r="I43" s="188">
        <v>26</v>
      </c>
      <c r="J43" s="188">
        <v>49</v>
      </c>
      <c r="K43" s="188">
        <v>16</v>
      </c>
      <c r="L43" s="644">
        <v>8</v>
      </c>
      <c r="M43" s="665">
        <v>0</v>
      </c>
      <c r="N43" s="241"/>
      <c r="O43" s="241"/>
      <c r="P43" s="144"/>
      <c r="Q43" s="288">
        <v>46039</v>
      </c>
      <c r="R43" s="276">
        <v>0.45833333333333331</v>
      </c>
      <c r="S43" s="277" t="s">
        <v>178</v>
      </c>
      <c r="T43" s="277" t="s">
        <v>753</v>
      </c>
      <c r="U43" s="278">
        <v>156</v>
      </c>
      <c r="V43" s="361" t="str">
        <f t="shared" ref="V43:V58" si="18">IFERROR(VLOOKUP(T43, $E$5:$L$818, 3, FALSE), "")</f>
        <v>g</v>
      </c>
      <c r="W43" s="279">
        <f t="shared" ref="W43:W58" si="19">IFERROR(VLOOKUP(T43, $E$5:$L$818, 4, FALSE) * (U43 / VLOOKUP(T43, $E$5:$L$818, 2, FALSE)), "")</f>
        <v>202.8</v>
      </c>
      <c r="X43" s="279">
        <f t="shared" ref="X43:X58" si="20">IFERROR(VLOOKUP(T43, $E$5:$L$818, 5, FALSE) * (U43 / VLOOKUP(T43, $E$5:$L$818, 2, FALSE)), "")</f>
        <v>1.56</v>
      </c>
      <c r="Y43" s="279">
        <f t="shared" ref="Y43:Y58" si="21">IFERROR(VLOOKUP(T43, $E$5:$L$818, 6, FALSE) * (U43 / VLOOKUP(T43, $E$5:$L$818, 2, FALSE)), "")</f>
        <v>0</v>
      </c>
      <c r="Z43" s="279">
        <f t="shared" ref="Z43:Z58" si="22">IFERROR(VLOOKUP(T43, $E$5:$L$818, 7, FALSE) * (U43 / VLOOKUP(T43, $E$5:$L$818, 2, FALSE)), "")</f>
        <v>48.36</v>
      </c>
      <c r="AA43" s="279">
        <f t="shared" ref="AA43:AA58" si="23">IFERROR(VLOOKUP(T43, $E$5:$L$818, 8, FALSE) * (U43 / VLOOKUP(T43, $E$5:$L$818, 2, FALSE)), "")</f>
        <v>4.68</v>
      </c>
      <c r="AB43" s="674">
        <f t="shared" ref="AB43:AB58" si="24">IFERROR(VLOOKUP(T43, $E$5:$O$818, 9, FALSE) * (U43 / VLOOKUP(T43, $E$5:$O$818, 2, FALSE)), "")</f>
        <v>0</v>
      </c>
      <c r="AC43" s="277"/>
      <c r="AE43" s="605"/>
      <c r="AF43" s="721" t="s">
        <v>1017</v>
      </c>
      <c r="AG43" s="722"/>
      <c r="AH43" s="722"/>
      <c r="AI43" s="722"/>
      <c r="AJ43" s="722"/>
    </row>
    <row r="44" spans="1:36" ht="39.950000000000003" customHeight="1">
      <c r="A44" s="160"/>
      <c r="B44" s="160"/>
      <c r="C44" s="160"/>
      <c r="D44" s="144"/>
      <c r="E44" s="145" t="s">
        <v>225</v>
      </c>
      <c r="F44" s="146">
        <v>0.25</v>
      </c>
      <c r="G44" s="147" t="s">
        <v>195</v>
      </c>
      <c r="H44" s="145">
        <v>90</v>
      </c>
      <c r="I44" s="145">
        <v>25</v>
      </c>
      <c r="J44" s="145">
        <v>3</v>
      </c>
      <c r="K44" s="145">
        <v>5</v>
      </c>
      <c r="L44" s="648">
        <v>0</v>
      </c>
      <c r="M44" s="591">
        <v>0</v>
      </c>
      <c r="N44" s="160"/>
      <c r="O44" s="160"/>
      <c r="P44" s="144"/>
      <c r="Q44" s="288">
        <v>46039</v>
      </c>
      <c r="R44" s="276">
        <v>0.45833333333333331</v>
      </c>
      <c r="S44" s="277" t="s">
        <v>178</v>
      </c>
      <c r="T44" s="277" t="s">
        <v>374</v>
      </c>
      <c r="U44" s="278">
        <v>2</v>
      </c>
      <c r="V44" s="361" t="str">
        <f t="shared" si="18"/>
        <v>egg</v>
      </c>
      <c r="W44" s="279">
        <f t="shared" si="19"/>
        <v>160</v>
      </c>
      <c r="X44" s="279">
        <f t="shared" si="20"/>
        <v>14</v>
      </c>
      <c r="Y44" s="279">
        <f t="shared" si="21"/>
        <v>12</v>
      </c>
      <c r="Z44" s="279">
        <f t="shared" si="22"/>
        <v>0</v>
      </c>
      <c r="AA44" s="279">
        <f t="shared" si="23"/>
        <v>0</v>
      </c>
      <c r="AB44" s="584">
        <f t="shared" si="24"/>
        <v>80</v>
      </c>
      <c r="AC44" s="277"/>
      <c r="AE44" s="606"/>
      <c r="AF44" s="721" t="s">
        <v>1018</v>
      </c>
      <c r="AG44" s="722"/>
      <c r="AH44" s="722"/>
      <c r="AI44" s="722"/>
      <c r="AJ44" s="722"/>
    </row>
    <row r="45" spans="1:36">
      <c r="A45" s="160"/>
      <c r="B45" s="160"/>
      <c r="C45" s="160"/>
      <c r="D45" s="144"/>
      <c r="E45" s="145" t="s">
        <v>176</v>
      </c>
      <c r="F45" s="146">
        <v>100</v>
      </c>
      <c r="G45" s="147" t="s">
        <v>177</v>
      </c>
      <c r="H45" s="145">
        <v>165</v>
      </c>
      <c r="I45" s="145">
        <v>25</v>
      </c>
      <c r="J45" s="145">
        <v>3.6</v>
      </c>
      <c r="K45" s="145">
        <v>0</v>
      </c>
      <c r="L45" s="648">
        <v>0</v>
      </c>
      <c r="M45" s="591">
        <v>0</v>
      </c>
      <c r="N45" s="160"/>
      <c r="O45" s="160"/>
      <c r="P45" s="144"/>
      <c r="Q45" s="288">
        <v>46039</v>
      </c>
      <c r="R45" s="276">
        <v>0.45833333333333331</v>
      </c>
      <c r="S45" s="277" t="s">
        <v>178</v>
      </c>
      <c r="T45" s="277" t="s">
        <v>295</v>
      </c>
      <c r="U45" s="278">
        <v>1</v>
      </c>
      <c r="V45" s="361" t="str">
        <f t="shared" si="18"/>
        <v>bottle</v>
      </c>
      <c r="W45" s="279">
        <f t="shared" si="19"/>
        <v>200</v>
      </c>
      <c r="X45" s="279">
        <f t="shared" si="20"/>
        <v>35</v>
      </c>
      <c r="Y45" s="279">
        <f t="shared" si="21"/>
        <v>2.5</v>
      </c>
      <c r="Z45" s="279">
        <f t="shared" si="22"/>
        <v>9</v>
      </c>
      <c r="AA45" s="279">
        <f t="shared" si="23"/>
        <v>0</v>
      </c>
      <c r="AB45" s="584">
        <f t="shared" si="24"/>
        <v>0</v>
      </c>
      <c r="AC45" s="277"/>
    </row>
    <row r="46" spans="1:36" ht="18.75">
      <c r="A46" s="160"/>
      <c r="B46" s="160"/>
      <c r="C46" s="160"/>
      <c r="D46" s="144"/>
      <c r="E46" s="188" t="s">
        <v>332</v>
      </c>
      <c r="F46" s="210">
        <v>350</v>
      </c>
      <c r="G46" s="189" t="s">
        <v>177</v>
      </c>
      <c r="H46" s="188">
        <v>420</v>
      </c>
      <c r="I46" s="145">
        <v>25</v>
      </c>
      <c r="J46" s="188">
        <v>22</v>
      </c>
      <c r="K46" s="188">
        <v>30</v>
      </c>
      <c r="L46" s="644">
        <v>3</v>
      </c>
      <c r="M46" s="665">
        <v>0</v>
      </c>
      <c r="N46" s="241"/>
      <c r="O46" s="241"/>
      <c r="P46" s="144"/>
      <c r="Q46" s="288">
        <v>46039</v>
      </c>
      <c r="R46" s="276">
        <v>0.625</v>
      </c>
      <c r="S46" s="277" t="s">
        <v>185</v>
      </c>
      <c r="T46" s="277" t="s">
        <v>753</v>
      </c>
      <c r="U46" s="278">
        <v>141</v>
      </c>
      <c r="V46" s="361" t="str">
        <f t="shared" si="18"/>
        <v>g</v>
      </c>
      <c r="W46" s="279">
        <f t="shared" si="19"/>
        <v>183.29999999999998</v>
      </c>
      <c r="X46" s="279">
        <f t="shared" si="20"/>
        <v>1.41</v>
      </c>
      <c r="Y46" s="279">
        <f t="shared" si="21"/>
        <v>0</v>
      </c>
      <c r="Z46" s="279">
        <f t="shared" si="22"/>
        <v>43.71</v>
      </c>
      <c r="AA46" s="279">
        <f t="shared" si="23"/>
        <v>4.2299999999999995</v>
      </c>
      <c r="AB46" s="584">
        <f t="shared" si="24"/>
        <v>0</v>
      </c>
      <c r="AC46" s="277"/>
      <c r="AE46" s="613" t="s">
        <v>1019</v>
      </c>
      <c r="AF46" s="597">
        <v>85</v>
      </c>
      <c r="AG46" s="613" t="s">
        <v>1020</v>
      </c>
      <c r="AH46" s="597">
        <v>2456</v>
      </c>
      <c r="AI46" s="613" t="s">
        <v>1021</v>
      </c>
      <c r="AJ46" s="614" t="s">
        <v>1022</v>
      </c>
    </row>
    <row r="47" spans="1:36">
      <c r="A47" s="160"/>
      <c r="B47" s="160"/>
      <c r="C47" s="160"/>
      <c r="D47" s="144"/>
      <c r="E47" s="145" t="s">
        <v>243</v>
      </c>
      <c r="F47" s="146">
        <v>1</v>
      </c>
      <c r="G47" s="147" t="s">
        <v>238</v>
      </c>
      <c r="H47" s="145">
        <v>650</v>
      </c>
      <c r="I47" s="145">
        <v>25</v>
      </c>
      <c r="J47" s="145">
        <v>25</v>
      </c>
      <c r="K47" s="145">
        <v>75</v>
      </c>
      <c r="L47" s="648">
        <v>2</v>
      </c>
      <c r="M47" s="591">
        <v>0</v>
      </c>
      <c r="N47" s="160"/>
      <c r="O47" s="160"/>
      <c r="P47" s="144"/>
      <c r="Q47" s="288">
        <v>46039</v>
      </c>
      <c r="R47" s="276">
        <v>0.625</v>
      </c>
      <c r="S47" s="277" t="s">
        <v>185</v>
      </c>
      <c r="T47" s="277" t="s">
        <v>189</v>
      </c>
      <c r="U47" s="278">
        <v>180</v>
      </c>
      <c r="V47" s="361" t="str">
        <f t="shared" si="18"/>
        <v>g</v>
      </c>
      <c r="W47" s="279">
        <f t="shared" si="19"/>
        <v>63</v>
      </c>
      <c r="X47" s="279">
        <f t="shared" si="20"/>
        <v>4.5</v>
      </c>
      <c r="Y47" s="279">
        <f t="shared" si="21"/>
        <v>0.72000000000000008</v>
      </c>
      <c r="Z47" s="279">
        <f t="shared" si="22"/>
        <v>12.6</v>
      </c>
      <c r="AA47" s="279">
        <f t="shared" si="23"/>
        <v>4.6800000000000006</v>
      </c>
      <c r="AB47" s="584">
        <f t="shared" si="24"/>
        <v>0</v>
      </c>
      <c r="AC47" s="277"/>
    </row>
    <row r="48" spans="1:36">
      <c r="A48" s="291"/>
      <c r="B48" s="291"/>
      <c r="C48" s="148"/>
      <c r="D48" s="144"/>
      <c r="E48" s="194" t="s">
        <v>328</v>
      </c>
      <c r="F48" s="216">
        <v>100</v>
      </c>
      <c r="G48" s="195" t="s">
        <v>177</v>
      </c>
      <c r="H48" s="194">
        <v>290</v>
      </c>
      <c r="I48" s="145">
        <v>25</v>
      </c>
      <c r="J48" s="194">
        <v>21</v>
      </c>
      <c r="K48" s="194">
        <v>0</v>
      </c>
      <c r="L48" s="650">
        <v>0</v>
      </c>
      <c r="M48" s="665">
        <v>0</v>
      </c>
      <c r="N48" s="241"/>
      <c r="O48" s="241"/>
      <c r="P48" s="144"/>
      <c r="Q48" s="288">
        <v>46039</v>
      </c>
      <c r="R48" s="276">
        <v>0.625</v>
      </c>
      <c r="S48" s="277" t="s">
        <v>185</v>
      </c>
      <c r="T48" s="277" t="s">
        <v>176</v>
      </c>
      <c r="U48" s="278">
        <v>195</v>
      </c>
      <c r="V48" s="361" t="str">
        <f t="shared" si="18"/>
        <v>g</v>
      </c>
      <c r="W48" s="279">
        <f t="shared" si="19"/>
        <v>321.75</v>
      </c>
      <c r="X48" s="279">
        <f t="shared" si="20"/>
        <v>48.75</v>
      </c>
      <c r="Y48" s="279">
        <f t="shared" si="21"/>
        <v>7.02</v>
      </c>
      <c r="Z48" s="279">
        <f t="shared" si="22"/>
        <v>0</v>
      </c>
      <c r="AA48" s="279">
        <f t="shared" si="23"/>
        <v>0</v>
      </c>
      <c r="AB48" s="584">
        <f t="shared" si="24"/>
        <v>0</v>
      </c>
      <c r="AC48" s="277"/>
    </row>
    <row r="49" spans="1:36" ht="19.5">
      <c r="A49" s="160"/>
      <c r="B49" s="160"/>
      <c r="C49" s="148"/>
      <c r="D49" s="144"/>
      <c r="E49" s="188" t="s">
        <v>819</v>
      </c>
      <c r="F49" s="188">
        <v>1</v>
      </c>
      <c r="G49" s="189" t="s">
        <v>311</v>
      </c>
      <c r="H49" s="188">
        <v>1650</v>
      </c>
      <c r="I49" s="145">
        <v>24</v>
      </c>
      <c r="J49" s="188">
        <v>115</v>
      </c>
      <c r="K49" s="188">
        <v>175</v>
      </c>
      <c r="L49" s="644">
        <v>14</v>
      </c>
      <c r="M49" s="665">
        <v>0</v>
      </c>
      <c r="N49" s="241"/>
      <c r="O49" s="241"/>
      <c r="P49" s="144"/>
      <c r="Q49" s="288">
        <v>46039</v>
      </c>
      <c r="R49" s="276">
        <v>0.75</v>
      </c>
      <c r="S49" s="277" t="s">
        <v>289</v>
      </c>
      <c r="T49" s="277" t="s">
        <v>190</v>
      </c>
      <c r="U49" s="278">
        <v>4</v>
      </c>
      <c r="V49" s="361" t="str">
        <f t="shared" si="18"/>
        <v>medium</v>
      </c>
      <c r="W49" s="279">
        <f t="shared" si="19"/>
        <v>248</v>
      </c>
      <c r="X49" s="279">
        <f t="shared" si="20"/>
        <v>4.8</v>
      </c>
      <c r="Y49" s="279">
        <f t="shared" si="21"/>
        <v>0.8</v>
      </c>
      <c r="Z49" s="279">
        <f t="shared" si="22"/>
        <v>61.6</v>
      </c>
      <c r="AA49" s="279">
        <f t="shared" si="23"/>
        <v>12.4</v>
      </c>
      <c r="AB49" s="584">
        <f t="shared" si="24"/>
        <v>0</v>
      </c>
      <c r="AC49" s="277"/>
      <c r="AE49" s="634" t="s">
        <v>1032</v>
      </c>
      <c r="AF49" s="631" t="s">
        <v>1033</v>
      </c>
      <c r="AG49" s="632"/>
      <c r="AH49" s="632"/>
      <c r="AI49" s="633" t="s">
        <v>934</v>
      </c>
      <c r="AJ49" s="635">
        <v>46122</v>
      </c>
    </row>
    <row r="50" spans="1:36">
      <c r="A50" s="160"/>
      <c r="B50" s="160"/>
      <c r="C50" s="148"/>
      <c r="D50" s="144"/>
      <c r="E50" s="188" t="s">
        <v>465</v>
      </c>
      <c r="F50" s="210">
        <v>100</v>
      </c>
      <c r="G50" s="189" t="s">
        <v>177</v>
      </c>
      <c r="H50" s="188">
        <v>180</v>
      </c>
      <c r="I50" s="188">
        <v>22</v>
      </c>
      <c r="J50" s="188">
        <v>9</v>
      </c>
      <c r="K50" s="188">
        <v>2</v>
      </c>
      <c r="L50" s="644">
        <v>0</v>
      </c>
      <c r="M50" s="665">
        <v>0</v>
      </c>
      <c r="N50" s="241"/>
      <c r="O50" s="241"/>
      <c r="P50" s="144"/>
      <c r="Q50" s="288">
        <v>46039</v>
      </c>
      <c r="R50" s="276">
        <v>0.75</v>
      </c>
      <c r="S50" s="277" t="s">
        <v>289</v>
      </c>
      <c r="T50" s="277" t="s">
        <v>212</v>
      </c>
      <c r="U50" s="278">
        <v>1</v>
      </c>
      <c r="V50" s="361" t="str">
        <f t="shared" si="18"/>
        <v>bottle</v>
      </c>
      <c r="W50" s="279">
        <f t="shared" si="19"/>
        <v>70</v>
      </c>
      <c r="X50" s="279">
        <f t="shared" si="20"/>
        <v>0</v>
      </c>
      <c r="Y50" s="279">
        <f t="shared" si="21"/>
        <v>0</v>
      </c>
      <c r="Z50" s="279">
        <f t="shared" si="22"/>
        <v>17</v>
      </c>
      <c r="AA50" s="279">
        <f t="shared" si="23"/>
        <v>1</v>
      </c>
      <c r="AB50" s="584">
        <f t="shared" si="24"/>
        <v>0</v>
      </c>
      <c r="AC50" s="277"/>
    </row>
    <row r="51" spans="1:36" ht="17.25">
      <c r="A51" s="160"/>
      <c r="B51" s="160"/>
      <c r="C51" s="148"/>
      <c r="D51" s="144"/>
      <c r="E51" s="194" t="s">
        <v>338</v>
      </c>
      <c r="F51" s="216">
        <v>1</v>
      </c>
      <c r="G51" s="195" t="s">
        <v>314</v>
      </c>
      <c r="H51" s="194">
        <v>380</v>
      </c>
      <c r="I51" s="145">
        <v>22</v>
      </c>
      <c r="J51" s="194">
        <v>18</v>
      </c>
      <c r="K51" s="194">
        <v>32</v>
      </c>
      <c r="L51" s="650">
        <v>5</v>
      </c>
      <c r="M51" s="665">
        <v>0</v>
      </c>
      <c r="N51" s="241"/>
      <c r="O51" s="241"/>
      <c r="P51" s="144"/>
      <c r="Q51" s="288">
        <v>46039</v>
      </c>
      <c r="R51" s="276">
        <v>0.75</v>
      </c>
      <c r="S51" s="277" t="s">
        <v>289</v>
      </c>
      <c r="T51" s="277" t="s">
        <v>214</v>
      </c>
      <c r="U51" s="278">
        <v>0.67</v>
      </c>
      <c r="V51" s="361" t="str">
        <f t="shared" si="18"/>
        <v>bar</v>
      </c>
      <c r="W51" s="279">
        <f t="shared" si="19"/>
        <v>44.89</v>
      </c>
      <c r="X51" s="279">
        <f t="shared" si="20"/>
        <v>0.67</v>
      </c>
      <c r="Y51" s="279">
        <f t="shared" si="21"/>
        <v>2.3450000000000002</v>
      </c>
      <c r="Z51" s="279">
        <f t="shared" si="22"/>
        <v>14.74</v>
      </c>
      <c r="AA51" s="279">
        <f t="shared" si="23"/>
        <v>0.20100000000000001</v>
      </c>
      <c r="AB51" s="584">
        <f t="shared" si="24"/>
        <v>0</v>
      </c>
      <c r="AC51" s="277"/>
      <c r="AE51" s="615" t="s">
        <v>935</v>
      </c>
      <c r="AF51" s="616"/>
      <c r="AG51" s="617" t="s">
        <v>644</v>
      </c>
      <c r="AH51" s="617" t="s">
        <v>930</v>
      </c>
      <c r="AI51" s="617" t="s">
        <v>588</v>
      </c>
      <c r="AJ51" s="618" t="s">
        <v>1034</v>
      </c>
    </row>
    <row r="52" spans="1:36">
      <c r="A52" s="160"/>
      <c r="B52" s="160"/>
      <c r="C52" s="148"/>
      <c r="D52" s="144"/>
      <c r="E52" s="194" t="s">
        <v>791</v>
      </c>
      <c r="F52" s="216">
        <v>150</v>
      </c>
      <c r="G52" s="195" t="s">
        <v>177</v>
      </c>
      <c r="H52" s="194">
        <v>280</v>
      </c>
      <c r="I52" s="188">
        <v>22</v>
      </c>
      <c r="J52" s="194">
        <v>18</v>
      </c>
      <c r="K52" s="194">
        <v>8</v>
      </c>
      <c r="L52" s="650">
        <v>3</v>
      </c>
      <c r="M52" s="665">
        <v>0</v>
      </c>
      <c r="N52" s="241"/>
      <c r="O52" s="241"/>
      <c r="P52" s="144"/>
      <c r="Q52" s="288">
        <v>46039</v>
      </c>
      <c r="R52" s="276">
        <v>0.875</v>
      </c>
      <c r="S52" s="277" t="s">
        <v>199</v>
      </c>
      <c r="T52" s="277" t="s">
        <v>176</v>
      </c>
      <c r="U52" s="278">
        <v>227</v>
      </c>
      <c r="V52" s="361" t="str">
        <f t="shared" si="18"/>
        <v>g</v>
      </c>
      <c r="W52" s="279">
        <f t="shared" si="19"/>
        <v>374.55</v>
      </c>
      <c r="X52" s="279">
        <f t="shared" si="20"/>
        <v>56.75</v>
      </c>
      <c r="Y52" s="279">
        <f t="shared" si="21"/>
        <v>8.1720000000000006</v>
      </c>
      <c r="Z52" s="279">
        <f t="shared" si="22"/>
        <v>0</v>
      </c>
      <c r="AA52" s="279">
        <f t="shared" si="23"/>
        <v>0</v>
      </c>
      <c r="AB52" s="584">
        <f t="shared" si="24"/>
        <v>0</v>
      </c>
      <c r="AC52" s="277"/>
      <c r="AE52" s="619" t="s">
        <v>936</v>
      </c>
      <c r="AF52" s="620" t="s">
        <v>937</v>
      </c>
      <c r="AG52" s="621">
        <v>2835</v>
      </c>
      <c r="AH52" s="621">
        <v>2611</v>
      </c>
      <c r="AI52" s="622" t="s">
        <v>941</v>
      </c>
      <c r="AJ52" s="623" t="s">
        <v>1035</v>
      </c>
    </row>
    <row r="53" spans="1:36">
      <c r="A53" s="160"/>
      <c r="B53" s="160"/>
      <c r="C53" s="148"/>
      <c r="D53" s="144"/>
      <c r="E53" s="194" t="s">
        <v>287</v>
      </c>
      <c r="F53" s="216">
        <v>1</v>
      </c>
      <c r="G53" s="195" t="s">
        <v>288</v>
      </c>
      <c r="H53" s="194">
        <v>300</v>
      </c>
      <c r="I53" s="145">
        <v>20</v>
      </c>
      <c r="J53" s="194">
        <v>11</v>
      </c>
      <c r="K53" s="194">
        <v>30</v>
      </c>
      <c r="L53" s="650">
        <v>0</v>
      </c>
      <c r="M53" s="665">
        <v>0</v>
      </c>
      <c r="N53" s="241"/>
      <c r="O53" s="241"/>
      <c r="P53" s="144"/>
      <c r="Q53" s="288">
        <v>46039</v>
      </c>
      <c r="R53" s="276">
        <v>0.875</v>
      </c>
      <c r="S53" s="277" t="s">
        <v>199</v>
      </c>
      <c r="T53" s="277" t="s">
        <v>753</v>
      </c>
      <c r="U53" s="278">
        <v>119</v>
      </c>
      <c r="V53" s="361" t="str">
        <f t="shared" si="18"/>
        <v>g</v>
      </c>
      <c r="W53" s="279">
        <f t="shared" si="19"/>
        <v>154.69999999999999</v>
      </c>
      <c r="X53" s="279">
        <f t="shared" si="20"/>
        <v>1.19</v>
      </c>
      <c r="Y53" s="279">
        <f t="shared" si="21"/>
        <v>0</v>
      </c>
      <c r="Z53" s="279">
        <f t="shared" si="22"/>
        <v>36.89</v>
      </c>
      <c r="AA53" s="279">
        <f t="shared" si="23"/>
        <v>3.57</v>
      </c>
      <c r="AB53" s="584">
        <f t="shared" si="24"/>
        <v>0</v>
      </c>
      <c r="AC53" s="277"/>
      <c r="AE53" s="619" t="s">
        <v>248</v>
      </c>
      <c r="AF53" s="620" t="s">
        <v>940</v>
      </c>
      <c r="AG53" s="621">
        <v>154</v>
      </c>
      <c r="AH53" s="621">
        <v>169</v>
      </c>
      <c r="AI53" s="622" t="s">
        <v>941</v>
      </c>
      <c r="AJ53" s="623" t="s">
        <v>1036</v>
      </c>
    </row>
    <row r="54" spans="1:36">
      <c r="A54" s="291"/>
      <c r="B54" s="291"/>
      <c r="C54" s="291"/>
      <c r="D54" s="144"/>
      <c r="E54" s="188" t="s">
        <v>759</v>
      </c>
      <c r="F54" s="210">
        <v>2</v>
      </c>
      <c r="G54" s="189" t="s">
        <v>760</v>
      </c>
      <c r="H54" s="188">
        <v>180</v>
      </c>
      <c r="I54" s="188">
        <v>20</v>
      </c>
      <c r="J54" s="188">
        <v>8</v>
      </c>
      <c r="K54" s="188">
        <v>6</v>
      </c>
      <c r="L54" s="644">
        <v>0</v>
      </c>
      <c r="M54" s="665">
        <v>0</v>
      </c>
      <c r="N54" s="241"/>
      <c r="O54" s="241"/>
      <c r="P54" s="144"/>
      <c r="Q54" s="288">
        <v>46039</v>
      </c>
      <c r="R54" s="276">
        <v>0.875</v>
      </c>
      <c r="S54" s="277" t="s">
        <v>199</v>
      </c>
      <c r="T54" s="277" t="s">
        <v>189</v>
      </c>
      <c r="U54" s="278">
        <v>171</v>
      </c>
      <c r="V54" s="361" t="str">
        <f t="shared" si="18"/>
        <v>g</v>
      </c>
      <c r="W54" s="279">
        <f t="shared" si="19"/>
        <v>59.85</v>
      </c>
      <c r="X54" s="279">
        <f t="shared" si="20"/>
        <v>4.2750000000000004</v>
      </c>
      <c r="Y54" s="279">
        <f t="shared" si="21"/>
        <v>0.68400000000000005</v>
      </c>
      <c r="Z54" s="279">
        <f t="shared" si="22"/>
        <v>11.969999999999999</v>
      </c>
      <c r="AA54" s="279">
        <f t="shared" si="23"/>
        <v>4.4459999999999997</v>
      </c>
      <c r="AB54" s="584">
        <f t="shared" si="24"/>
        <v>0</v>
      </c>
      <c r="AC54" s="277"/>
      <c r="AE54" s="619" t="s">
        <v>250</v>
      </c>
      <c r="AF54" s="620" t="s">
        <v>940</v>
      </c>
      <c r="AG54" s="621">
        <v>64</v>
      </c>
      <c r="AH54" s="621">
        <v>65</v>
      </c>
      <c r="AI54" s="622" t="s">
        <v>941</v>
      </c>
      <c r="AJ54" s="623" t="s">
        <v>1037</v>
      </c>
    </row>
    <row r="55" spans="1:36">
      <c r="A55" s="160"/>
      <c r="B55" s="160"/>
      <c r="C55" s="148"/>
      <c r="D55" s="144"/>
      <c r="E55" s="188" t="s">
        <v>800</v>
      </c>
      <c r="F55" s="210">
        <v>1</v>
      </c>
      <c r="G55" s="189" t="s">
        <v>447</v>
      </c>
      <c r="H55" s="188">
        <v>350</v>
      </c>
      <c r="I55" s="188">
        <v>20</v>
      </c>
      <c r="J55" s="188">
        <v>12</v>
      </c>
      <c r="K55" s="188">
        <v>42</v>
      </c>
      <c r="L55" s="644">
        <v>3</v>
      </c>
      <c r="M55" s="665">
        <v>0</v>
      </c>
      <c r="N55" s="241"/>
      <c r="O55" s="241"/>
      <c r="P55" s="144"/>
      <c r="Q55" s="288">
        <v>46039</v>
      </c>
      <c r="R55" s="276">
        <v>0.875</v>
      </c>
      <c r="S55" s="277" t="s">
        <v>199</v>
      </c>
      <c r="T55" s="277" t="s">
        <v>181</v>
      </c>
      <c r="U55" s="278">
        <v>4</v>
      </c>
      <c r="V55" s="361" t="str">
        <f t="shared" si="18"/>
        <v>slice</v>
      </c>
      <c r="W55" s="279">
        <f t="shared" si="19"/>
        <v>280</v>
      </c>
      <c r="X55" s="279">
        <f t="shared" si="20"/>
        <v>10</v>
      </c>
      <c r="Y55" s="279">
        <f t="shared" si="21"/>
        <v>5</v>
      </c>
      <c r="Z55" s="279">
        <f t="shared" si="22"/>
        <v>48</v>
      </c>
      <c r="AA55" s="279">
        <f t="shared" si="23"/>
        <v>4</v>
      </c>
      <c r="AB55" s="584">
        <f t="shared" si="24"/>
        <v>0</v>
      </c>
      <c r="AC55" s="277"/>
      <c r="AE55" s="619" t="s">
        <v>252</v>
      </c>
      <c r="AF55" s="620" t="s">
        <v>940</v>
      </c>
      <c r="AG55" s="621">
        <v>411</v>
      </c>
      <c r="AH55" s="621">
        <v>335</v>
      </c>
      <c r="AI55" s="624" t="s">
        <v>938</v>
      </c>
      <c r="AJ55" s="623" t="s">
        <v>1038</v>
      </c>
    </row>
    <row r="56" spans="1:36">
      <c r="A56" s="160"/>
      <c r="B56" s="160"/>
      <c r="C56" s="148"/>
      <c r="D56" s="144"/>
      <c r="E56" s="354" t="s">
        <v>454</v>
      </c>
      <c r="F56" s="355">
        <v>1</v>
      </c>
      <c r="G56" s="357" t="s">
        <v>361</v>
      </c>
      <c r="H56" s="354">
        <v>520</v>
      </c>
      <c r="I56" s="319">
        <v>20</v>
      </c>
      <c r="J56" s="354">
        <v>22</v>
      </c>
      <c r="K56" s="354">
        <v>58</v>
      </c>
      <c r="L56" s="651">
        <v>3</v>
      </c>
      <c r="M56" s="665">
        <v>0</v>
      </c>
      <c r="N56" s="299"/>
      <c r="O56" s="299"/>
      <c r="P56" s="144"/>
      <c r="Q56" s="288">
        <v>46039</v>
      </c>
      <c r="R56" s="276">
        <v>0.875</v>
      </c>
      <c r="S56" s="277" t="s">
        <v>289</v>
      </c>
      <c r="T56" s="277" t="s">
        <v>428</v>
      </c>
      <c r="U56" s="278">
        <v>1</v>
      </c>
      <c r="V56" s="361" t="str">
        <f t="shared" si="18"/>
        <v>piece</v>
      </c>
      <c r="W56" s="279">
        <f t="shared" si="19"/>
        <v>65</v>
      </c>
      <c r="X56" s="279">
        <f t="shared" si="20"/>
        <v>0.5</v>
      </c>
      <c r="Y56" s="279">
        <f t="shared" si="21"/>
        <v>3.5</v>
      </c>
      <c r="Z56" s="279">
        <f t="shared" si="22"/>
        <v>8</v>
      </c>
      <c r="AA56" s="279">
        <f t="shared" si="23"/>
        <v>0.5</v>
      </c>
      <c r="AB56" s="584">
        <f t="shared" si="24"/>
        <v>0</v>
      </c>
      <c r="AC56" s="277"/>
      <c r="AE56" s="619" t="s">
        <v>254</v>
      </c>
      <c r="AF56" s="620" t="s">
        <v>940</v>
      </c>
      <c r="AG56" s="621">
        <v>40</v>
      </c>
      <c r="AH56" s="621">
        <v>35</v>
      </c>
      <c r="AI56" s="624" t="s">
        <v>943</v>
      </c>
      <c r="AJ56" s="623" t="s">
        <v>1039</v>
      </c>
    </row>
    <row r="57" spans="1:36">
      <c r="A57" s="160"/>
      <c r="B57" s="160"/>
      <c r="C57" s="148"/>
      <c r="D57" s="144"/>
      <c r="E57" s="211" t="s">
        <v>247</v>
      </c>
      <c r="F57" s="212">
        <v>1</v>
      </c>
      <c r="G57" s="514" t="s">
        <v>245</v>
      </c>
      <c r="H57" s="211">
        <v>400</v>
      </c>
      <c r="I57" s="145">
        <v>20</v>
      </c>
      <c r="J57" s="211">
        <v>10</v>
      </c>
      <c r="K57" s="211">
        <v>55</v>
      </c>
      <c r="L57" s="652">
        <v>3</v>
      </c>
      <c r="M57" s="591">
        <v>0</v>
      </c>
      <c r="N57" s="160"/>
      <c r="O57" s="160"/>
      <c r="P57" s="144"/>
      <c r="Q57" s="288">
        <v>46039</v>
      </c>
      <c r="R57" s="276">
        <v>0.875</v>
      </c>
      <c r="S57" s="277" t="s">
        <v>289</v>
      </c>
      <c r="T57" s="277" t="s">
        <v>429</v>
      </c>
      <c r="U57" s="278">
        <v>1</v>
      </c>
      <c r="V57" s="361" t="str">
        <f t="shared" si="18"/>
        <v>piece</v>
      </c>
      <c r="W57" s="279">
        <f t="shared" si="19"/>
        <v>60</v>
      </c>
      <c r="X57" s="279">
        <f t="shared" si="20"/>
        <v>0.5</v>
      </c>
      <c r="Y57" s="279">
        <f t="shared" si="21"/>
        <v>4</v>
      </c>
      <c r="Z57" s="279">
        <f t="shared" si="22"/>
        <v>8</v>
      </c>
      <c r="AA57" s="279">
        <f t="shared" si="23"/>
        <v>0.5</v>
      </c>
      <c r="AB57" s="584">
        <f t="shared" si="24"/>
        <v>0</v>
      </c>
      <c r="AC57" s="277"/>
    </row>
    <row r="58" spans="1:36" ht="17.25">
      <c r="A58" s="291"/>
      <c r="B58" s="291"/>
      <c r="C58" s="291"/>
      <c r="D58" s="144"/>
      <c r="E58" s="211" t="s">
        <v>229</v>
      </c>
      <c r="F58" s="212">
        <v>1</v>
      </c>
      <c r="G58" s="514" t="s">
        <v>238</v>
      </c>
      <c r="H58" s="211">
        <v>500</v>
      </c>
      <c r="I58" s="145">
        <v>20</v>
      </c>
      <c r="J58" s="211">
        <v>30</v>
      </c>
      <c r="K58" s="211">
        <v>40</v>
      </c>
      <c r="L58" s="652">
        <v>3</v>
      </c>
      <c r="M58" s="591">
        <v>0</v>
      </c>
      <c r="N58" s="160"/>
      <c r="O58" s="160"/>
      <c r="P58" s="144"/>
      <c r="Q58" s="288">
        <v>46039</v>
      </c>
      <c r="R58" s="276">
        <v>0.875</v>
      </c>
      <c r="S58" s="277" t="s">
        <v>289</v>
      </c>
      <c r="T58" s="277" t="s">
        <v>214</v>
      </c>
      <c r="U58" s="278">
        <v>1</v>
      </c>
      <c r="V58" s="361" t="str">
        <f t="shared" si="18"/>
        <v>bar</v>
      </c>
      <c r="W58" s="279">
        <f t="shared" si="19"/>
        <v>67</v>
      </c>
      <c r="X58" s="279">
        <f t="shared" si="20"/>
        <v>1</v>
      </c>
      <c r="Y58" s="279">
        <f t="shared" si="21"/>
        <v>3.5</v>
      </c>
      <c r="Z58" s="279">
        <f t="shared" si="22"/>
        <v>22</v>
      </c>
      <c r="AA58" s="279">
        <f t="shared" si="23"/>
        <v>0.3</v>
      </c>
      <c r="AB58" s="684">
        <f t="shared" si="24"/>
        <v>0</v>
      </c>
      <c r="AC58" s="277"/>
      <c r="AE58" s="615" t="s">
        <v>947</v>
      </c>
      <c r="AF58" s="616"/>
      <c r="AG58" s="617" t="s">
        <v>1040</v>
      </c>
      <c r="AH58" s="617" t="s">
        <v>1041</v>
      </c>
      <c r="AI58" s="617" t="s">
        <v>588</v>
      </c>
      <c r="AJ58" s="618" t="s">
        <v>1042</v>
      </c>
    </row>
    <row r="59" spans="1:36">
      <c r="A59" s="160"/>
      <c r="B59" s="292"/>
      <c r="C59" s="293"/>
      <c r="D59" s="144"/>
      <c r="E59" s="188" t="s">
        <v>337</v>
      </c>
      <c r="F59" s="210">
        <v>100</v>
      </c>
      <c r="G59" s="189" t="s">
        <v>177</v>
      </c>
      <c r="H59" s="188">
        <v>260</v>
      </c>
      <c r="I59" s="145">
        <v>20</v>
      </c>
      <c r="J59" s="188">
        <v>18</v>
      </c>
      <c r="K59" s="188">
        <v>8</v>
      </c>
      <c r="L59" s="644">
        <v>0</v>
      </c>
      <c r="M59" s="665">
        <v>0</v>
      </c>
      <c r="N59" s="241"/>
      <c r="O59" s="241"/>
      <c r="P59" s="144"/>
      <c r="Q59" s="280"/>
      <c r="R59" s="281" t="s">
        <v>217</v>
      </c>
      <c r="S59" s="294"/>
      <c r="T59" s="282"/>
      <c r="U59" s="282"/>
      <c r="V59" s="364"/>
      <c r="W59" s="283">
        <f>SUM(W42:W58)</f>
        <v>2705.9274999999998</v>
      </c>
      <c r="X59" s="283">
        <f>SUM(X42:X58)</f>
        <v>185.93500000000003</v>
      </c>
      <c r="Y59" s="283">
        <f>SUM(Y42:Y58)</f>
        <v>73.430999999999983</v>
      </c>
      <c r="Z59" s="283">
        <f>SUM(Z42:Z58)</f>
        <v>341.56687499999998</v>
      </c>
      <c r="AA59" s="683">
        <f>SUM(AA42:AA58)</f>
        <v>43.551124999999992</v>
      </c>
      <c r="AB59" s="691">
        <f>SUM(AB43:AB58)</f>
        <v>80</v>
      </c>
      <c r="AC59" s="281"/>
      <c r="AE59" s="619" t="s">
        <v>948</v>
      </c>
      <c r="AF59" s="620" t="s">
        <v>949</v>
      </c>
      <c r="AG59" s="621" t="s">
        <v>950</v>
      </c>
      <c r="AH59" s="621" t="s">
        <v>951</v>
      </c>
      <c r="AI59" s="625" t="s">
        <v>952</v>
      </c>
      <c r="AJ59" s="623" t="s">
        <v>1043</v>
      </c>
    </row>
    <row r="60" spans="1:36">
      <c r="A60" s="160"/>
      <c r="B60" s="292"/>
      <c r="C60" s="148"/>
      <c r="D60" s="144"/>
      <c r="E60" s="234" t="s">
        <v>422</v>
      </c>
      <c r="F60" s="235">
        <v>1</v>
      </c>
      <c r="G60" s="236" t="s">
        <v>283</v>
      </c>
      <c r="H60" s="234">
        <v>280</v>
      </c>
      <c r="I60" s="145">
        <v>20</v>
      </c>
      <c r="J60" s="234">
        <v>18</v>
      </c>
      <c r="K60" s="234">
        <v>8</v>
      </c>
      <c r="L60" s="645">
        <v>2</v>
      </c>
      <c r="M60" s="665">
        <v>0</v>
      </c>
      <c r="P60" s="144"/>
      <c r="Q60" s="280"/>
      <c r="R60" s="281" t="s">
        <v>220</v>
      </c>
      <c r="S60" s="294"/>
      <c r="T60" s="282"/>
      <c r="U60" s="282"/>
      <c r="V60" s="364"/>
      <c r="W60" s="284">
        <f>$B$27</f>
        <v>2834.5625</v>
      </c>
      <c r="X60" s="284">
        <f>$B$29</f>
        <v>154</v>
      </c>
      <c r="Y60" s="284">
        <f>$B$30</f>
        <v>63.91</v>
      </c>
      <c r="Z60" s="284">
        <f>$B$31</f>
        <v>410.84312499999999</v>
      </c>
      <c r="AA60" s="690">
        <f>$B$32</f>
        <v>39.683875</v>
      </c>
      <c r="AB60" s="695">
        <f>$B$39</f>
        <v>500</v>
      </c>
      <c r="AC60" s="281"/>
      <c r="AE60" s="619" t="s">
        <v>954</v>
      </c>
      <c r="AF60" s="620" t="s">
        <v>955</v>
      </c>
      <c r="AG60" s="621" t="s">
        <v>956</v>
      </c>
      <c r="AH60" s="621" t="s">
        <v>951</v>
      </c>
      <c r="AI60" s="625" t="s">
        <v>952</v>
      </c>
      <c r="AJ60" s="623" t="s">
        <v>1044</v>
      </c>
    </row>
    <row r="61" spans="1:36">
      <c r="A61" s="160"/>
      <c r="B61" s="292"/>
      <c r="C61" s="148"/>
      <c r="D61" s="144"/>
      <c r="E61" s="194" t="s">
        <v>312</v>
      </c>
      <c r="F61" s="194">
        <v>1</v>
      </c>
      <c r="G61" s="195" t="s">
        <v>184</v>
      </c>
      <c r="H61" s="194">
        <v>470</v>
      </c>
      <c r="I61" s="145">
        <v>19</v>
      </c>
      <c r="J61" s="194">
        <v>27</v>
      </c>
      <c r="K61" s="194">
        <v>37</v>
      </c>
      <c r="L61" s="650">
        <v>2</v>
      </c>
      <c r="M61" s="665">
        <v>0</v>
      </c>
      <c r="N61" s="241"/>
      <c r="O61" s="241"/>
      <c r="P61" s="144"/>
      <c r="Q61" s="280"/>
      <c r="R61" s="281" t="s">
        <v>222</v>
      </c>
      <c r="S61" s="294"/>
      <c r="T61" s="282"/>
      <c r="U61" s="282"/>
      <c r="V61" s="364"/>
      <c r="W61" s="284">
        <f t="shared" ref="W61:AB61" si="25">W59-W60</f>
        <v>-128.63500000000022</v>
      </c>
      <c r="X61" s="284">
        <f t="shared" si="25"/>
        <v>31.935000000000031</v>
      </c>
      <c r="Y61" s="284">
        <f t="shared" si="25"/>
        <v>9.5209999999999866</v>
      </c>
      <c r="Z61" s="284">
        <f t="shared" si="25"/>
        <v>-69.276250000000005</v>
      </c>
      <c r="AA61" s="690">
        <f t="shared" si="25"/>
        <v>3.8672499999999914</v>
      </c>
      <c r="AB61" s="689">
        <f t="shared" si="25"/>
        <v>-420</v>
      </c>
      <c r="AC61" s="281"/>
      <c r="AE61" s="619" t="s">
        <v>958</v>
      </c>
      <c r="AF61" s="620" t="s">
        <v>959</v>
      </c>
      <c r="AG61" s="621" t="s">
        <v>960</v>
      </c>
      <c r="AH61" s="621" t="s">
        <v>951</v>
      </c>
      <c r="AI61" s="625" t="s">
        <v>952</v>
      </c>
      <c r="AJ61" s="623" t="s">
        <v>1045</v>
      </c>
    </row>
    <row r="62" spans="1:36">
      <c r="A62" s="160"/>
      <c r="B62" s="292"/>
      <c r="C62" s="148"/>
      <c r="D62" s="144"/>
      <c r="E62" s="194" t="s">
        <v>470</v>
      </c>
      <c r="F62" s="216">
        <v>100</v>
      </c>
      <c r="G62" s="195" t="s">
        <v>177</v>
      </c>
      <c r="H62" s="194">
        <v>215</v>
      </c>
      <c r="I62" s="188">
        <v>18</v>
      </c>
      <c r="J62" s="194">
        <v>16</v>
      </c>
      <c r="K62" s="194">
        <v>0</v>
      </c>
      <c r="L62" s="650">
        <v>0</v>
      </c>
      <c r="M62" s="665">
        <v>0</v>
      </c>
      <c r="N62" s="241"/>
      <c r="O62" s="241"/>
      <c r="P62" s="144"/>
      <c r="Q62" s="288">
        <v>46040</v>
      </c>
      <c r="R62" s="276">
        <v>0.45833333333333331</v>
      </c>
      <c r="S62" s="277" t="s">
        <v>178</v>
      </c>
      <c r="T62" s="277" t="s">
        <v>430</v>
      </c>
      <c r="U62" s="278">
        <v>227</v>
      </c>
      <c r="V62" s="361" t="str">
        <f t="shared" ref="V62:V79" si="26">IFERROR(VLOOKUP(T62, $E$5:$L$818, 3, FALSE), "")</f>
        <v>g</v>
      </c>
      <c r="W62" s="279">
        <f t="shared" ref="W62:W79" si="27">IFERROR(VLOOKUP(T62, $E$5:$L$818, 4, FALSE) * (U62 / VLOOKUP(T62, $E$5:$L$818, 2, FALSE)), "")</f>
        <v>174.79</v>
      </c>
      <c r="X62" s="279">
        <f t="shared" ref="X62:X79" si="28">IFERROR(VLOOKUP(T62, $E$5:$L$818, 5, FALSE) * (U62 / VLOOKUP(T62, $E$5:$L$818, 2, FALSE)), "")</f>
        <v>4.54</v>
      </c>
      <c r="Y62" s="279">
        <f t="shared" ref="Y62:Y79" si="29">IFERROR(VLOOKUP(T62, $E$5:$L$818, 6, FALSE) * (U62 / VLOOKUP(T62, $E$5:$L$818, 2, FALSE)), "")</f>
        <v>0</v>
      </c>
      <c r="Z62" s="279">
        <f t="shared" ref="Z62:Z79" si="30">IFERROR(VLOOKUP(T62, $E$5:$L$818, 7, FALSE) * (U62 / VLOOKUP(T62, $E$5:$L$818, 2, FALSE)), "")</f>
        <v>38.590000000000003</v>
      </c>
      <c r="AA62" s="279">
        <f t="shared" ref="AA62:AA79" si="31">IFERROR(VLOOKUP(T62, $E$5:$L$818, 8, FALSE) * (U62 / VLOOKUP(T62, $E$5:$L$818, 2, FALSE)), "")</f>
        <v>4.54</v>
      </c>
      <c r="AB62" s="674">
        <f t="shared" ref="AB62:AB79" si="32">IFERROR(VLOOKUP(T62, $E$5:$O$818, 9, FALSE) * (U62 / VLOOKUP(T62, $E$5:$O$818, 2, FALSE)), "")</f>
        <v>0</v>
      </c>
      <c r="AC62" s="277"/>
      <c r="AE62" s="619" t="s">
        <v>962</v>
      </c>
      <c r="AF62" s="620" t="s">
        <v>963</v>
      </c>
      <c r="AG62" s="621" t="s">
        <v>964</v>
      </c>
      <c r="AH62" s="621" t="s">
        <v>951</v>
      </c>
      <c r="AI62" s="625" t="s">
        <v>952</v>
      </c>
      <c r="AJ62" s="623" t="s">
        <v>1046</v>
      </c>
    </row>
    <row r="63" spans="1:36">
      <c r="A63" s="291"/>
      <c r="B63" s="291"/>
      <c r="C63" s="291"/>
      <c r="D63" s="144"/>
      <c r="E63" s="188" t="s">
        <v>446</v>
      </c>
      <c r="F63" s="210">
        <v>1</v>
      </c>
      <c r="G63" s="189" t="s">
        <v>447</v>
      </c>
      <c r="H63" s="188">
        <v>460</v>
      </c>
      <c r="I63" s="188">
        <v>18</v>
      </c>
      <c r="J63" s="188">
        <v>26</v>
      </c>
      <c r="K63" s="188">
        <v>45</v>
      </c>
      <c r="L63" s="644">
        <v>1</v>
      </c>
      <c r="M63" s="665">
        <v>50</v>
      </c>
      <c r="N63" s="241"/>
      <c r="O63" s="241"/>
      <c r="P63" s="144"/>
      <c r="Q63" s="288">
        <v>46040</v>
      </c>
      <c r="R63" s="276">
        <v>0.45833333333333331</v>
      </c>
      <c r="S63" s="277" t="s">
        <v>178</v>
      </c>
      <c r="T63" s="277" t="s">
        <v>295</v>
      </c>
      <c r="U63" s="278">
        <v>1</v>
      </c>
      <c r="V63" s="361" t="str">
        <f t="shared" si="26"/>
        <v>bottle</v>
      </c>
      <c r="W63" s="279">
        <f t="shared" si="27"/>
        <v>200</v>
      </c>
      <c r="X63" s="279">
        <f t="shared" si="28"/>
        <v>35</v>
      </c>
      <c r="Y63" s="279">
        <f t="shared" si="29"/>
        <v>2.5</v>
      </c>
      <c r="Z63" s="279">
        <f t="shared" si="30"/>
        <v>9</v>
      </c>
      <c r="AA63" s="279">
        <f t="shared" si="31"/>
        <v>0</v>
      </c>
      <c r="AB63" s="584">
        <f t="shared" si="32"/>
        <v>0</v>
      </c>
      <c r="AC63" s="277"/>
      <c r="AE63" s="619" t="s">
        <v>966</v>
      </c>
      <c r="AF63" s="620" t="s">
        <v>967</v>
      </c>
      <c r="AG63" s="621" t="s">
        <v>968</v>
      </c>
      <c r="AH63" s="621" t="s">
        <v>969</v>
      </c>
      <c r="AI63" s="625" t="s">
        <v>952</v>
      </c>
      <c r="AJ63" s="623" t="s">
        <v>1047</v>
      </c>
    </row>
    <row r="64" spans="1:36">
      <c r="A64" s="160"/>
      <c r="B64" s="292"/>
      <c r="C64" s="148"/>
      <c r="D64" s="144"/>
      <c r="E64" s="194" t="s">
        <v>802</v>
      </c>
      <c r="F64" s="216">
        <v>1</v>
      </c>
      <c r="G64" s="195" t="s">
        <v>283</v>
      </c>
      <c r="H64" s="194">
        <v>280</v>
      </c>
      <c r="I64" s="188">
        <v>18</v>
      </c>
      <c r="J64" s="194">
        <v>8</v>
      </c>
      <c r="K64" s="194">
        <v>38</v>
      </c>
      <c r="L64" s="650">
        <v>2</v>
      </c>
      <c r="M64" s="665">
        <v>0</v>
      </c>
      <c r="N64" s="241"/>
      <c r="O64" s="241"/>
      <c r="P64" s="144"/>
      <c r="Q64" s="288">
        <v>46040</v>
      </c>
      <c r="R64" s="276">
        <v>0.45833333333333331</v>
      </c>
      <c r="S64" s="277" t="s">
        <v>178</v>
      </c>
      <c r="T64" s="277" t="s">
        <v>374</v>
      </c>
      <c r="U64" s="278">
        <v>2</v>
      </c>
      <c r="V64" s="361" t="str">
        <f t="shared" si="26"/>
        <v>egg</v>
      </c>
      <c r="W64" s="279">
        <f t="shared" si="27"/>
        <v>160</v>
      </c>
      <c r="X64" s="279">
        <f t="shared" si="28"/>
        <v>14</v>
      </c>
      <c r="Y64" s="279">
        <f t="shared" si="29"/>
        <v>12</v>
      </c>
      <c r="Z64" s="279">
        <f t="shared" si="30"/>
        <v>0</v>
      </c>
      <c r="AA64" s="279">
        <f t="shared" si="31"/>
        <v>0</v>
      </c>
      <c r="AB64" s="584">
        <f t="shared" si="32"/>
        <v>80</v>
      </c>
      <c r="AC64" s="277"/>
      <c r="AE64" s="619" t="s">
        <v>971</v>
      </c>
      <c r="AF64" s="620" t="s">
        <v>972</v>
      </c>
      <c r="AG64" s="621" t="s">
        <v>973</v>
      </c>
      <c r="AH64" s="621" t="s">
        <v>951</v>
      </c>
      <c r="AI64" s="625" t="s">
        <v>952</v>
      </c>
      <c r="AJ64" s="623" t="s">
        <v>1048</v>
      </c>
    </row>
    <row r="65" spans="1:36">
      <c r="A65" s="160"/>
      <c r="B65" s="292"/>
      <c r="C65" s="148"/>
      <c r="D65" s="144"/>
      <c r="E65" s="309" t="s">
        <v>439</v>
      </c>
      <c r="F65" s="525">
        <v>1</v>
      </c>
      <c r="G65" s="316" t="s">
        <v>262</v>
      </c>
      <c r="H65" s="319">
        <v>120</v>
      </c>
      <c r="I65" s="319">
        <v>18</v>
      </c>
      <c r="J65" s="319">
        <v>4</v>
      </c>
      <c r="K65" s="319">
        <v>3</v>
      </c>
      <c r="L65" s="643">
        <v>0</v>
      </c>
      <c r="M65" s="665">
        <v>0</v>
      </c>
      <c r="N65" s="299"/>
      <c r="O65" s="299"/>
      <c r="P65" s="144"/>
      <c r="Q65" s="288">
        <v>46040</v>
      </c>
      <c r="R65" s="276">
        <v>0.45833333333333331</v>
      </c>
      <c r="S65" s="277" t="s">
        <v>178</v>
      </c>
      <c r="T65" s="277" t="s">
        <v>181</v>
      </c>
      <c r="U65" s="278">
        <v>2</v>
      </c>
      <c r="V65" s="361" t="str">
        <f t="shared" si="26"/>
        <v>slice</v>
      </c>
      <c r="W65" s="279">
        <f t="shared" si="27"/>
        <v>140</v>
      </c>
      <c r="X65" s="279">
        <f t="shared" si="28"/>
        <v>5</v>
      </c>
      <c r="Y65" s="279">
        <f t="shared" si="29"/>
        <v>2.5</v>
      </c>
      <c r="Z65" s="279">
        <f t="shared" si="30"/>
        <v>24</v>
      </c>
      <c r="AA65" s="279">
        <f t="shared" si="31"/>
        <v>2</v>
      </c>
      <c r="AB65" s="584">
        <f t="shared" si="32"/>
        <v>0</v>
      </c>
      <c r="AC65" s="277"/>
      <c r="AE65" s="619" t="s">
        <v>975</v>
      </c>
      <c r="AF65" s="620" t="s">
        <v>976</v>
      </c>
      <c r="AG65" s="621" t="s">
        <v>977</v>
      </c>
      <c r="AH65" s="621" t="s">
        <v>978</v>
      </c>
      <c r="AI65" s="624" t="s">
        <v>979</v>
      </c>
      <c r="AJ65" s="623" t="s">
        <v>1049</v>
      </c>
    </row>
    <row r="66" spans="1:36">
      <c r="A66" s="160"/>
      <c r="B66" s="292"/>
      <c r="C66" s="148"/>
      <c r="D66" s="144"/>
      <c r="E66" s="218" t="s">
        <v>335</v>
      </c>
      <c r="F66" s="322">
        <v>100</v>
      </c>
      <c r="G66" s="189" t="s">
        <v>177</v>
      </c>
      <c r="H66" s="188">
        <v>220</v>
      </c>
      <c r="I66" s="145">
        <v>18</v>
      </c>
      <c r="J66" s="188">
        <v>15</v>
      </c>
      <c r="K66" s="188">
        <v>5</v>
      </c>
      <c r="L66" s="644">
        <v>0</v>
      </c>
      <c r="M66" s="665">
        <v>0</v>
      </c>
      <c r="N66" s="241"/>
      <c r="O66" s="241"/>
      <c r="P66" s="144"/>
      <c r="Q66" s="288">
        <v>46040</v>
      </c>
      <c r="R66" s="276">
        <v>0.5</v>
      </c>
      <c r="S66" s="277" t="s">
        <v>289</v>
      </c>
      <c r="T66" s="277" t="s">
        <v>214</v>
      </c>
      <c r="U66" s="278">
        <v>1</v>
      </c>
      <c r="V66" s="361" t="str">
        <f t="shared" si="26"/>
        <v>bar</v>
      </c>
      <c r="W66" s="279">
        <f t="shared" si="27"/>
        <v>67</v>
      </c>
      <c r="X66" s="279">
        <f t="shared" si="28"/>
        <v>1</v>
      </c>
      <c r="Y66" s="279">
        <f t="shared" si="29"/>
        <v>3.5</v>
      </c>
      <c r="Z66" s="279">
        <f t="shared" si="30"/>
        <v>22</v>
      </c>
      <c r="AA66" s="279">
        <f t="shared" si="31"/>
        <v>0.3</v>
      </c>
      <c r="AB66" s="584">
        <f t="shared" si="32"/>
        <v>0</v>
      </c>
      <c r="AC66" s="277"/>
      <c r="AE66" s="619" t="s">
        <v>981</v>
      </c>
      <c r="AF66" s="620" t="s">
        <v>982</v>
      </c>
      <c r="AG66" s="621" t="s">
        <v>983</v>
      </c>
      <c r="AH66" s="621" t="s">
        <v>1050</v>
      </c>
      <c r="AI66" s="624" t="s">
        <v>979</v>
      </c>
      <c r="AJ66" s="623" t="s">
        <v>1051</v>
      </c>
    </row>
    <row r="67" spans="1:36">
      <c r="A67" s="160"/>
      <c r="B67" s="292"/>
      <c r="C67" s="148"/>
      <c r="D67" s="144"/>
      <c r="E67" s="201" t="s">
        <v>266</v>
      </c>
      <c r="F67" s="530">
        <v>1</v>
      </c>
      <c r="G67" s="146" t="s">
        <v>267</v>
      </c>
      <c r="H67" s="146">
        <v>400</v>
      </c>
      <c r="I67" s="145">
        <v>17.5</v>
      </c>
      <c r="J67" s="146">
        <v>12.5</v>
      </c>
      <c r="K67" s="146">
        <v>52.5</v>
      </c>
      <c r="L67" s="648">
        <v>4</v>
      </c>
      <c r="M67" s="591">
        <v>20</v>
      </c>
      <c r="N67" s="160"/>
      <c r="O67" s="160"/>
      <c r="P67" s="144"/>
      <c r="Q67" s="288">
        <v>46040</v>
      </c>
      <c r="R67" s="276">
        <v>0.66666666666666663</v>
      </c>
      <c r="S67" s="277" t="s">
        <v>185</v>
      </c>
      <c r="T67" s="277" t="s">
        <v>189</v>
      </c>
      <c r="U67" s="278">
        <v>215</v>
      </c>
      <c r="V67" s="361" t="str">
        <f t="shared" si="26"/>
        <v>g</v>
      </c>
      <c r="W67" s="279">
        <f t="shared" si="27"/>
        <v>75.25</v>
      </c>
      <c r="X67" s="279">
        <f t="shared" si="28"/>
        <v>5.375</v>
      </c>
      <c r="Y67" s="279">
        <f t="shared" si="29"/>
        <v>0.86</v>
      </c>
      <c r="Z67" s="279">
        <f t="shared" si="30"/>
        <v>15.049999999999999</v>
      </c>
      <c r="AA67" s="279">
        <f t="shared" si="31"/>
        <v>5.59</v>
      </c>
      <c r="AB67" s="584">
        <f t="shared" si="32"/>
        <v>0</v>
      </c>
      <c r="AC67" s="277"/>
      <c r="AE67" s="619" t="s">
        <v>985</v>
      </c>
      <c r="AF67" s="620" t="s">
        <v>986</v>
      </c>
      <c r="AG67" s="621" t="s">
        <v>987</v>
      </c>
      <c r="AH67" s="621" t="s">
        <v>1052</v>
      </c>
      <c r="AI67" s="624" t="s">
        <v>979</v>
      </c>
      <c r="AJ67" s="623" t="s">
        <v>1053</v>
      </c>
    </row>
    <row r="68" spans="1:36">
      <c r="A68" s="291"/>
      <c r="B68" s="291"/>
      <c r="C68" s="291"/>
      <c r="D68" s="144"/>
      <c r="E68" s="207" t="s">
        <v>293</v>
      </c>
      <c r="F68" s="322">
        <v>1</v>
      </c>
      <c r="G68" s="189" t="s">
        <v>213</v>
      </c>
      <c r="H68" s="188">
        <v>150</v>
      </c>
      <c r="I68" s="145">
        <v>16</v>
      </c>
      <c r="J68" s="188">
        <v>2.5</v>
      </c>
      <c r="K68" s="188">
        <v>16</v>
      </c>
      <c r="L68" s="644">
        <v>0</v>
      </c>
      <c r="M68" s="665">
        <v>0</v>
      </c>
      <c r="N68" s="241"/>
      <c r="O68" s="241"/>
      <c r="P68" s="144"/>
      <c r="Q68" s="288">
        <v>46040</v>
      </c>
      <c r="R68" s="276">
        <v>0.66666666666666663</v>
      </c>
      <c r="S68" s="277" t="s">
        <v>185</v>
      </c>
      <c r="T68" s="277" t="s">
        <v>430</v>
      </c>
      <c r="U68" s="278">
        <v>318</v>
      </c>
      <c r="V68" s="361" t="str">
        <f t="shared" si="26"/>
        <v>g</v>
      </c>
      <c r="W68" s="279">
        <f t="shared" si="27"/>
        <v>244.86</v>
      </c>
      <c r="X68" s="279">
        <f t="shared" si="28"/>
        <v>6.36</v>
      </c>
      <c r="Y68" s="279">
        <f t="shared" si="29"/>
        <v>0</v>
      </c>
      <c r="Z68" s="279">
        <f t="shared" si="30"/>
        <v>54.06</v>
      </c>
      <c r="AA68" s="279">
        <f t="shared" si="31"/>
        <v>6.36</v>
      </c>
      <c r="AB68" s="584">
        <f t="shared" si="32"/>
        <v>0</v>
      </c>
      <c r="AC68" s="277"/>
      <c r="AE68" s="619" t="s">
        <v>989</v>
      </c>
      <c r="AF68" s="620" t="s">
        <v>990</v>
      </c>
      <c r="AG68" s="621" t="s">
        <v>991</v>
      </c>
      <c r="AH68" s="621" t="s">
        <v>992</v>
      </c>
      <c r="AI68" s="622" t="s">
        <v>993</v>
      </c>
      <c r="AJ68" s="623" t="s">
        <v>1054</v>
      </c>
    </row>
    <row r="69" spans="1:36">
      <c r="A69" s="160"/>
      <c r="B69" s="292"/>
      <c r="C69" s="148"/>
      <c r="D69" s="144"/>
      <c r="E69" s="221" t="s">
        <v>325</v>
      </c>
      <c r="F69" s="526">
        <v>150</v>
      </c>
      <c r="G69" s="533" t="s">
        <v>177</v>
      </c>
      <c r="H69" s="536">
        <v>200</v>
      </c>
      <c r="I69" s="145">
        <v>16</v>
      </c>
      <c r="J69" s="536">
        <v>14</v>
      </c>
      <c r="K69" s="536">
        <v>3</v>
      </c>
      <c r="L69" s="653">
        <v>0</v>
      </c>
      <c r="M69" s="668">
        <v>40</v>
      </c>
      <c r="N69" s="310"/>
      <c r="O69" s="310"/>
      <c r="P69" s="144"/>
      <c r="Q69" s="288">
        <v>46040</v>
      </c>
      <c r="R69" s="276">
        <v>0.66666666666666663</v>
      </c>
      <c r="S69" s="277" t="s">
        <v>185</v>
      </c>
      <c r="T69" s="277" t="s">
        <v>176</v>
      </c>
      <c r="U69" s="278">
        <v>186</v>
      </c>
      <c r="V69" s="361" t="str">
        <f t="shared" si="26"/>
        <v>g</v>
      </c>
      <c r="W69" s="279">
        <f t="shared" si="27"/>
        <v>306.90000000000003</v>
      </c>
      <c r="X69" s="279">
        <f t="shared" si="28"/>
        <v>46.5</v>
      </c>
      <c r="Y69" s="279">
        <f t="shared" si="29"/>
        <v>6.6960000000000006</v>
      </c>
      <c r="Z69" s="279">
        <f t="shared" si="30"/>
        <v>0</v>
      </c>
      <c r="AA69" s="279">
        <f t="shared" si="31"/>
        <v>0</v>
      </c>
      <c r="AB69" s="584">
        <f t="shared" si="32"/>
        <v>0</v>
      </c>
      <c r="AC69" s="277"/>
      <c r="AE69" s="619" t="s">
        <v>995</v>
      </c>
      <c r="AF69" s="620" t="s">
        <v>996</v>
      </c>
      <c r="AG69" s="621" t="s">
        <v>991</v>
      </c>
      <c r="AH69" s="621" t="s">
        <v>992</v>
      </c>
      <c r="AI69" s="622" t="s">
        <v>993</v>
      </c>
      <c r="AJ69" s="623" t="s">
        <v>1055</v>
      </c>
    </row>
    <row r="70" spans="1:36">
      <c r="A70" s="160"/>
      <c r="B70" s="292"/>
      <c r="C70" s="148"/>
      <c r="D70" s="144"/>
      <c r="E70" s="196" t="s">
        <v>336</v>
      </c>
      <c r="F70" s="513">
        <v>100</v>
      </c>
      <c r="G70" s="197" t="s">
        <v>177</v>
      </c>
      <c r="H70" s="196">
        <v>290</v>
      </c>
      <c r="I70" s="145">
        <v>16</v>
      </c>
      <c r="J70" s="196">
        <v>24</v>
      </c>
      <c r="K70" s="196">
        <v>3</v>
      </c>
      <c r="L70" s="654">
        <v>0</v>
      </c>
      <c r="M70" s="665">
        <v>0</v>
      </c>
      <c r="N70" s="241"/>
      <c r="O70" s="241"/>
      <c r="P70" s="144"/>
      <c r="Q70" s="288">
        <v>46040</v>
      </c>
      <c r="R70" s="276">
        <v>0.70833333333333337</v>
      </c>
      <c r="S70" s="277" t="s">
        <v>289</v>
      </c>
      <c r="T70" s="277" t="s">
        <v>214</v>
      </c>
      <c r="U70" s="278">
        <v>1</v>
      </c>
      <c r="V70" s="361" t="str">
        <f t="shared" si="26"/>
        <v>bar</v>
      </c>
      <c r="W70" s="279">
        <f t="shared" si="27"/>
        <v>67</v>
      </c>
      <c r="X70" s="279">
        <f t="shared" si="28"/>
        <v>1</v>
      </c>
      <c r="Y70" s="279">
        <f t="shared" si="29"/>
        <v>3.5</v>
      </c>
      <c r="Z70" s="279">
        <f t="shared" si="30"/>
        <v>22</v>
      </c>
      <c r="AA70" s="279">
        <f t="shared" si="31"/>
        <v>0.3</v>
      </c>
      <c r="AB70" s="584">
        <f t="shared" si="32"/>
        <v>0</v>
      </c>
      <c r="AC70" s="277"/>
    </row>
    <row r="71" spans="1:36" ht="17.25">
      <c r="A71" s="160"/>
      <c r="B71" s="292"/>
      <c r="C71" s="148"/>
      <c r="D71" s="144"/>
      <c r="E71" s="201" t="s">
        <v>270</v>
      </c>
      <c r="F71" s="326">
        <v>1</v>
      </c>
      <c r="G71" s="524" t="s">
        <v>267</v>
      </c>
      <c r="H71" s="524">
        <v>120</v>
      </c>
      <c r="I71" s="145">
        <v>15</v>
      </c>
      <c r="J71" s="524">
        <v>5</v>
      </c>
      <c r="K71" s="524">
        <v>8</v>
      </c>
      <c r="L71" s="655">
        <v>2</v>
      </c>
      <c r="M71" s="591">
        <v>30</v>
      </c>
      <c r="N71" s="311"/>
      <c r="O71" s="311"/>
      <c r="P71" s="144"/>
      <c r="Q71" s="288">
        <v>46040</v>
      </c>
      <c r="R71" s="276">
        <v>0.79166666666666663</v>
      </c>
      <c r="S71" s="277" t="s">
        <v>289</v>
      </c>
      <c r="T71" s="277" t="s">
        <v>214</v>
      </c>
      <c r="U71" s="278">
        <v>1</v>
      </c>
      <c r="V71" s="361" t="str">
        <f t="shared" si="26"/>
        <v>bar</v>
      </c>
      <c r="W71" s="279">
        <f t="shared" si="27"/>
        <v>67</v>
      </c>
      <c r="X71" s="279">
        <f t="shared" si="28"/>
        <v>1</v>
      </c>
      <c r="Y71" s="279">
        <f t="shared" si="29"/>
        <v>3.5</v>
      </c>
      <c r="Z71" s="279">
        <f t="shared" si="30"/>
        <v>22</v>
      </c>
      <c r="AA71" s="279">
        <f t="shared" si="31"/>
        <v>0.3</v>
      </c>
      <c r="AB71" s="584">
        <f t="shared" si="32"/>
        <v>0</v>
      </c>
      <c r="AC71" s="277"/>
      <c r="AE71" s="615" t="s">
        <v>998</v>
      </c>
      <c r="AF71" s="616"/>
      <c r="AG71" s="616"/>
      <c r="AH71" s="616"/>
      <c r="AI71" s="616"/>
      <c r="AJ71" s="616"/>
    </row>
    <row r="72" spans="1:36">
      <c r="A72" s="160"/>
      <c r="B72" s="292"/>
      <c r="C72" s="148"/>
      <c r="D72" s="144"/>
      <c r="E72" s="518" t="s">
        <v>231</v>
      </c>
      <c r="F72" s="524">
        <v>1</v>
      </c>
      <c r="G72" s="314" t="s">
        <v>245</v>
      </c>
      <c r="H72" s="201">
        <v>350</v>
      </c>
      <c r="I72" s="145">
        <v>15</v>
      </c>
      <c r="J72" s="201">
        <v>20</v>
      </c>
      <c r="K72" s="201">
        <v>15</v>
      </c>
      <c r="L72" s="656">
        <v>2</v>
      </c>
      <c r="M72" s="591">
        <v>0</v>
      </c>
      <c r="N72" s="160"/>
      <c r="O72" s="160"/>
      <c r="P72" s="144"/>
      <c r="Q72" s="288">
        <v>46040</v>
      </c>
      <c r="R72" s="276">
        <v>0.875</v>
      </c>
      <c r="S72" s="277" t="s">
        <v>199</v>
      </c>
      <c r="T72" s="277" t="s">
        <v>176</v>
      </c>
      <c r="U72" s="278">
        <v>97</v>
      </c>
      <c r="V72" s="361" t="str">
        <f t="shared" si="26"/>
        <v>g</v>
      </c>
      <c r="W72" s="279">
        <f t="shared" si="27"/>
        <v>160.04999999999998</v>
      </c>
      <c r="X72" s="279">
        <f t="shared" si="28"/>
        <v>24.25</v>
      </c>
      <c r="Y72" s="279">
        <f t="shared" si="29"/>
        <v>3.492</v>
      </c>
      <c r="Z72" s="279">
        <f t="shared" si="30"/>
        <v>0</v>
      </c>
      <c r="AA72" s="279">
        <f t="shared" si="31"/>
        <v>0</v>
      </c>
      <c r="AB72" s="584">
        <f t="shared" si="32"/>
        <v>0</v>
      </c>
      <c r="AC72" s="277"/>
      <c r="AE72" s="626">
        <v>1</v>
      </c>
      <c r="AF72" s="739" t="s">
        <v>1056</v>
      </c>
      <c r="AG72" s="740"/>
      <c r="AH72" s="740"/>
      <c r="AI72" s="740"/>
      <c r="AJ72" s="741"/>
    </row>
    <row r="73" spans="1:36">
      <c r="A73" s="144"/>
      <c r="B73" s="144"/>
      <c r="C73" s="144"/>
      <c r="D73" s="144"/>
      <c r="E73" s="206" t="s">
        <v>282</v>
      </c>
      <c r="F73" s="206">
        <v>1</v>
      </c>
      <c r="G73" s="315" t="s">
        <v>283</v>
      </c>
      <c r="H73" s="206">
        <v>320</v>
      </c>
      <c r="I73" s="145">
        <v>15</v>
      </c>
      <c r="J73" s="206">
        <v>18</v>
      </c>
      <c r="K73" s="206">
        <v>20</v>
      </c>
      <c r="L73" s="657">
        <v>3</v>
      </c>
      <c r="M73" s="591">
        <v>0</v>
      </c>
      <c r="N73" s="160"/>
      <c r="O73" s="160"/>
      <c r="P73" s="144"/>
      <c r="Q73" s="288">
        <v>46040</v>
      </c>
      <c r="R73" s="276">
        <v>0.875</v>
      </c>
      <c r="S73" s="277" t="s">
        <v>199</v>
      </c>
      <c r="T73" s="277" t="s">
        <v>234</v>
      </c>
      <c r="U73" s="278">
        <v>1</v>
      </c>
      <c r="V73" s="361" t="str">
        <f t="shared" si="26"/>
        <v>can</v>
      </c>
      <c r="W73" s="279">
        <f t="shared" si="27"/>
        <v>260</v>
      </c>
      <c r="X73" s="279">
        <f t="shared" si="28"/>
        <v>30</v>
      </c>
      <c r="Y73" s="279">
        <f t="shared" si="29"/>
        <v>16</v>
      </c>
      <c r="Z73" s="279">
        <f t="shared" si="30"/>
        <v>2</v>
      </c>
      <c r="AA73" s="279">
        <f t="shared" si="31"/>
        <v>0</v>
      </c>
      <c r="AB73" s="584">
        <f t="shared" si="32"/>
        <v>1300</v>
      </c>
      <c r="AC73" s="277"/>
      <c r="AE73" s="626">
        <v>2</v>
      </c>
      <c r="AF73" s="739" t="s">
        <v>1057</v>
      </c>
      <c r="AG73" s="740"/>
      <c r="AH73" s="740"/>
      <c r="AI73" s="740"/>
      <c r="AJ73" s="741"/>
    </row>
    <row r="74" spans="1:36">
      <c r="A74" s="144"/>
      <c r="B74" s="144"/>
      <c r="C74" s="144"/>
      <c r="D74" s="144"/>
      <c r="E74" s="196" t="s">
        <v>329</v>
      </c>
      <c r="F74" s="217">
        <v>100</v>
      </c>
      <c r="G74" s="197" t="s">
        <v>177</v>
      </c>
      <c r="H74" s="196">
        <v>420</v>
      </c>
      <c r="I74" s="145">
        <v>15</v>
      </c>
      <c r="J74" s="196">
        <v>33</v>
      </c>
      <c r="K74" s="196">
        <v>18</v>
      </c>
      <c r="L74" s="654">
        <v>1</v>
      </c>
      <c r="M74" s="665">
        <v>0</v>
      </c>
      <c r="N74" s="241"/>
      <c r="O74" s="241"/>
      <c r="P74" s="144"/>
      <c r="Q74" s="288">
        <v>46040</v>
      </c>
      <c r="R74" s="276">
        <v>0.875</v>
      </c>
      <c r="S74" s="277" t="s">
        <v>199</v>
      </c>
      <c r="T74" s="277" t="s">
        <v>181</v>
      </c>
      <c r="U74" s="278">
        <v>2</v>
      </c>
      <c r="V74" s="361" t="str">
        <f t="shared" si="26"/>
        <v>slice</v>
      </c>
      <c r="W74" s="279">
        <f t="shared" si="27"/>
        <v>140</v>
      </c>
      <c r="X74" s="279">
        <f t="shared" si="28"/>
        <v>5</v>
      </c>
      <c r="Y74" s="279">
        <f t="shared" si="29"/>
        <v>2.5</v>
      </c>
      <c r="Z74" s="279">
        <f t="shared" si="30"/>
        <v>24</v>
      </c>
      <c r="AA74" s="279">
        <f t="shared" si="31"/>
        <v>2</v>
      </c>
      <c r="AB74" s="584">
        <f t="shared" si="32"/>
        <v>0</v>
      </c>
      <c r="AC74" s="277"/>
      <c r="AE74" s="626">
        <v>3</v>
      </c>
      <c r="AF74" s="739" t="s">
        <v>1058</v>
      </c>
      <c r="AG74" s="740"/>
      <c r="AH74" s="740"/>
      <c r="AI74" s="740"/>
      <c r="AJ74" s="741"/>
    </row>
    <row r="75" spans="1:36">
      <c r="A75" s="144"/>
      <c r="B75" s="144"/>
      <c r="C75" s="144"/>
      <c r="D75" s="144"/>
      <c r="E75" s="309" t="s">
        <v>438</v>
      </c>
      <c r="F75" s="523">
        <v>1</v>
      </c>
      <c r="G75" s="531" t="s">
        <v>262</v>
      </c>
      <c r="H75" s="309">
        <v>95</v>
      </c>
      <c r="I75" s="319">
        <v>14</v>
      </c>
      <c r="J75" s="309">
        <v>3</v>
      </c>
      <c r="K75" s="309">
        <v>2</v>
      </c>
      <c r="L75" s="658">
        <v>0</v>
      </c>
      <c r="M75" s="665">
        <v>0</v>
      </c>
      <c r="N75" s="299"/>
      <c r="O75" s="299"/>
      <c r="P75" s="144"/>
      <c r="Q75" s="288">
        <v>46040</v>
      </c>
      <c r="R75" s="276">
        <v>0.875</v>
      </c>
      <c r="S75" s="277" t="s">
        <v>199</v>
      </c>
      <c r="T75" s="277" t="s">
        <v>374</v>
      </c>
      <c r="U75" s="278">
        <v>2</v>
      </c>
      <c r="V75" s="361" t="str">
        <f t="shared" si="26"/>
        <v>egg</v>
      </c>
      <c r="W75" s="279">
        <f t="shared" si="27"/>
        <v>160</v>
      </c>
      <c r="X75" s="279">
        <f t="shared" si="28"/>
        <v>14</v>
      </c>
      <c r="Y75" s="279">
        <f t="shared" si="29"/>
        <v>12</v>
      </c>
      <c r="Z75" s="279">
        <f t="shared" si="30"/>
        <v>0</v>
      </c>
      <c r="AA75" s="279">
        <f t="shared" si="31"/>
        <v>0</v>
      </c>
      <c r="AB75" s="584">
        <f t="shared" si="32"/>
        <v>80</v>
      </c>
      <c r="AC75" s="277"/>
      <c r="AE75" s="626">
        <v>4</v>
      </c>
      <c r="AF75" s="739" t="s">
        <v>1059</v>
      </c>
      <c r="AG75" s="740"/>
      <c r="AH75" s="740"/>
      <c r="AI75" s="740"/>
      <c r="AJ75" s="741"/>
    </row>
    <row r="76" spans="1:36">
      <c r="A76" s="144"/>
      <c r="B76" s="144"/>
      <c r="C76" s="144"/>
      <c r="D76" s="144"/>
      <c r="E76" s="218" t="s">
        <v>494</v>
      </c>
      <c r="F76" s="219">
        <v>7</v>
      </c>
      <c r="G76" s="220" t="s">
        <v>281</v>
      </c>
      <c r="H76" s="218">
        <v>420</v>
      </c>
      <c r="I76" s="188">
        <v>14</v>
      </c>
      <c r="J76" s="218">
        <v>38</v>
      </c>
      <c r="K76" s="218">
        <v>6</v>
      </c>
      <c r="L76" s="659">
        <v>0</v>
      </c>
      <c r="M76" s="665">
        <v>0</v>
      </c>
      <c r="N76" s="241"/>
      <c r="O76" s="241"/>
      <c r="P76" s="144"/>
      <c r="Q76" s="288">
        <v>46040</v>
      </c>
      <c r="R76" s="276">
        <v>0.875</v>
      </c>
      <c r="S76" s="277" t="s">
        <v>289</v>
      </c>
      <c r="T76" s="277" t="s">
        <v>190</v>
      </c>
      <c r="U76" s="278">
        <v>3</v>
      </c>
      <c r="V76" s="361" t="str">
        <f t="shared" si="26"/>
        <v>medium</v>
      </c>
      <c r="W76" s="279">
        <f t="shared" si="27"/>
        <v>186</v>
      </c>
      <c r="X76" s="279">
        <f t="shared" si="28"/>
        <v>3.5999999999999996</v>
      </c>
      <c r="Y76" s="279">
        <f t="shared" si="29"/>
        <v>0.60000000000000009</v>
      </c>
      <c r="Z76" s="279">
        <f t="shared" si="30"/>
        <v>46.2</v>
      </c>
      <c r="AA76" s="279">
        <f t="shared" si="31"/>
        <v>9.3000000000000007</v>
      </c>
      <c r="AB76" s="584">
        <f t="shared" si="32"/>
        <v>0</v>
      </c>
      <c r="AC76" s="277"/>
      <c r="AE76" s="626">
        <v>5</v>
      </c>
      <c r="AF76" s="739" t="s">
        <v>1060</v>
      </c>
      <c r="AG76" s="740"/>
      <c r="AH76" s="740"/>
      <c r="AI76" s="740"/>
      <c r="AJ76" s="741"/>
    </row>
    <row r="77" spans="1:36">
      <c r="A77" s="144"/>
      <c r="B77" s="144"/>
      <c r="C77" s="144"/>
      <c r="D77" s="144"/>
      <c r="E77" s="218" t="s">
        <v>775</v>
      </c>
      <c r="F77" s="219">
        <v>2</v>
      </c>
      <c r="G77" s="220" t="s">
        <v>776</v>
      </c>
      <c r="H77" s="218">
        <v>280</v>
      </c>
      <c r="I77" s="188">
        <v>14</v>
      </c>
      <c r="J77" s="218">
        <v>10</v>
      </c>
      <c r="K77" s="218">
        <v>32</v>
      </c>
      <c r="L77" s="659">
        <v>2</v>
      </c>
      <c r="M77" s="665">
        <v>0</v>
      </c>
      <c r="N77" s="241"/>
      <c r="O77" s="241"/>
      <c r="P77" s="144"/>
      <c r="Q77" s="288">
        <v>46040</v>
      </c>
      <c r="R77" s="276">
        <v>0.875</v>
      </c>
      <c r="S77" s="277" t="s">
        <v>199</v>
      </c>
      <c r="T77" s="277" t="s">
        <v>209</v>
      </c>
      <c r="U77" s="278">
        <v>2</v>
      </c>
      <c r="V77" s="361" t="str">
        <f t="shared" si="26"/>
        <v>tbsp</v>
      </c>
      <c r="W77" s="279">
        <f t="shared" si="27"/>
        <v>40</v>
      </c>
      <c r="X77" s="279">
        <f t="shared" si="28"/>
        <v>0</v>
      </c>
      <c r="Y77" s="279">
        <f t="shared" si="29"/>
        <v>0</v>
      </c>
      <c r="Z77" s="279">
        <f t="shared" si="30"/>
        <v>10</v>
      </c>
      <c r="AA77" s="279">
        <f t="shared" si="31"/>
        <v>9</v>
      </c>
      <c r="AB77" s="584">
        <f t="shared" si="32"/>
        <v>0</v>
      </c>
      <c r="AC77" s="277"/>
    </row>
    <row r="78" spans="1:36" ht="17.25">
      <c r="A78" s="144"/>
      <c r="B78" s="144"/>
      <c r="C78" s="144"/>
      <c r="D78" s="144"/>
      <c r="E78" s="201" t="s">
        <v>271</v>
      </c>
      <c r="F78" s="524">
        <v>1</v>
      </c>
      <c r="G78" s="524" t="s">
        <v>272</v>
      </c>
      <c r="H78" s="524">
        <v>250</v>
      </c>
      <c r="I78" s="145">
        <v>14</v>
      </c>
      <c r="J78" s="524">
        <v>20</v>
      </c>
      <c r="K78" s="524">
        <v>2</v>
      </c>
      <c r="L78" s="655">
        <v>0</v>
      </c>
      <c r="M78" s="591">
        <v>80</v>
      </c>
      <c r="N78" s="311"/>
      <c r="O78" s="311"/>
      <c r="P78" s="144"/>
      <c r="Q78" s="288">
        <v>46040</v>
      </c>
      <c r="R78" s="276">
        <v>0.875</v>
      </c>
      <c r="S78" s="277" t="s">
        <v>199</v>
      </c>
      <c r="T78" s="277" t="s">
        <v>212</v>
      </c>
      <c r="U78" s="278">
        <v>1</v>
      </c>
      <c r="V78" s="361" t="str">
        <f t="shared" si="26"/>
        <v>bottle</v>
      </c>
      <c r="W78" s="279">
        <f t="shared" si="27"/>
        <v>70</v>
      </c>
      <c r="X78" s="279">
        <f t="shared" si="28"/>
        <v>0</v>
      </c>
      <c r="Y78" s="279">
        <f t="shared" si="29"/>
        <v>0</v>
      </c>
      <c r="Z78" s="279">
        <f t="shared" si="30"/>
        <v>17</v>
      </c>
      <c r="AA78" s="279">
        <f t="shared" si="31"/>
        <v>1</v>
      </c>
      <c r="AB78" s="584">
        <f t="shared" si="32"/>
        <v>0</v>
      </c>
      <c r="AC78" s="277"/>
      <c r="AE78" s="615" t="s">
        <v>1004</v>
      </c>
      <c r="AF78" s="616"/>
      <c r="AG78" s="616"/>
      <c r="AH78" s="616"/>
      <c r="AI78" s="616"/>
      <c r="AJ78" s="616"/>
    </row>
    <row r="79" spans="1:36" ht="18.75">
      <c r="A79" s="144"/>
      <c r="B79" s="144"/>
      <c r="C79" s="144"/>
      <c r="D79" s="144"/>
      <c r="E79" s="516" t="s">
        <v>619</v>
      </c>
      <c r="F79" s="219">
        <v>4</v>
      </c>
      <c r="G79" s="220" t="s">
        <v>620</v>
      </c>
      <c r="H79" s="218">
        <v>240</v>
      </c>
      <c r="I79" s="188">
        <v>12</v>
      </c>
      <c r="J79" s="218">
        <v>4</v>
      </c>
      <c r="K79" s="218">
        <v>40</v>
      </c>
      <c r="L79" s="659">
        <v>3</v>
      </c>
      <c r="M79" s="665">
        <v>80</v>
      </c>
      <c r="N79" s="241"/>
      <c r="O79" s="241"/>
      <c r="P79" s="144"/>
      <c r="Q79" s="288">
        <v>46040</v>
      </c>
      <c r="R79" s="276">
        <v>0.91666666666666696</v>
      </c>
      <c r="S79" s="277" t="s">
        <v>199</v>
      </c>
      <c r="T79" s="277" t="s">
        <v>431</v>
      </c>
      <c r="U79" s="278">
        <v>1</v>
      </c>
      <c r="V79" s="361" t="str">
        <f t="shared" si="26"/>
        <v>piece</v>
      </c>
      <c r="W79" s="279">
        <f t="shared" si="27"/>
        <v>139</v>
      </c>
      <c r="X79" s="279">
        <f t="shared" si="28"/>
        <v>1.1000000000000001</v>
      </c>
      <c r="Y79" s="279">
        <f t="shared" si="29"/>
        <v>7.3</v>
      </c>
      <c r="Z79" s="279">
        <f t="shared" si="30"/>
        <v>17</v>
      </c>
      <c r="AA79" s="279">
        <f t="shared" si="31"/>
        <v>0.5</v>
      </c>
      <c r="AB79" s="684">
        <f t="shared" si="32"/>
        <v>0</v>
      </c>
      <c r="AC79" s="277"/>
      <c r="AE79" s="627" t="s">
        <v>1005</v>
      </c>
      <c r="AF79" s="739" t="s">
        <v>1061</v>
      </c>
      <c r="AG79" s="740"/>
      <c r="AH79" s="740"/>
      <c r="AI79" s="740"/>
      <c r="AJ79" s="741"/>
    </row>
    <row r="80" spans="1:36" ht="18.75">
      <c r="A80" s="144"/>
      <c r="B80" s="144"/>
      <c r="C80" s="144"/>
      <c r="D80" s="144"/>
      <c r="E80" s="218" t="s">
        <v>777</v>
      </c>
      <c r="F80" s="219">
        <v>2</v>
      </c>
      <c r="G80" s="220" t="s">
        <v>776</v>
      </c>
      <c r="H80" s="218">
        <v>240</v>
      </c>
      <c r="I80" s="188">
        <v>12</v>
      </c>
      <c r="J80" s="218">
        <v>10</v>
      </c>
      <c r="K80" s="218">
        <v>26</v>
      </c>
      <c r="L80" s="659">
        <v>2</v>
      </c>
      <c r="M80" s="665">
        <v>0</v>
      </c>
      <c r="N80" s="241"/>
      <c r="O80" s="241"/>
      <c r="P80" s="144"/>
      <c r="Q80" s="280"/>
      <c r="R80" s="281" t="s">
        <v>217</v>
      </c>
      <c r="S80" s="294"/>
      <c r="T80" s="282"/>
      <c r="U80" s="282"/>
      <c r="V80" s="364"/>
      <c r="W80" s="283">
        <f t="shared" ref="W80:AB80" si="33">SUM(W62:W79)</f>
        <v>2657.8500000000004</v>
      </c>
      <c r="X80" s="283">
        <f t="shared" si="33"/>
        <v>197.72499999999997</v>
      </c>
      <c r="Y80" s="283">
        <f t="shared" si="33"/>
        <v>76.947999999999993</v>
      </c>
      <c r="Z80" s="283">
        <f t="shared" si="33"/>
        <v>322.89999999999998</v>
      </c>
      <c r="AA80" s="683">
        <f t="shared" si="33"/>
        <v>41.19</v>
      </c>
      <c r="AB80" s="691">
        <f t="shared" si="33"/>
        <v>1460</v>
      </c>
      <c r="AC80" s="281"/>
      <c r="AE80" s="627" t="s">
        <v>1007</v>
      </c>
      <c r="AF80" s="739" t="s">
        <v>1062</v>
      </c>
      <c r="AG80" s="740"/>
      <c r="AH80" s="740"/>
      <c r="AI80" s="740"/>
      <c r="AJ80" s="741"/>
    </row>
    <row r="81" spans="1:36" ht="18.75">
      <c r="A81" s="144"/>
      <c r="B81" s="144"/>
      <c r="C81" s="144"/>
      <c r="D81" s="144"/>
      <c r="E81" s="196" t="s">
        <v>758</v>
      </c>
      <c r="F81" s="217">
        <v>1</v>
      </c>
      <c r="G81" s="197" t="s">
        <v>480</v>
      </c>
      <c r="H81" s="196">
        <v>380</v>
      </c>
      <c r="I81" s="188">
        <v>12</v>
      </c>
      <c r="J81" s="196">
        <v>8</v>
      </c>
      <c r="K81" s="196">
        <v>68</v>
      </c>
      <c r="L81" s="654">
        <v>2</v>
      </c>
      <c r="M81" s="665">
        <v>0</v>
      </c>
      <c r="N81" s="241"/>
      <c r="O81" s="241"/>
      <c r="P81" s="144"/>
      <c r="Q81" s="280"/>
      <c r="R81" s="281" t="s">
        <v>220</v>
      </c>
      <c r="S81" s="294"/>
      <c r="T81" s="282"/>
      <c r="U81" s="282"/>
      <c r="V81" s="364"/>
      <c r="W81" s="284">
        <f>$B$27</f>
        <v>2834.5625</v>
      </c>
      <c r="X81" s="284">
        <f>$B$29</f>
        <v>154</v>
      </c>
      <c r="Y81" s="284">
        <f>$B$30</f>
        <v>63.91</v>
      </c>
      <c r="Z81" s="284">
        <f>$B$31</f>
        <v>410.84312499999999</v>
      </c>
      <c r="AA81" s="690">
        <f>$B$32</f>
        <v>39.683875</v>
      </c>
      <c r="AB81" s="695">
        <f>$B$39</f>
        <v>500</v>
      </c>
      <c r="AC81" s="281"/>
      <c r="AE81" s="627" t="s">
        <v>1009</v>
      </c>
      <c r="AF81" s="739" t="s">
        <v>1063</v>
      </c>
      <c r="AG81" s="740"/>
      <c r="AH81" s="740"/>
      <c r="AI81" s="740"/>
      <c r="AJ81" s="741"/>
    </row>
    <row r="82" spans="1:36" ht="18.75">
      <c r="A82" s="144"/>
      <c r="B82" s="144"/>
      <c r="C82" s="144"/>
      <c r="D82" s="144"/>
      <c r="E82" s="521" t="s">
        <v>368</v>
      </c>
      <c r="F82" s="528">
        <v>1</v>
      </c>
      <c r="G82" s="535" t="s">
        <v>298</v>
      </c>
      <c r="H82" s="537">
        <v>320</v>
      </c>
      <c r="I82" s="145">
        <v>12</v>
      </c>
      <c r="J82" s="537">
        <v>10</v>
      </c>
      <c r="K82" s="537">
        <v>45</v>
      </c>
      <c r="L82" s="660">
        <v>3</v>
      </c>
      <c r="M82" s="665">
        <v>0</v>
      </c>
      <c r="N82" s="268"/>
      <c r="O82" s="268"/>
      <c r="P82" s="144"/>
      <c r="Q82" s="280"/>
      <c r="R82" s="281" t="s">
        <v>222</v>
      </c>
      <c r="S82" s="294"/>
      <c r="T82" s="282"/>
      <c r="U82" s="282"/>
      <c r="V82" s="364"/>
      <c r="W82" s="284">
        <f t="shared" ref="W82:AB82" si="34">W80-W81</f>
        <v>-176.71249999999964</v>
      </c>
      <c r="X82" s="284">
        <f t="shared" si="34"/>
        <v>43.724999999999966</v>
      </c>
      <c r="Y82" s="284">
        <f t="shared" si="34"/>
        <v>13.037999999999997</v>
      </c>
      <c r="Z82" s="284">
        <f t="shared" si="34"/>
        <v>-87.943125000000009</v>
      </c>
      <c r="AA82" s="690">
        <f t="shared" si="34"/>
        <v>1.5061249999999973</v>
      </c>
      <c r="AB82" s="689">
        <f t="shared" si="34"/>
        <v>960</v>
      </c>
      <c r="AC82" s="281"/>
      <c r="AE82" s="627" t="s">
        <v>1011</v>
      </c>
      <c r="AF82" s="739" t="s">
        <v>1064</v>
      </c>
      <c r="AG82" s="740"/>
      <c r="AH82" s="740"/>
      <c r="AI82" s="740"/>
      <c r="AJ82" s="741"/>
    </row>
    <row r="83" spans="1:36" ht="18.75">
      <c r="A83" s="144"/>
      <c r="B83" s="144"/>
      <c r="C83" s="144"/>
      <c r="D83" s="144"/>
      <c r="E83" s="307" t="s">
        <v>432</v>
      </c>
      <c r="F83" s="356">
        <v>180</v>
      </c>
      <c r="G83" s="358" t="s">
        <v>177</v>
      </c>
      <c r="H83" s="307">
        <v>540</v>
      </c>
      <c r="I83" s="145">
        <v>12</v>
      </c>
      <c r="J83" s="307">
        <v>32</v>
      </c>
      <c r="K83" s="307">
        <v>50</v>
      </c>
      <c r="L83" s="661">
        <v>3</v>
      </c>
      <c r="M83" s="665">
        <v>0</v>
      </c>
      <c r="P83" s="144"/>
      <c r="Q83" s="288">
        <v>46041</v>
      </c>
      <c r="R83" s="276">
        <v>0.33333333333333331</v>
      </c>
      <c r="S83" s="277" t="s">
        <v>178</v>
      </c>
      <c r="T83" s="277" t="s">
        <v>753</v>
      </c>
      <c r="U83" s="278">
        <v>150</v>
      </c>
      <c r="V83" s="361" t="str">
        <f t="shared" ref="V83:V98" si="35">IFERROR(VLOOKUP(T83, $E$5:$L$818, 3, FALSE), "")</f>
        <v>g</v>
      </c>
      <c r="W83" s="279">
        <f t="shared" ref="W83:W98" si="36">IFERROR(VLOOKUP(T83, $E$5:$L$818, 4, FALSE) * (U83 / VLOOKUP(T83, $E$5:$L$818, 2, FALSE)), "")</f>
        <v>195</v>
      </c>
      <c r="X83" s="279">
        <f t="shared" ref="X83:X98" si="37">IFERROR(VLOOKUP(T83, $E$5:$L$818, 5, FALSE) * (U83 / VLOOKUP(T83, $E$5:$L$818, 2, FALSE)), "")</f>
        <v>1.5</v>
      </c>
      <c r="Y83" s="279">
        <f t="shared" ref="Y83:Y98" si="38">IFERROR(VLOOKUP(T83, $E$5:$L$818, 6, FALSE) * (U83 / VLOOKUP(T83, $E$5:$L$818, 2, FALSE)), "")</f>
        <v>0</v>
      </c>
      <c r="Z83" s="279">
        <f t="shared" ref="Z83:Z98" si="39">IFERROR(VLOOKUP(T83, $E$5:$L$818, 7, FALSE) * (U83 / VLOOKUP(T83, $E$5:$L$818, 2, FALSE)), "")</f>
        <v>46.5</v>
      </c>
      <c r="AA83" s="279">
        <f t="shared" ref="AA83:AA98" si="40">IFERROR(VLOOKUP(T83, $E$5:$L$818, 8, FALSE) * (U83 / VLOOKUP(T83, $E$5:$L$818, 2, FALSE)), "")</f>
        <v>4.5</v>
      </c>
      <c r="AB83" s="674">
        <f t="shared" ref="AB83:AB98" si="41">IFERROR(VLOOKUP(T83, $E$5:$O$818, 9, FALSE) * (U83 / VLOOKUP(T83, $E$5:$O$818, 2, FALSE)), "")</f>
        <v>0</v>
      </c>
      <c r="AC83" s="277"/>
      <c r="AE83" s="627" t="s">
        <v>1065</v>
      </c>
      <c r="AF83" s="739" t="s">
        <v>1066</v>
      </c>
      <c r="AG83" s="740"/>
      <c r="AH83" s="740"/>
      <c r="AI83" s="740"/>
      <c r="AJ83" s="741"/>
    </row>
    <row r="84" spans="1:36">
      <c r="A84" s="144"/>
      <c r="B84" s="144"/>
      <c r="C84" s="144"/>
      <c r="D84" s="144"/>
      <c r="E84" s="201" t="s">
        <v>261</v>
      </c>
      <c r="F84" s="524">
        <v>1</v>
      </c>
      <c r="G84" s="524" t="s">
        <v>262</v>
      </c>
      <c r="H84" s="524">
        <v>110</v>
      </c>
      <c r="I84" s="145">
        <v>12</v>
      </c>
      <c r="J84" s="524">
        <v>4</v>
      </c>
      <c r="K84" s="524">
        <v>5</v>
      </c>
      <c r="L84" s="655">
        <v>0</v>
      </c>
      <c r="M84" s="591">
        <v>0</v>
      </c>
      <c r="N84" s="311"/>
      <c r="O84" s="311"/>
      <c r="P84" s="144"/>
      <c r="Q84" s="288">
        <v>46041</v>
      </c>
      <c r="R84" s="276">
        <v>0.33333333333333331</v>
      </c>
      <c r="S84" s="277" t="s">
        <v>178</v>
      </c>
      <c r="T84" s="277" t="s">
        <v>295</v>
      </c>
      <c r="U84" s="278">
        <v>1</v>
      </c>
      <c r="V84" s="361" t="str">
        <f t="shared" si="35"/>
        <v>bottle</v>
      </c>
      <c r="W84" s="279">
        <f t="shared" si="36"/>
        <v>200</v>
      </c>
      <c r="X84" s="279">
        <f t="shared" si="37"/>
        <v>35</v>
      </c>
      <c r="Y84" s="279">
        <f t="shared" si="38"/>
        <v>2.5</v>
      </c>
      <c r="Z84" s="279">
        <f t="shared" si="39"/>
        <v>9</v>
      </c>
      <c r="AA84" s="279">
        <f t="shared" si="40"/>
        <v>0</v>
      </c>
      <c r="AB84" s="584">
        <f t="shared" si="41"/>
        <v>0</v>
      </c>
      <c r="AC84" s="277"/>
    </row>
    <row r="85" spans="1:36" ht="17.25">
      <c r="A85" s="144"/>
      <c r="B85" s="144"/>
      <c r="C85" s="144"/>
      <c r="D85" s="144"/>
      <c r="E85" s="196" t="s">
        <v>457</v>
      </c>
      <c r="F85" s="217">
        <v>1</v>
      </c>
      <c r="G85" s="197" t="s">
        <v>195</v>
      </c>
      <c r="H85" s="196">
        <f>410+80+100+110</f>
        <v>700</v>
      </c>
      <c r="I85" s="188">
        <v>11</v>
      </c>
      <c r="J85" s="196">
        <v>91</v>
      </c>
      <c r="K85" s="196">
        <v>36</v>
      </c>
      <c r="L85" s="654">
        <v>0</v>
      </c>
      <c r="M85" s="665">
        <v>0</v>
      </c>
      <c r="N85" s="241"/>
      <c r="O85" s="241"/>
      <c r="P85" s="144"/>
      <c r="Q85" s="288">
        <v>46041</v>
      </c>
      <c r="R85" s="276">
        <v>0.375</v>
      </c>
      <c r="S85" s="277" t="s">
        <v>289</v>
      </c>
      <c r="T85" s="277" t="s">
        <v>432</v>
      </c>
      <c r="U85" s="278">
        <v>180</v>
      </c>
      <c r="V85" s="361" t="str">
        <f t="shared" si="35"/>
        <v>g</v>
      </c>
      <c r="W85" s="279">
        <f t="shared" si="36"/>
        <v>540</v>
      </c>
      <c r="X85" s="279">
        <f t="shared" si="37"/>
        <v>12</v>
      </c>
      <c r="Y85" s="279">
        <f t="shared" si="38"/>
        <v>32</v>
      </c>
      <c r="Z85" s="279">
        <f t="shared" si="39"/>
        <v>50</v>
      </c>
      <c r="AA85" s="279">
        <f t="shared" si="40"/>
        <v>3</v>
      </c>
      <c r="AB85" s="584">
        <f t="shared" si="41"/>
        <v>0</v>
      </c>
      <c r="AC85" s="277"/>
      <c r="AE85" s="615" t="s">
        <v>1015</v>
      </c>
      <c r="AF85" s="616"/>
      <c r="AG85" s="616"/>
      <c r="AH85" s="616"/>
      <c r="AI85" s="616"/>
      <c r="AJ85" s="616"/>
    </row>
    <row r="86" spans="1:36">
      <c r="A86" s="144"/>
      <c r="B86" s="144"/>
      <c r="C86" s="144"/>
      <c r="D86" s="144"/>
      <c r="E86" s="218" t="s">
        <v>822</v>
      </c>
      <c r="F86" s="219">
        <v>1</v>
      </c>
      <c r="G86" s="220" t="s">
        <v>195</v>
      </c>
      <c r="H86" s="218">
        <v>307</v>
      </c>
      <c r="I86" s="188">
        <v>11</v>
      </c>
      <c r="J86" s="218">
        <v>5</v>
      </c>
      <c r="K86" s="218">
        <v>54</v>
      </c>
      <c r="L86" s="659">
        <v>8</v>
      </c>
      <c r="M86" s="665">
        <v>0</v>
      </c>
      <c r="N86" s="241"/>
      <c r="O86" s="241"/>
      <c r="P86" s="144"/>
      <c r="Q86" s="288">
        <v>46041</v>
      </c>
      <c r="R86" s="276">
        <v>0.375</v>
      </c>
      <c r="S86" s="277" t="s">
        <v>289</v>
      </c>
      <c r="T86" s="277" t="s">
        <v>212</v>
      </c>
      <c r="U86" s="278">
        <v>1</v>
      </c>
      <c r="V86" s="361" t="str">
        <f t="shared" si="35"/>
        <v>bottle</v>
      </c>
      <c r="W86" s="279">
        <f t="shared" si="36"/>
        <v>70</v>
      </c>
      <c r="X86" s="279">
        <f t="shared" si="37"/>
        <v>0</v>
      </c>
      <c r="Y86" s="279">
        <f t="shared" si="38"/>
        <v>0</v>
      </c>
      <c r="Z86" s="279">
        <f t="shared" si="39"/>
        <v>17</v>
      </c>
      <c r="AA86" s="279">
        <f t="shared" si="40"/>
        <v>1</v>
      </c>
      <c r="AB86" s="584">
        <f t="shared" si="41"/>
        <v>0</v>
      </c>
      <c r="AC86" s="277"/>
      <c r="AE86" s="623"/>
      <c r="AF86" s="739" t="s">
        <v>1067</v>
      </c>
      <c r="AG86" s="740"/>
      <c r="AH86" s="740"/>
      <c r="AI86" s="740"/>
      <c r="AJ86" s="741"/>
    </row>
    <row r="87" spans="1:36">
      <c r="A87" s="144"/>
      <c r="B87" s="144"/>
      <c r="C87" s="144"/>
      <c r="D87" s="144"/>
      <c r="E87" s="218" t="s">
        <v>444</v>
      </c>
      <c r="F87" s="312">
        <v>1</v>
      </c>
      <c r="G87" s="220" t="s">
        <v>314</v>
      </c>
      <c r="H87" s="320">
        <v>270</v>
      </c>
      <c r="I87" s="234">
        <v>10</v>
      </c>
      <c r="J87" s="320">
        <v>17</v>
      </c>
      <c r="K87" s="320">
        <v>20</v>
      </c>
      <c r="L87" s="662">
        <v>4</v>
      </c>
      <c r="M87" s="665">
        <v>0</v>
      </c>
      <c r="P87" s="144"/>
      <c r="Q87" s="288">
        <v>46041</v>
      </c>
      <c r="R87" s="276">
        <v>0.41666666666666669</v>
      </c>
      <c r="S87" s="277" t="s">
        <v>289</v>
      </c>
      <c r="T87" s="277" t="s">
        <v>190</v>
      </c>
      <c r="U87" s="278">
        <v>3</v>
      </c>
      <c r="V87" s="361" t="str">
        <f t="shared" si="35"/>
        <v>medium</v>
      </c>
      <c r="W87" s="279">
        <f t="shared" si="36"/>
        <v>186</v>
      </c>
      <c r="X87" s="279">
        <f t="shared" si="37"/>
        <v>3.5999999999999996</v>
      </c>
      <c r="Y87" s="279">
        <f t="shared" si="38"/>
        <v>0.60000000000000009</v>
      </c>
      <c r="Z87" s="279">
        <f t="shared" si="39"/>
        <v>46.2</v>
      </c>
      <c r="AA87" s="279">
        <f t="shared" si="40"/>
        <v>9.3000000000000007</v>
      </c>
      <c r="AB87" s="584">
        <f t="shared" si="41"/>
        <v>0</v>
      </c>
      <c r="AC87" s="277"/>
      <c r="AE87" s="623"/>
      <c r="AF87" s="739" t="s">
        <v>1068</v>
      </c>
      <c r="AG87" s="740"/>
      <c r="AH87" s="740"/>
      <c r="AI87" s="740"/>
      <c r="AJ87" s="741"/>
    </row>
    <row r="88" spans="1:36">
      <c r="A88" s="144"/>
      <c r="B88" s="144"/>
      <c r="C88" s="144"/>
      <c r="D88" s="144"/>
      <c r="E88" s="519" t="s">
        <v>363</v>
      </c>
      <c r="F88" s="219">
        <v>1</v>
      </c>
      <c r="G88" s="220" t="s">
        <v>288</v>
      </c>
      <c r="H88" s="218">
        <v>240</v>
      </c>
      <c r="I88" s="145">
        <v>10</v>
      </c>
      <c r="J88" s="218">
        <v>9</v>
      </c>
      <c r="K88" s="218">
        <v>30</v>
      </c>
      <c r="L88" s="659">
        <v>0</v>
      </c>
      <c r="M88" s="665">
        <v>0</v>
      </c>
      <c r="N88" s="241"/>
      <c r="O88" s="241"/>
      <c r="P88" s="144"/>
      <c r="Q88" s="288">
        <v>46041</v>
      </c>
      <c r="R88" s="276">
        <v>0.5</v>
      </c>
      <c r="S88" s="277" t="s">
        <v>185</v>
      </c>
      <c r="T88" s="277" t="s">
        <v>189</v>
      </c>
      <c r="U88" s="278">
        <v>166</v>
      </c>
      <c r="V88" s="361" t="str">
        <f t="shared" si="35"/>
        <v>g</v>
      </c>
      <c r="W88" s="279">
        <f t="shared" si="36"/>
        <v>58.099999999999994</v>
      </c>
      <c r="X88" s="279">
        <f t="shared" si="37"/>
        <v>4.1499999999999995</v>
      </c>
      <c r="Y88" s="279">
        <f t="shared" si="38"/>
        <v>0.66400000000000003</v>
      </c>
      <c r="Z88" s="279">
        <f t="shared" si="39"/>
        <v>11.62</v>
      </c>
      <c r="AA88" s="279">
        <f t="shared" si="40"/>
        <v>4.3159999999999998</v>
      </c>
      <c r="AB88" s="584">
        <f t="shared" si="41"/>
        <v>0</v>
      </c>
      <c r="AC88" s="277"/>
      <c r="AE88" s="623"/>
      <c r="AF88" s="742" t="s">
        <v>1069</v>
      </c>
      <c r="AG88" s="743"/>
      <c r="AH88" s="743"/>
      <c r="AI88" s="743"/>
      <c r="AJ88" s="744"/>
    </row>
    <row r="89" spans="1:36">
      <c r="A89" s="144"/>
      <c r="B89" s="144"/>
      <c r="C89" s="144"/>
      <c r="D89" s="144"/>
      <c r="E89" s="309" t="s">
        <v>495</v>
      </c>
      <c r="F89" s="523">
        <v>1</v>
      </c>
      <c r="G89" s="531" t="s">
        <v>235</v>
      </c>
      <c r="H89" s="309">
        <v>160</v>
      </c>
      <c r="I89" s="319">
        <v>10</v>
      </c>
      <c r="J89" s="309">
        <v>10</v>
      </c>
      <c r="K89" s="309">
        <v>6</v>
      </c>
      <c r="L89" s="658">
        <v>0</v>
      </c>
      <c r="M89" s="665">
        <v>150</v>
      </c>
      <c r="N89" s="299"/>
      <c r="O89" s="299"/>
      <c r="P89" s="144"/>
      <c r="Q89" s="288">
        <v>46041</v>
      </c>
      <c r="R89" s="276">
        <v>0.5</v>
      </c>
      <c r="S89" s="277" t="s">
        <v>185</v>
      </c>
      <c r="T89" s="277" t="s">
        <v>176</v>
      </c>
      <c r="U89" s="278">
        <v>202</v>
      </c>
      <c r="V89" s="361" t="str">
        <f t="shared" si="35"/>
        <v>g</v>
      </c>
      <c r="W89" s="279">
        <f t="shared" si="36"/>
        <v>333.3</v>
      </c>
      <c r="X89" s="279">
        <f t="shared" si="37"/>
        <v>50.5</v>
      </c>
      <c r="Y89" s="279">
        <f t="shared" si="38"/>
        <v>7.2720000000000002</v>
      </c>
      <c r="Z89" s="279">
        <f t="shared" si="39"/>
        <v>0</v>
      </c>
      <c r="AA89" s="279">
        <f t="shared" si="40"/>
        <v>0</v>
      </c>
      <c r="AB89" s="584">
        <f t="shared" si="41"/>
        <v>0</v>
      </c>
      <c r="AC89" s="277"/>
    </row>
    <row r="90" spans="1:36" ht="31.5">
      <c r="A90" s="144"/>
      <c r="B90" s="144"/>
      <c r="C90" s="144"/>
      <c r="D90" s="144"/>
      <c r="E90" s="522" t="s">
        <v>359</v>
      </c>
      <c r="F90" s="529">
        <v>1</v>
      </c>
      <c r="G90" s="529" t="s">
        <v>276</v>
      </c>
      <c r="H90" s="529">
        <v>520</v>
      </c>
      <c r="I90" s="145">
        <v>9</v>
      </c>
      <c r="J90" s="529">
        <v>31</v>
      </c>
      <c r="K90" s="529">
        <v>60</v>
      </c>
      <c r="L90" s="663">
        <v>3.5</v>
      </c>
      <c r="M90" s="669">
        <v>0</v>
      </c>
      <c r="N90" s="253"/>
      <c r="O90" s="253"/>
      <c r="P90" s="144"/>
      <c r="Q90" s="288">
        <v>46041</v>
      </c>
      <c r="R90" s="276">
        <v>0.54166666666666663</v>
      </c>
      <c r="S90" s="277" t="s">
        <v>289</v>
      </c>
      <c r="T90" s="277" t="s">
        <v>351</v>
      </c>
      <c r="U90" s="278">
        <v>3</v>
      </c>
      <c r="V90" s="361" t="str">
        <f t="shared" si="35"/>
        <v>egg</v>
      </c>
      <c r="W90" s="279">
        <f t="shared" si="36"/>
        <v>210</v>
      </c>
      <c r="X90" s="279">
        <f t="shared" si="37"/>
        <v>18</v>
      </c>
      <c r="Y90" s="279">
        <f t="shared" si="38"/>
        <v>15</v>
      </c>
      <c r="Z90" s="279">
        <f t="shared" si="39"/>
        <v>0</v>
      </c>
      <c r="AA90" s="279">
        <f t="shared" si="40"/>
        <v>0</v>
      </c>
      <c r="AB90" s="584">
        <f t="shared" si="41"/>
        <v>105</v>
      </c>
      <c r="AC90" s="277"/>
      <c r="AE90" s="629" t="s">
        <v>1019</v>
      </c>
      <c r="AF90" s="628">
        <v>91</v>
      </c>
      <c r="AG90" s="629" t="s">
        <v>1020</v>
      </c>
      <c r="AH90" s="628">
        <v>2611</v>
      </c>
      <c r="AI90" s="629" t="s">
        <v>1021</v>
      </c>
      <c r="AJ90" s="630" t="s">
        <v>1070</v>
      </c>
    </row>
    <row r="91" spans="1:36">
      <c r="A91" s="144"/>
      <c r="B91" s="144"/>
      <c r="C91" s="144"/>
      <c r="D91" s="144"/>
      <c r="E91" s="320" t="s">
        <v>375</v>
      </c>
      <c r="F91" s="312">
        <v>1</v>
      </c>
      <c r="G91" s="317" t="s">
        <v>276</v>
      </c>
      <c r="H91" s="320">
        <v>110</v>
      </c>
      <c r="I91" s="145">
        <v>9</v>
      </c>
      <c r="J91" s="320">
        <v>8</v>
      </c>
      <c r="K91" s="320">
        <v>3</v>
      </c>
      <c r="L91" s="662">
        <v>0</v>
      </c>
      <c r="M91" s="665">
        <v>0</v>
      </c>
      <c r="P91" s="144"/>
      <c r="Q91" s="288">
        <v>46041</v>
      </c>
      <c r="R91" s="276">
        <v>0.54166666666666663</v>
      </c>
      <c r="S91" s="277" t="s">
        <v>289</v>
      </c>
      <c r="T91" s="277" t="s">
        <v>431</v>
      </c>
      <c r="U91" s="278">
        <v>1</v>
      </c>
      <c r="V91" s="361" t="str">
        <f t="shared" si="35"/>
        <v>piece</v>
      </c>
      <c r="W91" s="279">
        <f t="shared" si="36"/>
        <v>139</v>
      </c>
      <c r="X91" s="279">
        <f t="shared" si="37"/>
        <v>1.1000000000000001</v>
      </c>
      <c r="Y91" s="279">
        <f t="shared" si="38"/>
        <v>7.3</v>
      </c>
      <c r="Z91" s="279">
        <f t="shared" si="39"/>
        <v>17</v>
      </c>
      <c r="AA91" s="279">
        <f t="shared" si="40"/>
        <v>0.5</v>
      </c>
      <c r="AB91" s="584">
        <f t="shared" si="41"/>
        <v>0</v>
      </c>
      <c r="AC91" s="277"/>
    </row>
    <row r="92" spans="1:36">
      <c r="A92" s="144"/>
      <c r="B92" s="144"/>
      <c r="C92" s="144"/>
      <c r="D92" s="144"/>
      <c r="E92" s="196" t="s">
        <v>824</v>
      </c>
      <c r="F92" s="217">
        <v>50</v>
      </c>
      <c r="G92" s="197" t="s">
        <v>177</v>
      </c>
      <c r="H92" s="196">
        <v>300</v>
      </c>
      <c r="I92" s="188">
        <v>9</v>
      </c>
      <c r="J92" s="196">
        <v>27</v>
      </c>
      <c r="K92" s="196">
        <v>3</v>
      </c>
      <c r="L92" s="654">
        <v>0</v>
      </c>
      <c r="M92" s="665">
        <v>0</v>
      </c>
      <c r="N92" s="241"/>
      <c r="O92" s="241"/>
      <c r="P92" s="144"/>
      <c r="Q92" s="288">
        <v>46041</v>
      </c>
      <c r="R92" s="276">
        <v>0.54166666666666663</v>
      </c>
      <c r="S92" s="277" t="s">
        <v>289</v>
      </c>
      <c r="T92" s="277" t="s">
        <v>190</v>
      </c>
      <c r="U92" s="278">
        <v>1</v>
      </c>
      <c r="V92" s="361" t="str">
        <f t="shared" si="35"/>
        <v>medium</v>
      </c>
      <c r="W92" s="279">
        <f t="shared" si="36"/>
        <v>62</v>
      </c>
      <c r="X92" s="279">
        <f t="shared" si="37"/>
        <v>1.2</v>
      </c>
      <c r="Y92" s="279">
        <f t="shared" si="38"/>
        <v>0.2</v>
      </c>
      <c r="Z92" s="279">
        <f t="shared" si="39"/>
        <v>15.4</v>
      </c>
      <c r="AA92" s="279">
        <f t="shared" si="40"/>
        <v>3.1</v>
      </c>
      <c r="AB92" s="584">
        <f t="shared" si="41"/>
        <v>0</v>
      </c>
      <c r="AC92" s="277"/>
    </row>
    <row r="93" spans="1:36">
      <c r="A93" s="144"/>
      <c r="B93" s="144"/>
      <c r="C93" s="144"/>
      <c r="D93" s="144"/>
      <c r="E93" s="196" t="s">
        <v>286</v>
      </c>
      <c r="F93" s="217">
        <v>2</v>
      </c>
      <c r="G93" s="197" t="s">
        <v>281</v>
      </c>
      <c r="H93" s="196">
        <v>230</v>
      </c>
      <c r="I93" s="145">
        <v>8</v>
      </c>
      <c r="J93" s="196">
        <v>13</v>
      </c>
      <c r="K93" s="196">
        <v>19</v>
      </c>
      <c r="L93" s="654">
        <v>0</v>
      </c>
      <c r="M93" s="665">
        <v>40</v>
      </c>
      <c r="N93" s="241"/>
      <c r="O93" s="241"/>
      <c r="P93" s="144"/>
      <c r="Q93" s="288">
        <v>46041</v>
      </c>
      <c r="R93" s="276">
        <v>0.54166666666666663</v>
      </c>
      <c r="S93" s="277" t="s">
        <v>289</v>
      </c>
      <c r="T93" s="277" t="s">
        <v>483</v>
      </c>
      <c r="U93" s="278">
        <v>2</v>
      </c>
      <c r="V93" s="361" t="str">
        <f t="shared" si="35"/>
        <v>piece</v>
      </c>
      <c r="W93" s="279">
        <f t="shared" si="36"/>
        <v>400</v>
      </c>
      <c r="X93" s="279">
        <f t="shared" si="37"/>
        <v>6</v>
      </c>
      <c r="Y93" s="279">
        <f t="shared" si="38"/>
        <v>10</v>
      </c>
      <c r="Z93" s="279">
        <f t="shared" si="39"/>
        <v>76</v>
      </c>
      <c r="AA93" s="279">
        <f t="shared" si="40"/>
        <v>2</v>
      </c>
      <c r="AB93" s="584">
        <f t="shared" si="41"/>
        <v>0</v>
      </c>
      <c r="AC93" s="277"/>
    </row>
    <row r="94" spans="1:36">
      <c r="A94" s="144"/>
      <c r="B94" s="144"/>
      <c r="C94" s="144"/>
      <c r="D94" s="144"/>
      <c r="E94" s="307" t="s">
        <v>348</v>
      </c>
      <c r="F94" s="356">
        <v>1</v>
      </c>
      <c r="G94" s="358" t="s">
        <v>349</v>
      </c>
      <c r="H94" s="307">
        <v>320</v>
      </c>
      <c r="I94" s="145">
        <v>8</v>
      </c>
      <c r="J94" s="307">
        <v>19</v>
      </c>
      <c r="K94" s="307">
        <v>28</v>
      </c>
      <c r="L94" s="661">
        <v>1</v>
      </c>
      <c r="M94" s="665">
        <v>0</v>
      </c>
      <c r="P94" s="144"/>
      <c r="Q94" s="288">
        <v>46041</v>
      </c>
      <c r="R94" s="276">
        <v>0.66666666666666663</v>
      </c>
      <c r="S94" s="277" t="s">
        <v>289</v>
      </c>
      <c r="T94" s="277" t="s">
        <v>339</v>
      </c>
      <c r="U94" s="278">
        <v>1</v>
      </c>
      <c r="V94" s="361" t="str">
        <f t="shared" si="35"/>
        <v>bag</v>
      </c>
      <c r="W94" s="279">
        <f t="shared" si="36"/>
        <v>340</v>
      </c>
      <c r="X94" s="279">
        <f t="shared" si="37"/>
        <v>4</v>
      </c>
      <c r="Y94" s="279">
        <f t="shared" si="38"/>
        <v>20</v>
      </c>
      <c r="Z94" s="279">
        <f t="shared" si="39"/>
        <v>34</v>
      </c>
      <c r="AA94" s="279">
        <f t="shared" si="40"/>
        <v>1</v>
      </c>
      <c r="AB94" s="584">
        <f t="shared" si="41"/>
        <v>0</v>
      </c>
      <c r="AC94" s="277"/>
    </row>
    <row r="95" spans="1:36">
      <c r="E95" s="218" t="s">
        <v>478</v>
      </c>
      <c r="F95" s="219">
        <v>1</v>
      </c>
      <c r="G95" s="220" t="s">
        <v>346</v>
      </c>
      <c r="H95" s="218">
        <v>480</v>
      </c>
      <c r="I95" s="188">
        <v>8</v>
      </c>
      <c r="J95" s="218">
        <v>22</v>
      </c>
      <c r="K95" s="218">
        <v>62</v>
      </c>
      <c r="L95" s="659">
        <v>3</v>
      </c>
      <c r="M95" s="665">
        <v>0</v>
      </c>
      <c r="N95" s="241"/>
      <c r="O95" s="241"/>
      <c r="Q95" s="288">
        <v>46041</v>
      </c>
      <c r="R95" s="276">
        <v>0.91666666666666663</v>
      </c>
      <c r="S95" s="277" t="s">
        <v>199</v>
      </c>
      <c r="T95" s="277" t="s">
        <v>181</v>
      </c>
      <c r="U95" s="278">
        <v>2</v>
      </c>
      <c r="V95" s="361" t="str">
        <f t="shared" si="35"/>
        <v>slice</v>
      </c>
      <c r="W95" s="279">
        <f t="shared" si="36"/>
        <v>140</v>
      </c>
      <c r="X95" s="279">
        <f t="shared" si="37"/>
        <v>5</v>
      </c>
      <c r="Y95" s="279">
        <f t="shared" si="38"/>
        <v>2.5</v>
      </c>
      <c r="Z95" s="279">
        <f t="shared" si="39"/>
        <v>24</v>
      </c>
      <c r="AA95" s="279">
        <f t="shared" si="40"/>
        <v>2</v>
      </c>
      <c r="AB95" s="584">
        <f t="shared" si="41"/>
        <v>0</v>
      </c>
      <c r="AC95" s="277"/>
    </row>
    <row r="96" spans="1:36">
      <c r="E96" s="188" t="s">
        <v>445</v>
      </c>
      <c r="F96" s="210">
        <v>1</v>
      </c>
      <c r="G96" s="189" t="s">
        <v>340</v>
      </c>
      <c r="H96" s="188">
        <v>280</v>
      </c>
      <c r="I96" s="188">
        <v>8</v>
      </c>
      <c r="J96" s="188">
        <v>0</v>
      </c>
      <c r="K96" s="188">
        <f>16*4</f>
        <v>64</v>
      </c>
      <c r="L96" s="644">
        <v>0</v>
      </c>
      <c r="M96" s="665">
        <v>0</v>
      </c>
      <c r="N96" s="241"/>
      <c r="O96" s="241"/>
      <c r="Q96" s="288">
        <v>46041</v>
      </c>
      <c r="R96" s="276">
        <v>0.91666666666666663</v>
      </c>
      <c r="S96" s="277" t="s">
        <v>199</v>
      </c>
      <c r="T96" s="277" t="s">
        <v>176</v>
      </c>
      <c r="U96" s="278">
        <v>260</v>
      </c>
      <c r="V96" s="361" t="str">
        <f t="shared" si="35"/>
        <v>g</v>
      </c>
      <c r="W96" s="279">
        <f t="shared" si="36"/>
        <v>429</v>
      </c>
      <c r="X96" s="279">
        <f t="shared" si="37"/>
        <v>65</v>
      </c>
      <c r="Y96" s="279">
        <f t="shared" si="38"/>
        <v>9.3600000000000012</v>
      </c>
      <c r="Z96" s="279">
        <f t="shared" si="39"/>
        <v>0</v>
      </c>
      <c r="AA96" s="279">
        <f t="shared" si="40"/>
        <v>0</v>
      </c>
      <c r="AB96" s="584">
        <f t="shared" si="41"/>
        <v>0</v>
      </c>
      <c r="AC96" s="277"/>
    </row>
    <row r="97" spans="5:29">
      <c r="E97" s="319" t="s">
        <v>452</v>
      </c>
      <c r="F97" s="210">
        <v>1</v>
      </c>
      <c r="G97" s="189" t="s">
        <v>340</v>
      </c>
      <c r="H97" s="188">
        <v>280</v>
      </c>
      <c r="I97" s="188">
        <v>8</v>
      </c>
      <c r="J97" s="188">
        <v>0</v>
      </c>
      <c r="K97" s="188">
        <v>36</v>
      </c>
      <c r="L97" s="644">
        <v>0</v>
      </c>
      <c r="M97" s="665">
        <v>0</v>
      </c>
      <c r="N97" s="241"/>
      <c r="O97" s="241"/>
      <c r="Q97" s="288">
        <v>46041</v>
      </c>
      <c r="R97" s="276">
        <v>0.91666666666666663</v>
      </c>
      <c r="S97" s="277" t="s">
        <v>199</v>
      </c>
      <c r="T97" s="277" t="s">
        <v>209</v>
      </c>
      <c r="U97" s="278">
        <v>2</v>
      </c>
      <c r="V97" s="361" t="str">
        <f t="shared" si="35"/>
        <v>tbsp</v>
      </c>
      <c r="W97" s="279">
        <f t="shared" si="36"/>
        <v>40</v>
      </c>
      <c r="X97" s="279">
        <f t="shared" si="37"/>
        <v>0</v>
      </c>
      <c r="Y97" s="279">
        <f t="shared" si="38"/>
        <v>0</v>
      </c>
      <c r="Z97" s="279">
        <f t="shared" si="39"/>
        <v>10</v>
      </c>
      <c r="AA97" s="279">
        <f t="shared" si="40"/>
        <v>9</v>
      </c>
      <c r="AB97" s="584">
        <f t="shared" si="41"/>
        <v>0</v>
      </c>
      <c r="AC97" s="277"/>
    </row>
    <row r="98" spans="5:29">
      <c r="E98" s="145" t="s">
        <v>308</v>
      </c>
      <c r="F98" s="145">
        <v>1</v>
      </c>
      <c r="G98" s="147" t="s">
        <v>276</v>
      </c>
      <c r="H98" s="145">
        <v>110</v>
      </c>
      <c r="I98" s="145">
        <v>8</v>
      </c>
      <c r="J98" s="145">
        <v>7</v>
      </c>
      <c r="K98" s="145">
        <v>5</v>
      </c>
      <c r="L98" s="648">
        <v>0</v>
      </c>
      <c r="M98" s="591">
        <v>0</v>
      </c>
      <c r="N98" s="160"/>
      <c r="O98" s="160"/>
      <c r="Q98" s="288">
        <v>46041</v>
      </c>
      <c r="R98" s="276">
        <v>0.95833333333333304</v>
      </c>
      <c r="S98" s="277" t="s">
        <v>199</v>
      </c>
      <c r="T98" s="277" t="s">
        <v>753</v>
      </c>
      <c r="U98" s="278">
        <v>123</v>
      </c>
      <c r="V98" s="361" t="str">
        <f t="shared" si="35"/>
        <v>g</v>
      </c>
      <c r="W98" s="279">
        <f t="shared" si="36"/>
        <v>159.9</v>
      </c>
      <c r="X98" s="279">
        <f t="shared" si="37"/>
        <v>1.23</v>
      </c>
      <c r="Y98" s="279">
        <f t="shared" si="38"/>
        <v>0</v>
      </c>
      <c r="Z98" s="279">
        <f t="shared" si="39"/>
        <v>38.130000000000003</v>
      </c>
      <c r="AA98" s="279">
        <f t="shared" si="40"/>
        <v>3.69</v>
      </c>
      <c r="AB98" s="684">
        <f t="shared" si="41"/>
        <v>0</v>
      </c>
      <c r="AC98" s="277"/>
    </row>
    <row r="99" spans="5:29">
      <c r="E99" s="188" t="s">
        <v>290</v>
      </c>
      <c r="F99" s="210">
        <v>1</v>
      </c>
      <c r="G99" s="189" t="s">
        <v>276</v>
      </c>
      <c r="H99" s="188">
        <v>200</v>
      </c>
      <c r="I99" s="145">
        <v>8</v>
      </c>
      <c r="J99" s="188">
        <v>15</v>
      </c>
      <c r="K99" s="188">
        <v>3</v>
      </c>
      <c r="L99" s="644">
        <v>0</v>
      </c>
      <c r="M99" s="665">
        <v>0</v>
      </c>
      <c r="N99" s="241"/>
      <c r="O99" s="241"/>
      <c r="Q99" s="280"/>
      <c r="R99" s="281" t="s">
        <v>217</v>
      </c>
      <c r="S99" s="294"/>
      <c r="T99" s="282"/>
      <c r="U99" s="282"/>
      <c r="V99" s="364"/>
      <c r="W99" s="283">
        <f>SUM(W83:W98)</f>
        <v>3502.2999999999997</v>
      </c>
      <c r="X99" s="283">
        <f t="shared" ref="X99:AA99" si="42">SUM(X83:X98)</f>
        <v>208.28</v>
      </c>
      <c r="Y99" s="283">
        <f t="shared" si="42"/>
        <v>107.396</v>
      </c>
      <c r="Z99" s="283">
        <f t="shared" si="42"/>
        <v>394.85</v>
      </c>
      <c r="AA99" s="683">
        <f t="shared" si="42"/>
        <v>43.405999999999999</v>
      </c>
      <c r="AB99" s="691">
        <f>SUM(AB83:AB98)</f>
        <v>105</v>
      </c>
      <c r="AC99" s="281"/>
    </row>
    <row r="100" spans="5:29">
      <c r="E100" s="265" t="s">
        <v>360</v>
      </c>
      <c r="F100" s="253">
        <v>1</v>
      </c>
      <c r="G100" s="253" t="s">
        <v>361</v>
      </c>
      <c r="H100" s="253">
        <v>700</v>
      </c>
      <c r="I100" s="145">
        <v>8</v>
      </c>
      <c r="J100" s="253">
        <v>40</v>
      </c>
      <c r="K100" s="253">
        <v>76</v>
      </c>
      <c r="L100" s="253">
        <v>0</v>
      </c>
      <c r="M100" s="669">
        <v>0</v>
      </c>
      <c r="N100" s="253"/>
      <c r="O100" s="253"/>
      <c r="Q100" s="280"/>
      <c r="R100" s="281" t="s">
        <v>220</v>
      </c>
      <c r="S100" s="294"/>
      <c r="T100" s="282"/>
      <c r="U100" s="282"/>
      <c r="V100" s="364"/>
      <c r="W100" s="284">
        <f>$B$27</f>
        <v>2834.5625</v>
      </c>
      <c r="X100" s="284">
        <f>$B$29</f>
        <v>154</v>
      </c>
      <c r="Y100" s="284">
        <f>$B$30</f>
        <v>63.91</v>
      </c>
      <c r="Z100" s="284">
        <f>$B$31</f>
        <v>410.84312499999999</v>
      </c>
      <c r="AA100" s="690">
        <f>$B$32</f>
        <v>39.683875</v>
      </c>
      <c r="AB100" s="695">
        <f>$B$39</f>
        <v>500</v>
      </c>
      <c r="AC100" s="281"/>
    </row>
    <row r="101" spans="5:29">
      <c r="E101" s="241" t="s">
        <v>769</v>
      </c>
      <c r="F101" s="144">
        <v>1</v>
      </c>
      <c r="G101" s="252" t="s">
        <v>770</v>
      </c>
      <c r="H101" s="241">
        <v>250</v>
      </c>
      <c r="I101" s="188">
        <v>8</v>
      </c>
      <c r="J101" s="241">
        <v>6</v>
      </c>
      <c r="K101" s="241">
        <v>42</v>
      </c>
      <c r="L101" s="241">
        <v>1</v>
      </c>
      <c r="M101" s="665">
        <v>0</v>
      </c>
      <c r="N101" s="241"/>
      <c r="O101" s="241"/>
      <c r="Q101" s="280"/>
      <c r="R101" s="281" t="s">
        <v>222</v>
      </c>
      <c r="S101" s="294"/>
      <c r="T101" s="282"/>
      <c r="U101" s="282"/>
      <c r="V101" s="364"/>
      <c r="W101" s="284">
        <f t="shared" ref="W101:AB101" si="43">W99-W100</f>
        <v>667.73749999999973</v>
      </c>
      <c r="X101" s="284">
        <f t="shared" si="43"/>
        <v>54.28</v>
      </c>
      <c r="Y101" s="284">
        <f t="shared" si="43"/>
        <v>43.486000000000004</v>
      </c>
      <c r="Z101" s="284">
        <f t="shared" si="43"/>
        <v>-15.993124999999964</v>
      </c>
      <c r="AA101" s="690">
        <f t="shared" si="43"/>
        <v>3.7221249999999984</v>
      </c>
      <c r="AB101" s="689">
        <f t="shared" si="43"/>
        <v>-395</v>
      </c>
      <c r="AC101" s="281"/>
    </row>
    <row r="102" spans="5:29">
      <c r="E102" s="160" t="s">
        <v>264</v>
      </c>
      <c r="F102" s="311">
        <v>1</v>
      </c>
      <c r="G102" s="311" t="s">
        <v>262</v>
      </c>
      <c r="H102" s="311">
        <v>100</v>
      </c>
      <c r="I102" s="145">
        <v>8</v>
      </c>
      <c r="J102" s="311">
        <v>7</v>
      </c>
      <c r="K102" s="311">
        <v>3</v>
      </c>
      <c r="L102" s="311">
        <v>0</v>
      </c>
      <c r="M102" s="591">
        <v>0</v>
      </c>
      <c r="N102" s="311"/>
      <c r="O102" s="311"/>
      <c r="Q102" s="288">
        <v>46042</v>
      </c>
      <c r="R102" s="276">
        <v>0.33333333333333331</v>
      </c>
      <c r="S102" s="277" t="s">
        <v>178</v>
      </c>
      <c r="T102" s="277" t="s">
        <v>436</v>
      </c>
      <c r="U102" s="278">
        <v>1</v>
      </c>
      <c r="V102" s="361" t="str">
        <f t="shared" ref="V102:V116" si="44">IFERROR(VLOOKUP(T102, $E$5:$L$818, 3, FALSE), "")</f>
        <v>bag</v>
      </c>
      <c r="W102" s="279">
        <f t="shared" ref="W102:W116" si="45">IFERROR(VLOOKUP(T102, $E$5:$L$818, 4, FALSE) * (U102 / VLOOKUP(T102, $E$5:$L$818, 2, FALSE)), "")</f>
        <v>220</v>
      </c>
      <c r="X102" s="279">
        <f t="shared" ref="X102:X116" si="46">IFERROR(VLOOKUP(T102, $E$5:$L$818, 5, FALSE) * (U102 / VLOOKUP(T102, $E$5:$L$818, 2, FALSE)), "")</f>
        <v>3</v>
      </c>
      <c r="Y102" s="279">
        <f t="shared" ref="Y102:Y116" si="47">IFERROR(VLOOKUP(T102, $E$5:$L$818, 6, FALSE) * (U102 / VLOOKUP(T102, $E$5:$L$818, 2, FALSE)), "")</f>
        <v>0</v>
      </c>
      <c r="Z102" s="279">
        <f t="shared" ref="Z102:Z116" si="48">IFERROR(VLOOKUP(T102, $E$5:$L$818, 7, FALSE) * (U102 / VLOOKUP(T102, $E$5:$L$818, 2, FALSE)), "")</f>
        <v>53</v>
      </c>
      <c r="AA102" s="279">
        <f t="shared" ref="AA102:AA116" si="49">IFERROR(VLOOKUP(T102, $E$5:$L$818, 8, FALSE) * (U102 / VLOOKUP(T102, $E$5:$L$818, 2, FALSE)), "")</f>
        <v>6</v>
      </c>
      <c r="AB102" s="674">
        <f t="shared" ref="AB102:AB116" si="50">IFERROR(VLOOKUP(T102, $E$5:$O$818, 9, FALSE) * (U102 / VLOOKUP(T102, $E$5:$O$818, 2, FALSE)), "")</f>
        <v>0</v>
      </c>
      <c r="AC102" s="277"/>
    </row>
    <row r="103" spans="5:29">
      <c r="E103" s="241" t="s">
        <v>291</v>
      </c>
      <c r="F103" s="144">
        <v>1</v>
      </c>
      <c r="G103" s="252" t="s">
        <v>276</v>
      </c>
      <c r="H103" s="241">
        <v>340</v>
      </c>
      <c r="I103" s="145">
        <v>7</v>
      </c>
      <c r="J103" s="241">
        <v>4.9000000000000004</v>
      </c>
      <c r="K103" s="241">
        <v>64</v>
      </c>
      <c r="L103" s="241">
        <v>0</v>
      </c>
      <c r="M103" s="665">
        <v>0</v>
      </c>
      <c r="N103" s="241"/>
      <c r="O103" s="241"/>
      <c r="Q103" s="288">
        <v>46042</v>
      </c>
      <c r="R103" s="276">
        <v>0.33333333333333331</v>
      </c>
      <c r="S103" s="277" t="s">
        <v>178</v>
      </c>
      <c r="T103" s="277" t="s">
        <v>212</v>
      </c>
      <c r="U103" s="278">
        <v>1</v>
      </c>
      <c r="V103" s="361" t="str">
        <f t="shared" si="44"/>
        <v>bottle</v>
      </c>
      <c r="W103" s="279">
        <f t="shared" si="45"/>
        <v>70</v>
      </c>
      <c r="X103" s="279">
        <f t="shared" si="46"/>
        <v>0</v>
      </c>
      <c r="Y103" s="279">
        <f t="shared" si="47"/>
        <v>0</v>
      </c>
      <c r="Z103" s="279">
        <f t="shared" si="48"/>
        <v>17</v>
      </c>
      <c r="AA103" s="279">
        <f t="shared" si="49"/>
        <v>1</v>
      </c>
      <c r="AB103" s="584">
        <f t="shared" si="50"/>
        <v>0</v>
      </c>
      <c r="AC103" s="277"/>
    </row>
    <row r="104" spans="5:29" ht="15.75" customHeight="1">
      <c r="E104" s="308" t="s">
        <v>316</v>
      </c>
      <c r="F104" s="308">
        <v>1</v>
      </c>
      <c r="G104" s="313" t="s">
        <v>317</v>
      </c>
      <c r="H104" s="308">
        <v>480</v>
      </c>
      <c r="I104" s="145">
        <v>7</v>
      </c>
      <c r="J104" s="308">
        <v>23</v>
      </c>
      <c r="K104" s="308">
        <v>65</v>
      </c>
      <c r="L104" s="308">
        <v>6</v>
      </c>
      <c r="M104" s="668">
        <v>0</v>
      </c>
      <c r="N104" s="308"/>
      <c r="O104" s="308"/>
      <c r="Q104" s="288">
        <v>46042</v>
      </c>
      <c r="R104" s="276">
        <v>0.41666666666666669</v>
      </c>
      <c r="S104" s="277" t="s">
        <v>289</v>
      </c>
      <c r="T104" s="277" t="s">
        <v>190</v>
      </c>
      <c r="U104" s="278">
        <v>2</v>
      </c>
      <c r="V104" s="361" t="str">
        <f t="shared" si="44"/>
        <v>medium</v>
      </c>
      <c r="W104" s="279">
        <f t="shared" si="45"/>
        <v>124</v>
      </c>
      <c r="X104" s="279">
        <f t="shared" si="46"/>
        <v>2.4</v>
      </c>
      <c r="Y104" s="279">
        <f t="shared" si="47"/>
        <v>0.4</v>
      </c>
      <c r="Z104" s="279">
        <f t="shared" si="48"/>
        <v>30.8</v>
      </c>
      <c r="AA104" s="279">
        <f t="shared" si="49"/>
        <v>6.2</v>
      </c>
      <c r="AB104" s="584">
        <f t="shared" si="50"/>
        <v>0</v>
      </c>
      <c r="AC104" s="277"/>
    </row>
    <row r="105" spans="5:29">
      <c r="E105" s="241" t="s">
        <v>374</v>
      </c>
      <c r="F105" s="144">
        <v>1</v>
      </c>
      <c r="G105" s="252" t="s">
        <v>241</v>
      </c>
      <c r="H105" s="241">
        <v>80</v>
      </c>
      <c r="I105" s="145">
        <v>7</v>
      </c>
      <c r="J105" s="241">
        <v>6</v>
      </c>
      <c r="K105" s="241">
        <v>0</v>
      </c>
      <c r="L105" s="241">
        <v>0</v>
      </c>
      <c r="M105" s="665">
        <v>40</v>
      </c>
      <c r="N105" s="241"/>
      <c r="O105" s="241"/>
      <c r="Q105" s="288">
        <v>46042</v>
      </c>
      <c r="R105" s="276">
        <v>0.41666666666666669</v>
      </c>
      <c r="S105" s="277" t="s">
        <v>289</v>
      </c>
      <c r="T105" s="277" t="s">
        <v>432</v>
      </c>
      <c r="U105" s="278">
        <v>150</v>
      </c>
      <c r="V105" s="361" t="str">
        <f t="shared" si="44"/>
        <v>g</v>
      </c>
      <c r="W105" s="279">
        <f t="shared" si="45"/>
        <v>450</v>
      </c>
      <c r="X105" s="279">
        <f t="shared" si="46"/>
        <v>10</v>
      </c>
      <c r="Y105" s="279">
        <f t="shared" si="47"/>
        <v>26.666666666666668</v>
      </c>
      <c r="Z105" s="279">
        <f t="shared" si="48"/>
        <v>41.666666666666671</v>
      </c>
      <c r="AA105" s="279">
        <f t="shared" si="49"/>
        <v>2.5</v>
      </c>
      <c r="AB105" s="584">
        <f t="shared" si="50"/>
        <v>0</v>
      </c>
      <c r="AC105" s="277"/>
    </row>
    <row r="106" spans="5:29">
      <c r="E106" s="160" t="s">
        <v>188</v>
      </c>
      <c r="F106" s="311">
        <v>100</v>
      </c>
      <c r="G106" s="291" t="s">
        <v>177</v>
      </c>
      <c r="H106" s="160">
        <v>97</v>
      </c>
      <c r="I106" s="145">
        <v>6.8</v>
      </c>
      <c r="J106" s="160">
        <v>2</v>
      </c>
      <c r="K106" s="160">
        <v>13</v>
      </c>
      <c r="L106" s="160">
        <v>0</v>
      </c>
      <c r="M106" s="591">
        <v>0</v>
      </c>
      <c r="N106" s="160"/>
      <c r="O106" s="160"/>
      <c r="Q106" s="288">
        <v>46042</v>
      </c>
      <c r="R106" s="276">
        <v>0.5</v>
      </c>
      <c r="S106" s="277" t="s">
        <v>185</v>
      </c>
      <c r="T106" s="277" t="s">
        <v>189</v>
      </c>
      <c r="U106" s="278">
        <v>157</v>
      </c>
      <c r="V106" s="361" t="str">
        <f t="shared" si="44"/>
        <v>g</v>
      </c>
      <c r="W106" s="279">
        <f t="shared" si="45"/>
        <v>54.95</v>
      </c>
      <c r="X106" s="279">
        <f t="shared" si="46"/>
        <v>3.9250000000000003</v>
      </c>
      <c r="Y106" s="279">
        <f t="shared" si="47"/>
        <v>0.62800000000000011</v>
      </c>
      <c r="Z106" s="279">
        <f t="shared" si="48"/>
        <v>10.99</v>
      </c>
      <c r="AA106" s="279">
        <f t="shared" si="49"/>
        <v>4.0820000000000007</v>
      </c>
      <c r="AB106" s="584">
        <f t="shared" si="50"/>
        <v>0</v>
      </c>
      <c r="AC106" s="277"/>
    </row>
    <row r="107" spans="5:29">
      <c r="E107" s="241" t="s">
        <v>481</v>
      </c>
      <c r="F107" s="144">
        <v>1</v>
      </c>
      <c r="G107" s="252" t="s">
        <v>479</v>
      </c>
      <c r="H107" s="241">
        <v>400</v>
      </c>
      <c r="I107" s="188">
        <v>6</v>
      </c>
      <c r="J107" s="241">
        <v>25</v>
      </c>
      <c r="K107" s="241">
        <v>40</v>
      </c>
      <c r="L107" s="241">
        <v>2</v>
      </c>
      <c r="M107" s="665">
        <v>0</v>
      </c>
      <c r="N107" s="241"/>
      <c r="O107" s="241"/>
      <c r="Q107" s="288">
        <v>46042</v>
      </c>
      <c r="R107" s="276">
        <v>0.5</v>
      </c>
      <c r="S107" s="277" t="s">
        <v>185</v>
      </c>
      <c r="T107" s="277" t="s">
        <v>176</v>
      </c>
      <c r="U107" s="278">
        <v>350</v>
      </c>
      <c r="V107" s="361" t="str">
        <f t="shared" si="44"/>
        <v>g</v>
      </c>
      <c r="W107" s="279">
        <f t="shared" si="45"/>
        <v>577.5</v>
      </c>
      <c r="X107" s="279">
        <f t="shared" si="46"/>
        <v>87.5</v>
      </c>
      <c r="Y107" s="279">
        <f t="shared" si="47"/>
        <v>12.6</v>
      </c>
      <c r="Z107" s="279">
        <f t="shared" si="48"/>
        <v>0</v>
      </c>
      <c r="AA107" s="279">
        <f t="shared" si="49"/>
        <v>0</v>
      </c>
      <c r="AB107" s="584">
        <f t="shared" si="50"/>
        <v>0</v>
      </c>
      <c r="AC107" s="277"/>
    </row>
    <row r="108" spans="5:29">
      <c r="E108" s="299" t="s">
        <v>810</v>
      </c>
      <c r="F108" s="144">
        <v>150</v>
      </c>
      <c r="G108" s="252" t="s">
        <v>177</v>
      </c>
      <c r="H108" s="241">
        <v>100</v>
      </c>
      <c r="I108" s="188">
        <v>6</v>
      </c>
      <c r="J108" s="241">
        <v>2.5</v>
      </c>
      <c r="K108" s="241">
        <v>12</v>
      </c>
      <c r="L108" s="241">
        <v>0</v>
      </c>
      <c r="M108" s="665">
        <v>0</v>
      </c>
      <c r="N108" s="241"/>
      <c r="O108" s="241"/>
      <c r="Q108" s="288">
        <v>46042</v>
      </c>
      <c r="R108" s="276">
        <v>0.5</v>
      </c>
      <c r="S108" s="277" t="s">
        <v>185</v>
      </c>
      <c r="T108" s="277" t="s">
        <v>753</v>
      </c>
      <c r="U108" s="278">
        <f>314-157</f>
        <v>157</v>
      </c>
      <c r="V108" s="361" t="str">
        <f t="shared" si="44"/>
        <v>g</v>
      </c>
      <c r="W108" s="279">
        <f t="shared" si="45"/>
        <v>204.1</v>
      </c>
      <c r="X108" s="279">
        <f t="shared" si="46"/>
        <v>1.57</v>
      </c>
      <c r="Y108" s="279">
        <f t="shared" si="47"/>
        <v>0</v>
      </c>
      <c r="Z108" s="279">
        <f t="shared" si="48"/>
        <v>48.67</v>
      </c>
      <c r="AA108" s="279">
        <f t="shared" si="49"/>
        <v>4.71</v>
      </c>
      <c r="AB108" s="584">
        <f t="shared" si="50"/>
        <v>0</v>
      </c>
      <c r="AC108" s="277"/>
    </row>
    <row r="109" spans="5:29">
      <c r="E109" s="241" t="s">
        <v>805</v>
      </c>
      <c r="F109" s="144">
        <v>1</v>
      </c>
      <c r="G109" s="252" t="s">
        <v>340</v>
      </c>
      <c r="H109" s="241">
        <v>310</v>
      </c>
      <c r="I109" s="188">
        <v>6</v>
      </c>
      <c r="J109" s="241">
        <v>16</v>
      </c>
      <c r="K109" s="241">
        <v>36</v>
      </c>
      <c r="L109" s="241">
        <v>0</v>
      </c>
      <c r="M109" s="665">
        <v>0</v>
      </c>
      <c r="N109" s="241"/>
      <c r="O109" s="241"/>
      <c r="Q109" s="288">
        <v>46042</v>
      </c>
      <c r="R109" s="276">
        <v>0.625</v>
      </c>
      <c r="S109" s="277" t="s">
        <v>289</v>
      </c>
      <c r="T109" s="277" t="s">
        <v>431</v>
      </c>
      <c r="U109" s="278">
        <v>1</v>
      </c>
      <c r="V109" s="361" t="str">
        <f t="shared" si="44"/>
        <v>piece</v>
      </c>
      <c r="W109" s="279">
        <f t="shared" si="45"/>
        <v>139</v>
      </c>
      <c r="X109" s="279">
        <f t="shared" si="46"/>
        <v>1.1000000000000001</v>
      </c>
      <c r="Y109" s="279">
        <f t="shared" si="47"/>
        <v>7.3</v>
      </c>
      <c r="Z109" s="279">
        <f t="shared" si="48"/>
        <v>17</v>
      </c>
      <c r="AA109" s="279">
        <f t="shared" si="49"/>
        <v>0.5</v>
      </c>
      <c r="AB109" s="584">
        <f t="shared" si="50"/>
        <v>0</v>
      </c>
      <c r="AC109" s="277"/>
    </row>
    <row r="110" spans="5:29">
      <c r="E110" s="445" t="s">
        <v>751</v>
      </c>
      <c r="F110" s="144">
        <v>1</v>
      </c>
      <c r="G110" s="252" t="s">
        <v>303</v>
      </c>
      <c r="H110" s="241">
        <v>200</v>
      </c>
      <c r="I110" s="188">
        <v>6</v>
      </c>
      <c r="J110" s="241">
        <v>3</v>
      </c>
      <c r="K110" s="241">
        <v>38</v>
      </c>
      <c r="L110" s="241">
        <v>3</v>
      </c>
      <c r="M110" s="665">
        <v>60</v>
      </c>
      <c r="N110" s="241"/>
      <c r="O110" s="241"/>
      <c r="Q110" s="288">
        <v>46042</v>
      </c>
      <c r="R110" s="276">
        <v>0.83333333333333337</v>
      </c>
      <c r="S110" s="277" t="s">
        <v>199</v>
      </c>
      <c r="T110" s="277" t="s">
        <v>814</v>
      </c>
      <c r="U110" s="278">
        <v>1</v>
      </c>
      <c r="V110" s="361" t="str">
        <f t="shared" si="44"/>
        <v>bottle</v>
      </c>
      <c r="W110" s="279">
        <f t="shared" si="45"/>
        <v>260</v>
      </c>
      <c r="X110" s="279">
        <f t="shared" si="46"/>
        <v>33</v>
      </c>
      <c r="Y110" s="279">
        <f t="shared" si="47"/>
        <v>6</v>
      </c>
      <c r="Z110" s="279">
        <f t="shared" si="48"/>
        <v>20</v>
      </c>
      <c r="AA110" s="279">
        <f t="shared" si="49"/>
        <v>0</v>
      </c>
      <c r="AB110" s="584">
        <f t="shared" si="50"/>
        <v>0</v>
      </c>
      <c r="AC110" s="277"/>
    </row>
    <row r="111" spans="5:29" ht="15.75" customHeight="1">
      <c r="E111" s="241" t="s">
        <v>350</v>
      </c>
      <c r="F111" s="171">
        <v>1</v>
      </c>
      <c r="G111" s="252" t="s">
        <v>340</v>
      </c>
      <c r="H111" s="170">
        <v>380</v>
      </c>
      <c r="I111" s="145">
        <v>6</v>
      </c>
      <c r="J111" s="170">
        <v>18</v>
      </c>
      <c r="K111" s="170">
        <v>46</v>
      </c>
      <c r="L111" s="170">
        <v>0</v>
      </c>
      <c r="M111" s="665">
        <v>0</v>
      </c>
      <c r="Q111" s="288">
        <v>46042</v>
      </c>
      <c r="R111" s="276">
        <v>0.83333333333333337</v>
      </c>
      <c r="S111" s="277" t="s">
        <v>199</v>
      </c>
      <c r="T111" s="277" t="s">
        <v>437</v>
      </c>
      <c r="U111" s="278">
        <v>1</v>
      </c>
      <c r="V111" s="361" t="str">
        <f t="shared" si="44"/>
        <v>bag</v>
      </c>
      <c r="W111" s="279">
        <f t="shared" si="45"/>
        <v>110</v>
      </c>
      <c r="X111" s="279">
        <f t="shared" si="46"/>
        <v>3</v>
      </c>
      <c r="Y111" s="279">
        <f t="shared" si="47"/>
        <v>0</v>
      </c>
      <c r="Z111" s="279">
        <f t="shared" si="48"/>
        <v>24</v>
      </c>
      <c r="AA111" s="279">
        <f t="shared" si="49"/>
        <v>0</v>
      </c>
      <c r="AB111" s="584">
        <f t="shared" si="50"/>
        <v>0</v>
      </c>
      <c r="AC111" s="277"/>
    </row>
    <row r="112" spans="5:29">
      <c r="E112" s="241" t="s">
        <v>351</v>
      </c>
      <c r="F112" s="171">
        <v>1</v>
      </c>
      <c r="G112" s="172" t="s">
        <v>241</v>
      </c>
      <c r="H112" s="170">
        <v>70</v>
      </c>
      <c r="I112" s="145">
        <v>6</v>
      </c>
      <c r="J112" s="170">
        <v>5</v>
      </c>
      <c r="K112" s="170">
        <v>0</v>
      </c>
      <c r="L112" s="170">
        <v>0</v>
      </c>
      <c r="M112" s="665">
        <v>35</v>
      </c>
      <c r="Q112" s="288">
        <v>46042</v>
      </c>
      <c r="R112" s="276">
        <v>0.83333333333333337</v>
      </c>
      <c r="S112" s="277" t="s">
        <v>199</v>
      </c>
      <c r="T112" s="277" t="s">
        <v>351</v>
      </c>
      <c r="U112" s="278">
        <v>2</v>
      </c>
      <c r="V112" s="361" t="str">
        <f t="shared" si="44"/>
        <v>egg</v>
      </c>
      <c r="W112" s="279">
        <f t="shared" si="45"/>
        <v>140</v>
      </c>
      <c r="X112" s="279">
        <f t="shared" si="46"/>
        <v>12</v>
      </c>
      <c r="Y112" s="279">
        <f t="shared" si="47"/>
        <v>10</v>
      </c>
      <c r="Z112" s="279">
        <f t="shared" si="48"/>
        <v>0</v>
      </c>
      <c r="AA112" s="279">
        <f t="shared" si="49"/>
        <v>0</v>
      </c>
      <c r="AB112" s="584">
        <f t="shared" si="50"/>
        <v>70</v>
      </c>
      <c r="AC112" s="277"/>
    </row>
    <row r="113" spans="5:29">
      <c r="E113" s="170" t="s">
        <v>433</v>
      </c>
      <c r="F113" s="171">
        <v>100</v>
      </c>
      <c r="G113" s="172" t="s">
        <v>177</v>
      </c>
      <c r="H113" s="170">
        <v>400</v>
      </c>
      <c r="I113" s="145">
        <v>6</v>
      </c>
      <c r="J113" s="170">
        <v>10</v>
      </c>
      <c r="K113" s="170">
        <v>72</v>
      </c>
      <c r="L113" s="170">
        <v>2</v>
      </c>
      <c r="M113" s="665">
        <v>0</v>
      </c>
      <c r="Q113" s="288">
        <v>46042</v>
      </c>
      <c r="R113" s="276">
        <v>0.83333333333333337</v>
      </c>
      <c r="S113" s="277" t="s">
        <v>199</v>
      </c>
      <c r="T113" s="277" t="s">
        <v>374</v>
      </c>
      <c r="U113" s="278">
        <v>2</v>
      </c>
      <c r="V113" s="361" t="str">
        <f t="shared" si="44"/>
        <v>egg</v>
      </c>
      <c r="W113" s="279">
        <f t="shared" si="45"/>
        <v>160</v>
      </c>
      <c r="X113" s="279">
        <f t="shared" si="46"/>
        <v>14</v>
      </c>
      <c r="Y113" s="279">
        <f t="shared" si="47"/>
        <v>12</v>
      </c>
      <c r="Z113" s="279">
        <f t="shared" si="48"/>
        <v>0</v>
      </c>
      <c r="AA113" s="279">
        <f t="shared" si="49"/>
        <v>0</v>
      </c>
      <c r="AB113" s="584">
        <f t="shared" si="50"/>
        <v>80</v>
      </c>
      <c r="AC113" s="277"/>
    </row>
    <row r="114" spans="5:29">
      <c r="E114" s="160" t="s">
        <v>240</v>
      </c>
      <c r="F114" s="311">
        <v>1</v>
      </c>
      <c r="G114" s="291" t="s">
        <v>241</v>
      </c>
      <c r="H114" s="160">
        <v>90</v>
      </c>
      <c r="I114" s="145">
        <v>6</v>
      </c>
      <c r="J114" s="160">
        <v>7</v>
      </c>
      <c r="K114" s="160">
        <v>0.5</v>
      </c>
      <c r="L114" s="160">
        <v>0</v>
      </c>
      <c r="M114" s="591">
        <v>40</v>
      </c>
      <c r="N114" s="160"/>
      <c r="O114" s="160"/>
      <c r="Q114" s="288">
        <v>46042</v>
      </c>
      <c r="R114" s="276">
        <v>0.83333333333333337</v>
      </c>
      <c r="S114" s="277" t="s">
        <v>199</v>
      </c>
      <c r="T114" s="277" t="s">
        <v>181</v>
      </c>
      <c r="U114" s="278">
        <v>2</v>
      </c>
      <c r="V114" s="361" t="str">
        <f t="shared" si="44"/>
        <v>slice</v>
      </c>
      <c r="W114" s="279">
        <f t="shared" si="45"/>
        <v>140</v>
      </c>
      <c r="X114" s="279">
        <f t="shared" si="46"/>
        <v>5</v>
      </c>
      <c r="Y114" s="279">
        <f t="shared" si="47"/>
        <v>2.5</v>
      </c>
      <c r="Z114" s="279">
        <f t="shared" si="48"/>
        <v>24</v>
      </c>
      <c r="AA114" s="279">
        <f t="shared" si="49"/>
        <v>2</v>
      </c>
      <c r="AB114" s="584">
        <f t="shared" si="50"/>
        <v>0</v>
      </c>
      <c r="AC114" s="277"/>
    </row>
    <row r="115" spans="5:29">
      <c r="E115" s="241" t="s">
        <v>297</v>
      </c>
      <c r="F115" s="144">
        <v>1</v>
      </c>
      <c r="G115" s="252" t="s">
        <v>298</v>
      </c>
      <c r="H115" s="241">
        <v>290</v>
      </c>
      <c r="I115" s="145">
        <v>6</v>
      </c>
      <c r="J115" s="241">
        <v>13</v>
      </c>
      <c r="K115" s="241">
        <v>36</v>
      </c>
      <c r="L115" s="241">
        <v>0</v>
      </c>
      <c r="M115" s="665">
        <v>0</v>
      </c>
      <c r="N115" s="241"/>
      <c r="O115" s="241"/>
      <c r="Q115" s="288">
        <v>46042</v>
      </c>
      <c r="R115" s="276">
        <v>0.875</v>
      </c>
      <c r="S115" s="277" t="s">
        <v>289</v>
      </c>
      <c r="T115" s="277" t="s">
        <v>209</v>
      </c>
      <c r="U115" s="278">
        <v>3</v>
      </c>
      <c r="V115" s="361" t="str">
        <f t="shared" si="44"/>
        <v>tbsp</v>
      </c>
      <c r="W115" s="279">
        <f t="shared" si="45"/>
        <v>60</v>
      </c>
      <c r="X115" s="279">
        <f t="shared" si="46"/>
        <v>0</v>
      </c>
      <c r="Y115" s="279">
        <f t="shared" si="47"/>
        <v>0</v>
      </c>
      <c r="Z115" s="279">
        <f t="shared" si="48"/>
        <v>15</v>
      </c>
      <c r="AA115" s="279">
        <f t="shared" si="49"/>
        <v>13.5</v>
      </c>
      <c r="AB115" s="584">
        <f t="shared" si="50"/>
        <v>0</v>
      </c>
      <c r="AC115" s="277"/>
    </row>
    <row r="116" spans="5:29">
      <c r="E116" s="299" t="s">
        <v>501</v>
      </c>
      <c r="F116" s="144">
        <v>1</v>
      </c>
      <c r="G116" s="252" t="s">
        <v>227</v>
      </c>
      <c r="H116" s="241">
        <v>240</v>
      </c>
      <c r="I116" s="188">
        <v>5.2</v>
      </c>
      <c r="J116" s="241">
        <v>16.2</v>
      </c>
      <c r="K116" s="241">
        <v>18</v>
      </c>
      <c r="L116" s="241">
        <v>0</v>
      </c>
      <c r="M116" s="665">
        <v>0</v>
      </c>
      <c r="N116" s="241"/>
      <c r="O116" s="241"/>
      <c r="Q116" s="288">
        <v>46042</v>
      </c>
      <c r="R116" s="276">
        <v>0.875</v>
      </c>
      <c r="S116" s="277" t="s">
        <v>289</v>
      </c>
      <c r="T116" s="277" t="s">
        <v>431</v>
      </c>
      <c r="U116" s="278">
        <v>1</v>
      </c>
      <c r="V116" s="361" t="str">
        <f t="shared" si="44"/>
        <v>piece</v>
      </c>
      <c r="W116" s="279">
        <f t="shared" si="45"/>
        <v>139</v>
      </c>
      <c r="X116" s="279">
        <f t="shared" si="46"/>
        <v>1.1000000000000001</v>
      </c>
      <c r="Y116" s="279">
        <f t="shared" si="47"/>
        <v>7.3</v>
      </c>
      <c r="Z116" s="279">
        <f t="shared" si="48"/>
        <v>17</v>
      </c>
      <c r="AA116" s="279">
        <f t="shared" si="49"/>
        <v>0.5</v>
      </c>
      <c r="AB116" s="684">
        <f t="shared" si="50"/>
        <v>0</v>
      </c>
      <c r="AC116" s="277"/>
    </row>
    <row r="117" spans="5:29">
      <c r="E117" s="241" t="s">
        <v>473</v>
      </c>
      <c r="F117" s="144">
        <v>30</v>
      </c>
      <c r="G117" s="252" t="s">
        <v>177</v>
      </c>
      <c r="H117" s="241">
        <v>165</v>
      </c>
      <c r="I117" s="188">
        <v>5</v>
      </c>
      <c r="J117" s="241">
        <v>13</v>
      </c>
      <c r="K117" s="241">
        <v>9</v>
      </c>
      <c r="L117" s="241">
        <v>1</v>
      </c>
      <c r="M117" s="665">
        <v>0</v>
      </c>
      <c r="N117" s="241"/>
      <c r="O117" s="241"/>
      <c r="Q117" s="280"/>
      <c r="R117" s="281" t="s">
        <v>217</v>
      </c>
      <c r="S117" s="294"/>
      <c r="T117" s="282"/>
      <c r="U117" s="282"/>
      <c r="V117" s="364"/>
      <c r="W117" s="283">
        <f t="shared" ref="W117:AB117" si="51">SUM(W102:W116)</f>
        <v>2848.55</v>
      </c>
      <c r="X117" s="283">
        <f t="shared" si="51"/>
        <v>177.595</v>
      </c>
      <c r="Y117" s="283">
        <f t="shared" si="51"/>
        <v>85.394666666666652</v>
      </c>
      <c r="Z117" s="283">
        <f t="shared" si="51"/>
        <v>319.12666666666667</v>
      </c>
      <c r="AA117" s="683">
        <f t="shared" si="51"/>
        <v>40.992000000000004</v>
      </c>
      <c r="AB117" s="691">
        <f t="shared" si="51"/>
        <v>150</v>
      </c>
      <c r="AC117" s="281"/>
    </row>
    <row r="118" spans="5:29">
      <c r="E118" s="270" t="s">
        <v>366</v>
      </c>
      <c r="F118" s="267">
        <v>1</v>
      </c>
      <c r="G118" s="266" t="s">
        <v>364</v>
      </c>
      <c r="H118" s="268">
        <v>430</v>
      </c>
      <c r="I118" s="145">
        <v>5</v>
      </c>
      <c r="J118" s="268">
        <v>34</v>
      </c>
      <c r="K118" s="268">
        <v>28</v>
      </c>
      <c r="L118" s="268">
        <v>10</v>
      </c>
      <c r="M118" s="665">
        <v>0</v>
      </c>
      <c r="N118" s="268"/>
      <c r="O118" s="268"/>
      <c r="Q118" s="280"/>
      <c r="R118" s="281" t="s">
        <v>220</v>
      </c>
      <c r="S118" s="294"/>
      <c r="T118" s="282"/>
      <c r="U118" s="282"/>
      <c r="V118" s="364"/>
      <c r="W118" s="284">
        <f>$B$27</f>
        <v>2834.5625</v>
      </c>
      <c r="X118" s="284">
        <f>$B$29</f>
        <v>154</v>
      </c>
      <c r="Y118" s="284">
        <f>$B$30</f>
        <v>63.91</v>
      </c>
      <c r="Z118" s="284">
        <f>$B$31</f>
        <v>410.84312499999999</v>
      </c>
      <c r="AA118" s="690">
        <f>$B$32</f>
        <v>39.683875</v>
      </c>
      <c r="AB118" s="695">
        <f>$B$39</f>
        <v>500</v>
      </c>
      <c r="AC118" s="281"/>
    </row>
    <row r="119" spans="5:29">
      <c r="E119" s="241" t="s">
        <v>491</v>
      </c>
      <c r="F119" s="144">
        <v>1</v>
      </c>
      <c r="G119" s="252" t="s">
        <v>340</v>
      </c>
      <c r="H119" s="241">
        <f>170*2.5</f>
        <v>425</v>
      </c>
      <c r="I119" s="188">
        <f>2*2.5</f>
        <v>5</v>
      </c>
      <c r="J119" s="241">
        <f>11*2.5</f>
        <v>27.5</v>
      </c>
      <c r="K119" s="241">
        <f>16*2.5</f>
        <v>40</v>
      </c>
      <c r="L119" s="241">
        <f>1*2.5</f>
        <v>2.5</v>
      </c>
      <c r="M119" s="665">
        <v>0</v>
      </c>
      <c r="N119" s="241"/>
      <c r="O119" s="241"/>
      <c r="Q119" s="280"/>
      <c r="R119" s="281" t="s">
        <v>222</v>
      </c>
      <c r="S119" s="294"/>
      <c r="T119" s="282"/>
      <c r="U119" s="282"/>
      <c r="V119" s="364"/>
      <c r="W119" s="284">
        <f t="shared" ref="W119:AB119" si="52">W117-W118</f>
        <v>13.987500000000182</v>
      </c>
      <c r="X119" s="284">
        <f t="shared" si="52"/>
        <v>23.594999999999999</v>
      </c>
      <c r="Y119" s="284">
        <f t="shared" si="52"/>
        <v>21.484666666666655</v>
      </c>
      <c r="Z119" s="284">
        <f t="shared" si="52"/>
        <v>-91.716458333333321</v>
      </c>
      <c r="AA119" s="690">
        <f t="shared" si="52"/>
        <v>1.308125000000004</v>
      </c>
      <c r="AB119" s="689">
        <f t="shared" si="52"/>
        <v>-350</v>
      </c>
      <c r="AC119" s="281"/>
    </row>
    <row r="120" spans="5:29">
      <c r="E120" s="241" t="s">
        <v>808</v>
      </c>
      <c r="F120" s="144">
        <f>1/4</f>
        <v>0.25</v>
      </c>
      <c r="G120" s="252" t="s">
        <v>809</v>
      </c>
      <c r="H120" s="241">
        <v>80</v>
      </c>
      <c r="I120" s="188">
        <v>5</v>
      </c>
      <c r="J120" s="241">
        <v>2.5</v>
      </c>
      <c r="K120" s="241">
        <v>10</v>
      </c>
      <c r="L120" s="241">
        <v>0</v>
      </c>
      <c r="M120" s="665">
        <v>0</v>
      </c>
      <c r="N120" s="241"/>
      <c r="O120" s="241"/>
      <c r="Q120" s="288">
        <v>46043</v>
      </c>
      <c r="R120" s="276">
        <v>0.33333333333333331</v>
      </c>
      <c r="S120" s="277" t="s">
        <v>178</v>
      </c>
      <c r="T120" s="277" t="s">
        <v>180</v>
      </c>
      <c r="U120" s="278">
        <v>50</v>
      </c>
      <c r="V120" s="361" t="str">
        <f t="shared" ref="V120:V137" si="53">IFERROR(VLOOKUP(T120, $E$5:$L$818, 3, FALSE), "")</f>
        <v>g</v>
      </c>
      <c r="W120" s="279">
        <f t="shared" ref="W120:W137" si="54">IFERROR(VLOOKUP(T120, $E$5:$L$818, 4, FALSE) * (U120 / VLOOKUP(T120, $E$5:$L$818, 2, FALSE)), "")</f>
        <v>65</v>
      </c>
      <c r="X120" s="279">
        <f t="shared" ref="X120:X137" si="55">IFERROR(VLOOKUP(T120, $E$5:$L$818, 5, FALSE) * (U120 / VLOOKUP(T120, $E$5:$L$818, 2, FALSE)), "")</f>
        <v>1.35</v>
      </c>
      <c r="Y120" s="279">
        <f t="shared" ref="Y120:Y137" si="56">IFERROR(VLOOKUP(T120, $E$5:$L$818, 6, FALSE) * (U120 / VLOOKUP(T120, $E$5:$L$818, 2, FALSE)), "")</f>
        <v>0.15</v>
      </c>
      <c r="Z120" s="279">
        <f t="shared" ref="Z120:Z137" si="57">IFERROR(VLOOKUP(T120, $E$5:$L$818, 7, FALSE) * (U120 / VLOOKUP(T120, $E$5:$L$818, 2, FALSE)), "")</f>
        <v>14</v>
      </c>
      <c r="AA120" s="279">
        <f t="shared" ref="AA120:AA137" si="58">IFERROR(VLOOKUP(T120, $E$5:$L$818, 8, FALSE) * (U120 / VLOOKUP(T120, $E$5:$L$818, 2, FALSE)), "")</f>
        <v>0.2</v>
      </c>
      <c r="AB120" s="674">
        <f t="shared" ref="AB120:AB137" si="59">IFERROR(VLOOKUP(T120, $E$5:$O$818, 9, FALSE) * (U120 / VLOOKUP(T120, $E$5:$O$818, 2, FALSE)), "")</f>
        <v>0</v>
      </c>
      <c r="AC120" s="277"/>
    </row>
    <row r="121" spans="5:29">
      <c r="E121" s="160" t="s">
        <v>273</v>
      </c>
      <c r="F121" s="311">
        <v>1</v>
      </c>
      <c r="G121" s="311" t="s">
        <v>274</v>
      </c>
      <c r="H121" s="311">
        <v>210</v>
      </c>
      <c r="I121" s="145">
        <v>5</v>
      </c>
      <c r="J121" s="311">
        <v>1</v>
      </c>
      <c r="K121" s="311">
        <v>45</v>
      </c>
      <c r="L121" s="311">
        <v>2</v>
      </c>
      <c r="M121" s="591">
        <v>0</v>
      </c>
      <c r="N121" s="311"/>
      <c r="O121" s="311"/>
      <c r="Q121" s="288">
        <v>46043</v>
      </c>
      <c r="R121" s="276">
        <v>0.33333333333333331</v>
      </c>
      <c r="S121" s="277" t="s">
        <v>178</v>
      </c>
      <c r="T121" s="277" t="s">
        <v>351</v>
      </c>
      <c r="U121" s="278">
        <v>2</v>
      </c>
      <c r="V121" s="361" t="str">
        <f t="shared" si="53"/>
        <v>egg</v>
      </c>
      <c r="W121" s="279">
        <f t="shared" si="54"/>
        <v>140</v>
      </c>
      <c r="X121" s="279">
        <f t="shared" si="55"/>
        <v>12</v>
      </c>
      <c r="Y121" s="279">
        <f t="shared" si="56"/>
        <v>10</v>
      </c>
      <c r="Z121" s="279">
        <f t="shared" si="57"/>
        <v>0</v>
      </c>
      <c r="AA121" s="279">
        <f t="shared" si="58"/>
        <v>0</v>
      </c>
      <c r="AB121" s="584">
        <f t="shared" si="59"/>
        <v>70</v>
      </c>
      <c r="AC121" s="277"/>
    </row>
    <row r="122" spans="5:29">
      <c r="E122" s="241" t="s">
        <v>331</v>
      </c>
      <c r="F122" s="144">
        <v>100</v>
      </c>
      <c r="G122" s="252" t="s">
        <v>177</v>
      </c>
      <c r="H122" s="241">
        <v>280</v>
      </c>
      <c r="I122" s="145">
        <v>5</v>
      </c>
      <c r="J122" s="241">
        <v>16</v>
      </c>
      <c r="K122" s="241">
        <v>30</v>
      </c>
      <c r="L122" s="241">
        <v>1</v>
      </c>
      <c r="M122" s="665">
        <v>0</v>
      </c>
      <c r="N122" s="241"/>
      <c r="O122" s="241"/>
      <c r="Q122" s="288">
        <v>46043</v>
      </c>
      <c r="R122" s="276">
        <v>0.33333333333333331</v>
      </c>
      <c r="S122" s="277" t="s">
        <v>178</v>
      </c>
      <c r="T122" s="277" t="s">
        <v>181</v>
      </c>
      <c r="U122" s="278">
        <v>1</v>
      </c>
      <c r="V122" s="361" t="str">
        <f t="shared" si="53"/>
        <v>slice</v>
      </c>
      <c r="W122" s="279">
        <f t="shared" si="54"/>
        <v>70</v>
      </c>
      <c r="X122" s="279">
        <f t="shared" si="55"/>
        <v>2.5</v>
      </c>
      <c r="Y122" s="279">
        <f t="shared" si="56"/>
        <v>1.25</v>
      </c>
      <c r="Z122" s="279">
        <f t="shared" si="57"/>
        <v>12</v>
      </c>
      <c r="AA122" s="279">
        <f t="shared" si="58"/>
        <v>1</v>
      </c>
      <c r="AB122" s="584">
        <f t="shared" si="59"/>
        <v>0</v>
      </c>
      <c r="AC122" s="277"/>
    </row>
    <row r="123" spans="5:29">
      <c r="E123" s="241" t="s">
        <v>469</v>
      </c>
      <c r="F123" s="144">
        <v>1</v>
      </c>
      <c r="G123" s="252" t="s">
        <v>298</v>
      </c>
      <c r="H123" s="241">
        <v>180</v>
      </c>
      <c r="I123" s="188">
        <v>5</v>
      </c>
      <c r="J123" s="241">
        <v>9</v>
      </c>
      <c r="K123" s="241">
        <v>22</v>
      </c>
      <c r="L123" s="241">
        <v>2</v>
      </c>
      <c r="M123" s="665">
        <v>0</v>
      </c>
      <c r="N123" s="241"/>
      <c r="O123" s="241"/>
      <c r="Q123" s="288">
        <v>46043</v>
      </c>
      <c r="R123" s="276">
        <v>0.33333333333333331</v>
      </c>
      <c r="S123" s="277" t="s">
        <v>178</v>
      </c>
      <c r="T123" s="277" t="s">
        <v>814</v>
      </c>
      <c r="U123" s="278">
        <v>1</v>
      </c>
      <c r="V123" s="361" t="str">
        <f t="shared" si="53"/>
        <v>bottle</v>
      </c>
      <c r="W123" s="279">
        <f t="shared" si="54"/>
        <v>260</v>
      </c>
      <c r="X123" s="279">
        <f t="shared" si="55"/>
        <v>33</v>
      </c>
      <c r="Y123" s="279">
        <f t="shared" si="56"/>
        <v>6</v>
      </c>
      <c r="Z123" s="279">
        <f t="shared" si="57"/>
        <v>20</v>
      </c>
      <c r="AA123" s="279">
        <f t="shared" si="58"/>
        <v>0</v>
      </c>
      <c r="AB123" s="584">
        <f t="shared" si="59"/>
        <v>0</v>
      </c>
      <c r="AC123" s="277"/>
    </row>
    <row r="124" spans="5:29">
      <c r="E124" s="241" t="s">
        <v>754</v>
      </c>
      <c r="F124" s="144">
        <v>150</v>
      </c>
      <c r="G124" s="252" t="s">
        <v>177</v>
      </c>
      <c r="H124" s="241">
        <v>165</v>
      </c>
      <c r="I124" s="188">
        <v>4</v>
      </c>
      <c r="J124" s="241">
        <v>1</v>
      </c>
      <c r="K124" s="241">
        <v>34</v>
      </c>
      <c r="L124" s="241">
        <v>2</v>
      </c>
      <c r="M124" s="665">
        <v>0</v>
      </c>
      <c r="N124" s="241"/>
      <c r="O124" s="241"/>
      <c r="Q124" s="288">
        <v>46043</v>
      </c>
      <c r="R124" s="276">
        <v>0.375</v>
      </c>
      <c r="S124" s="277" t="s">
        <v>178</v>
      </c>
      <c r="T124" s="277" t="s">
        <v>438</v>
      </c>
      <c r="U124" s="278">
        <v>1</v>
      </c>
      <c r="V124" s="361" t="str">
        <f t="shared" si="53"/>
        <v>stick</v>
      </c>
      <c r="W124" s="279">
        <f t="shared" si="54"/>
        <v>95</v>
      </c>
      <c r="X124" s="279">
        <f t="shared" si="55"/>
        <v>14</v>
      </c>
      <c r="Y124" s="279">
        <f t="shared" si="56"/>
        <v>3</v>
      </c>
      <c r="Z124" s="279">
        <f t="shared" si="57"/>
        <v>2</v>
      </c>
      <c r="AA124" s="279">
        <f t="shared" si="58"/>
        <v>0</v>
      </c>
      <c r="AB124" s="584">
        <f t="shared" si="59"/>
        <v>0</v>
      </c>
      <c r="AC124" s="277"/>
    </row>
    <row r="125" spans="5:29">
      <c r="E125" s="241" t="s">
        <v>807</v>
      </c>
      <c r="F125" s="144">
        <v>500</v>
      </c>
      <c r="G125" s="252" t="s">
        <v>177</v>
      </c>
      <c r="H125" s="241">
        <v>340</v>
      </c>
      <c r="I125" s="188">
        <v>4</v>
      </c>
      <c r="J125" s="241">
        <v>20</v>
      </c>
      <c r="K125" s="241">
        <v>36</v>
      </c>
      <c r="L125" s="241">
        <v>4</v>
      </c>
      <c r="M125" s="665">
        <v>0</v>
      </c>
      <c r="N125" s="241"/>
      <c r="O125" s="241"/>
      <c r="Q125" s="288">
        <v>46043</v>
      </c>
      <c r="R125" s="276">
        <v>0.375</v>
      </c>
      <c r="S125" s="277" t="s">
        <v>289</v>
      </c>
      <c r="T125" s="277" t="s">
        <v>190</v>
      </c>
      <c r="U125" s="278">
        <v>2.5</v>
      </c>
      <c r="V125" s="361" t="str">
        <f t="shared" si="53"/>
        <v>medium</v>
      </c>
      <c r="W125" s="279">
        <f t="shared" si="54"/>
        <v>155</v>
      </c>
      <c r="X125" s="279">
        <f t="shared" si="55"/>
        <v>3</v>
      </c>
      <c r="Y125" s="279">
        <f t="shared" si="56"/>
        <v>0.5</v>
      </c>
      <c r="Z125" s="279">
        <f t="shared" si="57"/>
        <v>38.5</v>
      </c>
      <c r="AA125" s="279">
        <f t="shared" si="58"/>
        <v>7.75</v>
      </c>
      <c r="AB125" s="584">
        <f t="shared" si="59"/>
        <v>0</v>
      </c>
      <c r="AC125" s="277"/>
    </row>
    <row r="126" spans="5:29">
      <c r="E126" s="241" t="s">
        <v>772</v>
      </c>
      <c r="F126" s="144">
        <v>1</v>
      </c>
      <c r="G126" s="252" t="s">
        <v>195</v>
      </c>
      <c r="H126" s="241">
        <v>420</v>
      </c>
      <c r="I126" s="188">
        <v>4</v>
      </c>
      <c r="J126" s="241">
        <v>12</v>
      </c>
      <c r="K126" s="241">
        <v>74</v>
      </c>
      <c r="L126" s="241">
        <v>2</v>
      </c>
      <c r="M126" s="665">
        <v>0</v>
      </c>
      <c r="N126" s="241"/>
      <c r="O126" s="241"/>
      <c r="Q126" s="288">
        <v>46043</v>
      </c>
      <c r="R126" s="276">
        <v>0.41666666666666669</v>
      </c>
      <c r="S126" s="277" t="s">
        <v>289</v>
      </c>
      <c r="T126" s="277" t="s">
        <v>432</v>
      </c>
      <c r="U126" s="278">
        <v>50</v>
      </c>
      <c r="V126" s="361" t="str">
        <f t="shared" si="53"/>
        <v>g</v>
      </c>
      <c r="W126" s="279">
        <f t="shared" si="54"/>
        <v>150</v>
      </c>
      <c r="X126" s="279">
        <f t="shared" si="55"/>
        <v>3.3333333333333335</v>
      </c>
      <c r="Y126" s="279">
        <f t="shared" si="56"/>
        <v>8.8888888888888893</v>
      </c>
      <c r="Z126" s="279">
        <f t="shared" si="57"/>
        <v>13.888888888888889</v>
      </c>
      <c r="AA126" s="279">
        <f t="shared" si="58"/>
        <v>0.83333333333333337</v>
      </c>
      <c r="AB126" s="584">
        <f t="shared" si="59"/>
        <v>0</v>
      </c>
      <c r="AC126" s="277"/>
    </row>
    <row r="127" spans="5:29">
      <c r="E127" s="241" t="s">
        <v>339</v>
      </c>
      <c r="F127" s="144">
        <v>1</v>
      </c>
      <c r="G127" s="252" t="s">
        <v>340</v>
      </c>
      <c r="H127" s="241">
        <v>340</v>
      </c>
      <c r="I127" s="145">
        <v>4</v>
      </c>
      <c r="J127" s="241">
        <v>20</v>
      </c>
      <c r="K127" s="241">
        <v>34</v>
      </c>
      <c r="L127" s="241">
        <v>1</v>
      </c>
      <c r="M127" s="665">
        <v>0</v>
      </c>
      <c r="N127" s="241"/>
      <c r="O127" s="241"/>
      <c r="Q127" s="288">
        <v>46043</v>
      </c>
      <c r="R127" s="276">
        <v>0.5</v>
      </c>
      <c r="S127" s="277" t="s">
        <v>185</v>
      </c>
      <c r="T127" s="277" t="s">
        <v>189</v>
      </c>
      <c r="U127" s="278">
        <v>160</v>
      </c>
      <c r="V127" s="361" t="str">
        <f t="shared" si="53"/>
        <v>g</v>
      </c>
      <c r="W127" s="279">
        <f t="shared" si="54"/>
        <v>56</v>
      </c>
      <c r="X127" s="279">
        <f t="shared" si="55"/>
        <v>4</v>
      </c>
      <c r="Y127" s="279">
        <f t="shared" si="56"/>
        <v>0.64000000000000012</v>
      </c>
      <c r="Z127" s="279">
        <f t="shared" si="57"/>
        <v>11.200000000000001</v>
      </c>
      <c r="AA127" s="279">
        <f t="shared" si="58"/>
        <v>4.16</v>
      </c>
      <c r="AB127" s="584">
        <f t="shared" si="59"/>
        <v>0</v>
      </c>
      <c r="AC127" s="277"/>
    </row>
    <row r="128" spans="5:29">
      <c r="E128" s="265" t="s">
        <v>421</v>
      </c>
      <c r="F128" s="144">
        <v>1</v>
      </c>
      <c r="G128" s="252" t="s">
        <v>340</v>
      </c>
      <c r="H128" s="241">
        <v>340</v>
      </c>
      <c r="I128" s="145">
        <v>4</v>
      </c>
      <c r="J128" s="241">
        <v>22</v>
      </c>
      <c r="K128" s="241">
        <v>32</v>
      </c>
      <c r="L128" s="241">
        <v>2</v>
      </c>
      <c r="M128" s="665">
        <v>0</v>
      </c>
      <c r="N128" s="241"/>
      <c r="O128" s="241"/>
      <c r="Q128" s="288">
        <v>46043</v>
      </c>
      <c r="R128" s="276">
        <v>0.5</v>
      </c>
      <c r="S128" s="277" t="s">
        <v>185</v>
      </c>
      <c r="T128" s="277" t="s">
        <v>176</v>
      </c>
      <c r="U128" s="278">
        <f>376/2</f>
        <v>188</v>
      </c>
      <c r="V128" s="361" t="str">
        <f t="shared" si="53"/>
        <v>g</v>
      </c>
      <c r="W128" s="279">
        <f t="shared" si="54"/>
        <v>310.2</v>
      </c>
      <c r="X128" s="279">
        <f t="shared" si="55"/>
        <v>47</v>
      </c>
      <c r="Y128" s="279">
        <f t="shared" si="56"/>
        <v>6.7679999999999998</v>
      </c>
      <c r="Z128" s="279">
        <f t="shared" si="57"/>
        <v>0</v>
      </c>
      <c r="AA128" s="279">
        <f t="shared" si="58"/>
        <v>0</v>
      </c>
      <c r="AB128" s="584">
        <f t="shared" si="59"/>
        <v>0</v>
      </c>
      <c r="AC128" s="277"/>
    </row>
    <row r="129" spans="5:29">
      <c r="E129" s="241" t="s">
        <v>333</v>
      </c>
      <c r="F129" s="144">
        <v>35</v>
      </c>
      <c r="G129" s="252" t="s">
        <v>177</v>
      </c>
      <c r="H129" s="241">
        <v>190</v>
      </c>
      <c r="I129" s="160">
        <v>4</v>
      </c>
      <c r="J129" s="241">
        <v>13</v>
      </c>
      <c r="K129" s="241">
        <v>17</v>
      </c>
      <c r="L129" s="241">
        <v>1</v>
      </c>
      <c r="M129" s="665">
        <v>0</v>
      </c>
      <c r="N129" s="241"/>
      <c r="O129" s="241"/>
      <c r="Q129" s="288">
        <v>46043</v>
      </c>
      <c r="R129" s="276">
        <v>0.54166666666666663</v>
      </c>
      <c r="S129" s="277" t="s">
        <v>289</v>
      </c>
      <c r="T129" s="277" t="s">
        <v>431</v>
      </c>
      <c r="U129" s="278">
        <v>1</v>
      </c>
      <c r="V129" s="361" t="str">
        <f t="shared" si="53"/>
        <v>piece</v>
      </c>
      <c r="W129" s="279">
        <f t="shared" si="54"/>
        <v>139</v>
      </c>
      <c r="X129" s="279">
        <f t="shared" si="55"/>
        <v>1.1000000000000001</v>
      </c>
      <c r="Y129" s="279">
        <f t="shared" si="56"/>
        <v>7.3</v>
      </c>
      <c r="Z129" s="279">
        <f t="shared" si="57"/>
        <v>17</v>
      </c>
      <c r="AA129" s="279">
        <f t="shared" si="58"/>
        <v>0.5</v>
      </c>
      <c r="AB129" s="584">
        <f t="shared" si="59"/>
        <v>0</v>
      </c>
      <c r="AC129" s="277"/>
    </row>
    <row r="130" spans="5:29">
      <c r="E130" s="308" t="s">
        <v>320</v>
      </c>
      <c r="F130" s="308">
        <v>1</v>
      </c>
      <c r="G130" s="313" t="s">
        <v>317</v>
      </c>
      <c r="H130" s="308">
        <v>200</v>
      </c>
      <c r="I130" s="160">
        <v>4</v>
      </c>
      <c r="J130" s="308">
        <v>8</v>
      </c>
      <c r="K130" s="308">
        <v>28</v>
      </c>
      <c r="L130" s="308">
        <v>3</v>
      </c>
      <c r="M130" s="668">
        <v>0</v>
      </c>
      <c r="N130" s="308"/>
      <c r="O130" s="308"/>
      <c r="Q130" s="288">
        <v>46043</v>
      </c>
      <c r="R130" s="276">
        <v>0.58333333333333337</v>
      </c>
      <c r="S130" s="277" t="s">
        <v>289</v>
      </c>
      <c r="T130" s="277" t="s">
        <v>439</v>
      </c>
      <c r="U130" s="278">
        <v>1</v>
      </c>
      <c r="V130" s="361" t="str">
        <f t="shared" si="53"/>
        <v>stick</v>
      </c>
      <c r="W130" s="279">
        <f t="shared" si="54"/>
        <v>120</v>
      </c>
      <c r="X130" s="279">
        <f t="shared" si="55"/>
        <v>18</v>
      </c>
      <c r="Y130" s="279">
        <f t="shared" si="56"/>
        <v>4</v>
      </c>
      <c r="Z130" s="279">
        <f t="shared" si="57"/>
        <v>3</v>
      </c>
      <c r="AA130" s="279">
        <f t="shared" si="58"/>
        <v>0</v>
      </c>
      <c r="AB130" s="584">
        <f t="shared" si="59"/>
        <v>0</v>
      </c>
      <c r="AC130" s="277"/>
    </row>
    <row r="131" spans="5:29">
      <c r="E131" s="241" t="s">
        <v>285</v>
      </c>
      <c r="F131" s="144">
        <v>1</v>
      </c>
      <c r="G131" s="252" t="s">
        <v>227</v>
      </c>
      <c r="H131" s="241">
        <v>240</v>
      </c>
      <c r="I131" s="160">
        <v>4</v>
      </c>
      <c r="J131" s="241">
        <v>12</v>
      </c>
      <c r="K131" s="241">
        <v>30</v>
      </c>
      <c r="L131" s="241">
        <v>1.4</v>
      </c>
      <c r="M131" s="665">
        <v>0</v>
      </c>
      <c r="N131" s="241"/>
      <c r="O131" s="241"/>
      <c r="Q131" s="288">
        <v>46043</v>
      </c>
      <c r="R131" s="276">
        <v>0.625</v>
      </c>
      <c r="S131" s="277" t="s">
        <v>289</v>
      </c>
      <c r="T131" s="277" t="s">
        <v>212</v>
      </c>
      <c r="U131" s="278">
        <v>1</v>
      </c>
      <c r="V131" s="361" t="str">
        <f t="shared" si="53"/>
        <v>bottle</v>
      </c>
      <c r="W131" s="279">
        <f t="shared" si="54"/>
        <v>70</v>
      </c>
      <c r="X131" s="279">
        <f t="shared" si="55"/>
        <v>0</v>
      </c>
      <c r="Y131" s="279">
        <f t="shared" si="56"/>
        <v>0</v>
      </c>
      <c r="Z131" s="279">
        <f t="shared" si="57"/>
        <v>17</v>
      </c>
      <c r="AA131" s="279">
        <f t="shared" si="58"/>
        <v>1</v>
      </c>
      <c r="AB131" s="584">
        <f t="shared" si="59"/>
        <v>0</v>
      </c>
      <c r="AC131" s="277"/>
    </row>
    <row r="132" spans="5:29">
      <c r="E132" s="241" t="s">
        <v>792</v>
      </c>
      <c r="F132" s="144">
        <v>2</v>
      </c>
      <c r="G132" s="252" t="s">
        <v>281</v>
      </c>
      <c r="H132" s="241">
        <v>140</v>
      </c>
      <c r="I132" s="241">
        <v>4</v>
      </c>
      <c r="J132" s="241">
        <v>6</v>
      </c>
      <c r="K132" s="241">
        <v>18</v>
      </c>
      <c r="L132" s="241">
        <v>1</v>
      </c>
      <c r="M132" s="665">
        <v>0</v>
      </c>
      <c r="N132" s="241"/>
      <c r="O132" s="241"/>
      <c r="Q132" s="288">
        <v>46043</v>
      </c>
      <c r="R132" s="276">
        <v>0.79166666666666663</v>
      </c>
      <c r="S132" s="277" t="s">
        <v>289</v>
      </c>
      <c r="T132" s="277" t="s">
        <v>214</v>
      </c>
      <c r="U132" s="278">
        <v>1</v>
      </c>
      <c r="V132" s="361" t="str">
        <f t="shared" si="53"/>
        <v>bar</v>
      </c>
      <c r="W132" s="279">
        <f t="shared" si="54"/>
        <v>67</v>
      </c>
      <c r="X132" s="279">
        <f t="shared" si="55"/>
        <v>1</v>
      </c>
      <c r="Y132" s="279">
        <f t="shared" si="56"/>
        <v>3.5</v>
      </c>
      <c r="Z132" s="279">
        <f t="shared" si="57"/>
        <v>22</v>
      </c>
      <c r="AA132" s="279">
        <f t="shared" si="58"/>
        <v>0.3</v>
      </c>
      <c r="AB132" s="584">
        <f t="shared" si="59"/>
        <v>0</v>
      </c>
      <c r="AC132" s="277"/>
    </row>
    <row r="133" spans="5:29">
      <c r="E133" s="299" t="s">
        <v>458</v>
      </c>
      <c r="F133" s="144">
        <v>1</v>
      </c>
      <c r="G133" s="252" t="s">
        <v>195</v>
      </c>
      <c r="H133" s="241">
        <v>200</v>
      </c>
      <c r="I133" s="241">
        <v>4</v>
      </c>
      <c r="J133" s="241">
        <v>11</v>
      </c>
      <c r="K133" s="241">
        <v>23</v>
      </c>
      <c r="L133" s="241">
        <v>0</v>
      </c>
      <c r="M133" s="665">
        <v>0</v>
      </c>
      <c r="N133" s="241"/>
      <c r="O133" s="241"/>
      <c r="Q133" s="288">
        <v>46043</v>
      </c>
      <c r="R133" s="276">
        <v>0.79166666666666663</v>
      </c>
      <c r="S133" s="277" t="s">
        <v>199</v>
      </c>
      <c r="T133" s="277" t="s">
        <v>437</v>
      </c>
      <c r="U133" s="278">
        <v>1</v>
      </c>
      <c r="V133" s="361" t="str">
        <f t="shared" si="53"/>
        <v>bag</v>
      </c>
      <c r="W133" s="279">
        <f t="shared" si="54"/>
        <v>110</v>
      </c>
      <c r="X133" s="279">
        <f t="shared" si="55"/>
        <v>3</v>
      </c>
      <c r="Y133" s="279">
        <f t="shared" si="56"/>
        <v>0</v>
      </c>
      <c r="Z133" s="279">
        <f t="shared" si="57"/>
        <v>24</v>
      </c>
      <c r="AA133" s="279">
        <f t="shared" si="58"/>
        <v>0</v>
      </c>
      <c r="AB133" s="584">
        <f t="shared" si="59"/>
        <v>0</v>
      </c>
      <c r="AC133" s="277"/>
    </row>
    <row r="134" spans="5:29">
      <c r="E134" s="241" t="s">
        <v>474</v>
      </c>
      <c r="F134" s="144">
        <v>1</v>
      </c>
      <c r="G134" s="252" t="s">
        <v>472</v>
      </c>
      <c r="H134" s="241">
        <v>130</v>
      </c>
      <c r="I134" s="241">
        <v>4</v>
      </c>
      <c r="J134" s="241">
        <v>2</v>
      </c>
      <c r="K134" s="241">
        <v>27</v>
      </c>
      <c r="L134" s="241">
        <v>3</v>
      </c>
      <c r="M134" s="665">
        <v>0</v>
      </c>
      <c r="N134" s="241"/>
      <c r="O134" s="241"/>
      <c r="Q134" s="288">
        <v>46043</v>
      </c>
      <c r="R134" s="276">
        <v>0.79166666666666663</v>
      </c>
      <c r="S134" s="277" t="s">
        <v>199</v>
      </c>
      <c r="T134" s="277" t="s">
        <v>374</v>
      </c>
      <c r="U134" s="278">
        <v>2</v>
      </c>
      <c r="V134" s="361" t="str">
        <f t="shared" si="53"/>
        <v>egg</v>
      </c>
      <c r="W134" s="279">
        <f t="shared" si="54"/>
        <v>160</v>
      </c>
      <c r="X134" s="279">
        <f t="shared" si="55"/>
        <v>14</v>
      </c>
      <c r="Y134" s="279">
        <f t="shared" si="56"/>
        <v>12</v>
      </c>
      <c r="Z134" s="279">
        <f t="shared" si="57"/>
        <v>0</v>
      </c>
      <c r="AA134" s="279">
        <f t="shared" si="58"/>
        <v>0</v>
      </c>
      <c r="AB134" s="584">
        <f t="shared" si="59"/>
        <v>80</v>
      </c>
      <c r="AC134" s="277"/>
    </row>
    <row r="135" spans="5:29">
      <c r="E135" s="241" t="s">
        <v>330</v>
      </c>
      <c r="F135" s="144">
        <v>100</v>
      </c>
      <c r="G135" s="252" t="s">
        <v>177</v>
      </c>
      <c r="H135" s="241">
        <v>140</v>
      </c>
      <c r="I135" s="160">
        <v>4</v>
      </c>
      <c r="J135" s="241">
        <v>1</v>
      </c>
      <c r="K135" s="241">
        <v>30</v>
      </c>
      <c r="L135" s="241">
        <v>2</v>
      </c>
      <c r="M135" s="665">
        <v>0</v>
      </c>
      <c r="N135" s="241"/>
      <c r="O135" s="241"/>
      <c r="Q135" s="288">
        <v>46043</v>
      </c>
      <c r="R135" s="276">
        <v>0.875</v>
      </c>
      <c r="S135" s="277" t="s">
        <v>289</v>
      </c>
      <c r="T135" s="277" t="s">
        <v>431</v>
      </c>
      <c r="U135" s="278">
        <v>1</v>
      </c>
      <c r="V135" s="361" t="str">
        <f t="shared" si="53"/>
        <v>piece</v>
      </c>
      <c r="W135" s="279">
        <f t="shared" si="54"/>
        <v>139</v>
      </c>
      <c r="X135" s="279">
        <f t="shared" si="55"/>
        <v>1.1000000000000001</v>
      </c>
      <c r="Y135" s="279">
        <f t="shared" si="56"/>
        <v>7.3</v>
      </c>
      <c r="Z135" s="279">
        <f t="shared" si="57"/>
        <v>17</v>
      </c>
      <c r="AA135" s="279">
        <f t="shared" si="58"/>
        <v>0.5</v>
      </c>
      <c r="AB135" s="584">
        <f t="shared" si="59"/>
        <v>0</v>
      </c>
      <c r="AC135" s="277"/>
    </row>
    <row r="136" spans="5:29">
      <c r="E136" s="241" t="s">
        <v>341</v>
      </c>
      <c r="F136" s="144">
        <v>1</v>
      </c>
      <c r="G136" s="252" t="s">
        <v>342</v>
      </c>
      <c r="H136" s="241">
        <v>165</v>
      </c>
      <c r="I136" s="160">
        <v>3.5</v>
      </c>
      <c r="J136" s="241">
        <v>9.5</v>
      </c>
      <c r="K136" s="241">
        <v>18</v>
      </c>
      <c r="L136" s="241">
        <v>1</v>
      </c>
      <c r="M136" s="665">
        <v>0</v>
      </c>
      <c r="N136" s="241"/>
      <c r="O136" s="241"/>
      <c r="Q136" s="288">
        <v>46043</v>
      </c>
      <c r="R136" s="276">
        <v>0.91666666666666663</v>
      </c>
      <c r="S136" s="277" t="s">
        <v>199</v>
      </c>
      <c r="T136" s="277" t="s">
        <v>181</v>
      </c>
      <c r="U136" s="278">
        <v>2</v>
      </c>
      <c r="V136" s="361" t="str">
        <f t="shared" si="53"/>
        <v>slice</v>
      </c>
      <c r="W136" s="279">
        <f t="shared" si="54"/>
        <v>140</v>
      </c>
      <c r="X136" s="279">
        <f t="shared" si="55"/>
        <v>5</v>
      </c>
      <c r="Y136" s="279">
        <f t="shared" si="56"/>
        <v>2.5</v>
      </c>
      <c r="Z136" s="279">
        <f t="shared" si="57"/>
        <v>24</v>
      </c>
      <c r="AA136" s="279">
        <f t="shared" si="58"/>
        <v>2</v>
      </c>
      <c r="AB136" s="584">
        <f t="shared" si="59"/>
        <v>0</v>
      </c>
      <c r="AC136" s="277"/>
    </row>
    <row r="137" spans="5:29">
      <c r="E137" s="269" t="s">
        <v>365</v>
      </c>
      <c r="F137" s="267">
        <v>100</v>
      </c>
      <c r="G137" s="266" t="s">
        <v>177</v>
      </c>
      <c r="H137" s="268">
        <v>354</v>
      </c>
      <c r="I137" s="160">
        <v>3.3</v>
      </c>
      <c r="J137" s="268">
        <v>33.5</v>
      </c>
      <c r="K137" s="268">
        <v>15.2</v>
      </c>
      <c r="L137" s="268">
        <v>9</v>
      </c>
      <c r="M137" s="665">
        <v>0</v>
      </c>
      <c r="N137" s="268"/>
      <c r="O137" s="268"/>
      <c r="Q137" s="288">
        <v>46043</v>
      </c>
      <c r="R137" s="276">
        <v>0.91666666666666663</v>
      </c>
      <c r="S137" s="277" t="s">
        <v>199</v>
      </c>
      <c r="T137" s="277" t="s">
        <v>209</v>
      </c>
      <c r="U137" s="278">
        <v>3</v>
      </c>
      <c r="V137" s="361" t="str">
        <f t="shared" si="53"/>
        <v>tbsp</v>
      </c>
      <c r="W137" s="279">
        <f t="shared" si="54"/>
        <v>60</v>
      </c>
      <c r="X137" s="279">
        <f t="shared" si="55"/>
        <v>0</v>
      </c>
      <c r="Y137" s="279">
        <f t="shared" si="56"/>
        <v>0</v>
      </c>
      <c r="Z137" s="279">
        <f t="shared" si="57"/>
        <v>15</v>
      </c>
      <c r="AA137" s="279">
        <f t="shared" si="58"/>
        <v>13.5</v>
      </c>
      <c r="AB137" s="684">
        <f t="shared" si="59"/>
        <v>0</v>
      </c>
      <c r="AC137" s="277"/>
    </row>
    <row r="138" spans="5:29">
      <c r="E138" s="241" t="s">
        <v>795</v>
      </c>
      <c r="F138" s="144">
        <v>1</v>
      </c>
      <c r="G138" s="252" t="s">
        <v>472</v>
      </c>
      <c r="H138" s="241">
        <v>90</v>
      </c>
      <c r="I138" s="241">
        <v>3</v>
      </c>
      <c r="J138" s="241">
        <v>1</v>
      </c>
      <c r="K138" s="241">
        <v>19</v>
      </c>
      <c r="L138" s="241">
        <v>2</v>
      </c>
      <c r="M138" s="665">
        <v>0</v>
      </c>
      <c r="N138" s="241"/>
      <c r="O138" s="241"/>
      <c r="Q138" s="280"/>
      <c r="R138" s="281" t="s">
        <v>217</v>
      </c>
      <c r="S138" s="294"/>
      <c r="T138" s="282"/>
      <c r="U138" s="282"/>
      <c r="V138" s="364"/>
      <c r="W138" s="283">
        <f t="shared" ref="W138:AB138" si="60">SUM(W120:W137)</f>
        <v>2306.1999999999998</v>
      </c>
      <c r="X138" s="283">
        <f t="shared" si="60"/>
        <v>163.3833333333333</v>
      </c>
      <c r="Y138" s="283">
        <f t="shared" si="60"/>
        <v>73.796888888888887</v>
      </c>
      <c r="Z138" s="283">
        <f t="shared" si="60"/>
        <v>250.5888888888889</v>
      </c>
      <c r="AA138" s="683">
        <f t="shared" si="60"/>
        <v>31.743333333333332</v>
      </c>
      <c r="AB138" s="691">
        <f t="shared" si="60"/>
        <v>150</v>
      </c>
      <c r="AC138" s="281"/>
    </row>
    <row r="139" spans="5:29">
      <c r="E139" s="241" t="s">
        <v>292</v>
      </c>
      <c r="F139" s="144">
        <v>1</v>
      </c>
      <c r="G139" s="252" t="s">
        <v>227</v>
      </c>
      <c r="H139" s="241">
        <v>250</v>
      </c>
      <c r="I139" s="160">
        <v>3</v>
      </c>
      <c r="J139" s="241">
        <v>15</v>
      </c>
      <c r="K139" s="241">
        <v>26</v>
      </c>
      <c r="L139" s="241">
        <v>0</v>
      </c>
      <c r="M139" s="665">
        <v>0</v>
      </c>
      <c r="N139" s="241"/>
      <c r="O139" s="241"/>
      <c r="Q139" s="280"/>
      <c r="R139" s="281" t="s">
        <v>220</v>
      </c>
      <c r="S139" s="294"/>
      <c r="T139" s="282"/>
      <c r="U139" s="282"/>
      <c r="V139" s="364"/>
      <c r="W139" s="284">
        <f>$B$27</f>
        <v>2834.5625</v>
      </c>
      <c r="X139" s="284">
        <f>$B$29</f>
        <v>154</v>
      </c>
      <c r="Y139" s="284">
        <f>$B$30</f>
        <v>63.91</v>
      </c>
      <c r="Z139" s="284">
        <f>$B$31</f>
        <v>410.84312499999999</v>
      </c>
      <c r="AA139" s="690">
        <f>$B$32</f>
        <v>39.683875</v>
      </c>
      <c r="AB139" s="695">
        <f>$B$39</f>
        <v>500</v>
      </c>
      <c r="AC139" s="281"/>
    </row>
    <row r="140" spans="5:29">
      <c r="E140" s="299" t="s">
        <v>461</v>
      </c>
      <c r="F140" s="144">
        <v>7</v>
      </c>
      <c r="G140" s="252" t="s">
        <v>462</v>
      </c>
      <c r="H140" s="299">
        <v>170</v>
      </c>
      <c r="I140" s="241">
        <v>3</v>
      </c>
      <c r="J140" s="241">
        <v>10</v>
      </c>
      <c r="K140" s="241">
        <v>18</v>
      </c>
      <c r="L140" s="241">
        <v>0.5</v>
      </c>
      <c r="M140" s="665">
        <v>0</v>
      </c>
      <c r="N140" s="241"/>
      <c r="O140" s="241"/>
      <c r="Q140" s="280"/>
      <c r="R140" s="281" t="s">
        <v>222</v>
      </c>
      <c r="S140" s="294"/>
      <c r="T140" s="282"/>
      <c r="U140" s="282"/>
      <c r="V140" s="364"/>
      <c r="W140" s="284">
        <f t="shared" ref="W140:AB140" si="61">W138-W139</f>
        <v>-528.36250000000018</v>
      </c>
      <c r="X140" s="284">
        <f t="shared" si="61"/>
        <v>9.3833333333332973</v>
      </c>
      <c r="Y140" s="284">
        <f t="shared" si="61"/>
        <v>9.8868888888888904</v>
      </c>
      <c r="Z140" s="284">
        <f t="shared" si="61"/>
        <v>-160.25423611111108</v>
      </c>
      <c r="AA140" s="690">
        <f t="shared" si="61"/>
        <v>-7.9405416666666682</v>
      </c>
      <c r="AB140" s="689">
        <f t="shared" si="61"/>
        <v>-350</v>
      </c>
      <c r="AC140" s="281"/>
    </row>
    <row r="141" spans="5:29">
      <c r="E141" s="299" t="s">
        <v>442</v>
      </c>
      <c r="F141" s="301">
        <v>1</v>
      </c>
      <c r="G141" s="300" t="s">
        <v>195</v>
      </c>
      <c r="H141" s="299">
        <v>230</v>
      </c>
      <c r="I141" s="299">
        <v>3</v>
      </c>
      <c r="J141" s="299">
        <v>14</v>
      </c>
      <c r="K141" s="299">
        <v>26</v>
      </c>
      <c r="L141" s="299">
        <v>1</v>
      </c>
      <c r="M141" s="665">
        <v>0</v>
      </c>
      <c r="N141" s="299"/>
      <c r="O141" s="299"/>
      <c r="Q141" s="288">
        <v>46044</v>
      </c>
      <c r="R141" s="276">
        <v>0.33333333333333331</v>
      </c>
      <c r="S141" s="277" t="s">
        <v>178</v>
      </c>
      <c r="T141" s="277" t="s">
        <v>814</v>
      </c>
      <c r="U141" s="278">
        <v>1</v>
      </c>
      <c r="V141" s="361" t="str">
        <f t="shared" ref="V141:V158" si="62">IFERROR(VLOOKUP(T141, $E$5:$L$818, 3, FALSE), "")</f>
        <v>bottle</v>
      </c>
      <c r="W141" s="279">
        <f t="shared" ref="W141:W158" si="63">IFERROR(VLOOKUP(T141, $E$5:$L$818, 4, FALSE) * (U141 / VLOOKUP(T141, $E$5:$L$818, 2, FALSE)), "")</f>
        <v>260</v>
      </c>
      <c r="X141" s="279">
        <f t="shared" ref="X141:X158" si="64">IFERROR(VLOOKUP(T141, $E$5:$L$818, 5, FALSE) * (U141 / VLOOKUP(T141, $E$5:$L$818, 2, FALSE)), "")</f>
        <v>33</v>
      </c>
      <c r="Y141" s="279">
        <f t="shared" ref="Y141:Y158" si="65">IFERROR(VLOOKUP(T141, $E$5:$L$818, 6, FALSE) * (U141 / VLOOKUP(T141, $E$5:$L$818, 2, FALSE)), "")</f>
        <v>6</v>
      </c>
      <c r="Z141" s="279">
        <f t="shared" ref="Z141:Z158" si="66">IFERROR(VLOOKUP(T141, $E$5:$L$818, 7, FALSE) * (U141 / VLOOKUP(T141, $E$5:$L$818, 2, FALSE)), "")</f>
        <v>20</v>
      </c>
      <c r="AA141" s="279">
        <f t="shared" ref="AA141:AA158" si="67">IFERROR(VLOOKUP(T141, $E$5:$L$818, 8, FALSE) * (U141 / VLOOKUP(T141, $E$5:$L$818, 2, FALSE)), "")</f>
        <v>0</v>
      </c>
      <c r="AB141" s="674">
        <f t="shared" ref="AB141:AB158" si="68">IFERROR(VLOOKUP(T141, $E$5:$O$818, 9, FALSE) * (U141 / VLOOKUP(T141, $E$5:$O$818, 2, FALSE)), "")</f>
        <v>0</v>
      </c>
      <c r="AC141" s="277"/>
    </row>
    <row r="142" spans="5:29">
      <c r="E142" s="517" t="s">
        <v>309</v>
      </c>
      <c r="F142" s="527">
        <v>0.16666666666666666</v>
      </c>
      <c r="G142" s="252" t="s">
        <v>235</v>
      </c>
      <c r="H142" s="241">
        <v>170</v>
      </c>
      <c r="I142" s="160">
        <v>3</v>
      </c>
      <c r="J142" s="241">
        <v>11</v>
      </c>
      <c r="K142" s="241">
        <v>14</v>
      </c>
      <c r="L142" s="241">
        <v>0</v>
      </c>
      <c r="M142" s="665">
        <v>0</v>
      </c>
      <c r="N142" s="241"/>
      <c r="O142" s="241"/>
      <c r="Q142" s="288">
        <v>46044</v>
      </c>
      <c r="R142" s="276">
        <v>0.33333333333333331</v>
      </c>
      <c r="S142" s="277" t="s">
        <v>178</v>
      </c>
      <c r="T142" s="277" t="s">
        <v>374</v>
      </c>
      <c r="U142" s="278">
        <v>2</v>
      </c>
      <c r="V142" s="361" t="str">
        <f t="shared" si="62"/>
        <v>egg</v>
      </c>
      <c r="W142" s="279">
        <f t="shared" si="63"/>
        <v>160</v>
      </c>
      <c r="X142" s="279">
        <f t="shared" si="64"/>
        <v>14</v>
      </c>
      <c r="Y142" s="279">
        <f t="shared" si="65"/>
        <v>12</v>
      </c>
      <c r="Z142" s="279">
        <f t="shared" si="66"/>
        <v>0</v>
      </c>
      <c r="AA142" s="279">
        <f t="shared" si="67"/>
        <v>0</v>
      </c>
      <c r="AB142" s="584">
        <f t="shared" si="68"/>
        <v>80</v>
      </c>
      <c r="AC142" s="277"/>
    </row>
    <row r="143" spans="5:29">
      <c r="E143" s="241" t="s">
        <v>258</v>
      </c>
      <c r="F143" s="144">
        <v>1</v>
      </c>
      <c r="G143" s="252" t="s">
        <v>259</v>
      </c>
      <c r="H143" s="241">
        <v>190</v>
      </c>
      <c r="I143" s="160">
        <v>3</v>
      </c>
      <c r="J143" s="241">
        <v>11</v>
      </c>
      <c r="K143" s="241">
        <v>22</v>
      </c>
      <c r="L143" s="241">
        <v>0</v>
      </c>
      <c r="M143" s="665">
        <v>0</v>
      </c>
      <c r="N143" s="241"/>
      <c r="O143" s="241"/>
      <c r="Q143" s="288">
        <v>46044</v>
      </c>
      <c r="R143" s="276">
        <v>0.33333333333333331</v>
      </c>
      <c r="S143" s="277" t="s">
        <v>178</v>
      </c>
      <c r="T143" s="277" t="s">
        <v>753</v>
      </c>
      <c r="U143" s="278">
        <v>100</v>
      </c>
      <c r="V143" s="361" t="str">
        <f t="shared" si="62"/>
        <v>g</v>
      </c>
      <c r="W143" s="279">
        <f t="shared" si="63"/>
        <v>130</v>
      </c>
      <c r="X143" s="279">
        <f t="shared" si="64"/>
        <v>1</v>
      </c>
      <c r="Y143" s="279">
        <f t="shared" si="65"/>
        <v>0</v>
      </c>
      <c r="Z143" s="279">
        <f t="shared" si="66"/>
        <v>31</v>
      </c>
      <c r="AA143" s="279">
        <f t="shared" si="67"/>
        <v>3</v>
      </c>
      <c r="AB143" s="584">
        <f t="shared" si="68"/>
        <v>0</v>
      </c>
      <c r="AC143" s="277"/>
    </row>
    <row r="144" spans="5:29">
      <c r="E144" s="299" t="s">
        <v>448</v>
      </c>
      <c r="F144" s="144">
        <v>1</v>
      </c>
      <c r="G144" s="252" t="s">
        <v>340</v>
      </c>
      <c r="H144" s="241">
        <v>230</v>
      </c>
      <c r="I144" s="241">
        <v>3</v>
      </c>
      <c r="J144" s="241">
        <v>13</v>
      </c>
      <c r="K144" s="241">
        <v>26</v>
      </c>
      <c r="L144" s="241">
        <v>0</v>
      </c>
      <c r="M144" s="665">
        <v>0</v>
      </c>
      <c r="N144" s="241"/>
      <c r="O144" s="241"/>
      <c r="Q144" s="288">
        <v>46044</v>
      </c>
      <c r="R144" s="276">
        <v>0.33333333333333331</v>
      </c>
      <c r="S144" s="277" t="s">
        <v>178</v>
      </c>
      <c r="T144" s="277" t="s">
        <v>181</v>
      </c>
      <c r="U144" s="278">
        <v>2</v>
      </c>
      <c r="V144" s="361" t="str">
        <f t="shared" si="62"/>
        <v>slice</v>
      </c>
      <c r="W144" s="279">
        <f t="shared" si="63"/>
        <v>140</v>
      </c>
      <c r="X144" s="279">
        <f t="shared" si="64"/>
        <v>5</v>
      </c>
      <c r="Y144" s="279">
        <f t="shared" si="65"/>
        <v>2.5</v>
      </c>
      <c r="Z144" s="279">
        <f t="shared" si="66"/>
        <v>24</v>
      </c>
      <c r="AA144" s="279">
        <f t="shared" si="67"/>
        <v>2</v>
      </c>
      <c r="AB144" s="584">
        <f t="shared" si="68"/>
        <v>0</v>
      </c>
      <c r="AC144" s="277"/>
    </row>
    <row r="145" spans="5:29">
      <c r="E145" s="265" t="s">
        <v>420</v>
      </c>
      <c r="F145" s="144">
        <v>1</v>
      </c>
      <c r="G145" s="252" t="s">
        <v>340</v>
      </c>
      <c r="H145" s="241">
        <v>230</v>
      </c>
      <c r="I145" s="160">
        <v>3</v>
      </c>
      <c r="J145" s="241">
        <v>14</v>
      </c>
      <c r="K145" s="241">
        <v>26</v>
      </c>
      <c r="L145" s="241">
        <v>0</v>
      </c>
      <c r="M145" s="665">
        <v>0</v>
      </c>
      <c r="N145" s="241"/>
      <c r="O145" s="241"/>
      <c r="Q145" s="288">
        <v>46044</v>
      </c>
      <c r="R145" s="276">
        <v>0.41666666666666669</v>
      </c>
      <c r="S145" s="277" t="s">
        <v>289</v>
      </c>
      <c r="T145" s="277" t="s">
        <v>190</v>
      </c>
      <c r="U145" s="278">
        <v>2.5</v>
      </c>
      <c r="V145" s="361" t="str">
        <f t="shared" si="62"/>
        <v>medium</v>
      </c>
      <c r="W145" s="279">
        <f t="shared" si="63"/>
        <v>155</v>
      </c>
      <c r="X145" s="279">
        <f t="shared" si="64"/>
        <v>3</v>
      </c>
      <c r="Y145" s="279">
        <f t="shared" si="65"/>
        <v>0.5</v>
      </c>
      <c r="Z145" s="279">
        <f t="shared" si="66"/>
        <v>38.5</v>
      </c>
      <c r="AA145" s="279">
        <f t="shared" si="67"/>
        <v>7.75</v>
      </c>
      <c r="AB145" s="584">
        <f t="shared" si="68"/>
        <v>0</v>
      </c>
      <c r="AC145" s="277"/>
    </row>
    <row r="146" spans="5:29">
      <c r="E146" s="160" t="s">
        <v>284</v>
      </c>
      <c r="F146" s="160">
        <v>1</v>
      </c>
      <c r="G146" s="291" t="s">
        <v>227</v>
      </c>
      <c r="H146" s="160">
        <v>200</v>
      </c>
      <c r="I146" s="160">
        <v>3</v>
      </c>
      <c r="J146" s="160">
        <v>12</v>
      </c>
      <c r="K146" s="160">
        <v>19</v>
      </c>
      <c r="L146" s="160">
        <v>0</v>
      </c>
      <c r="M146" s="591">
        <v>0</v>
      </c>
      <c r="N146" s="160"/>
      <c r="O146" s="160"/>
      <c r="Q146" s="288">
        <v>46044</v>
      </c>
      <c r="R146" s="276">
        <v>0.5</v>
      </c>
      <c r="S146" s="277" t="s">
        <v>185</v>
      </c>
      <c r="T146" s="277" t="s">
        <v>176</v>
      </c>
      <c r="U146" s="278">
        <v>299</v>
      </c>
      <c r="V146" s="361" t="str">
        <f t="shared" si="62"/>
        <v>g</v>
      </c>
      <c r="W146" s="279">
        <f t="shared" si="63"/>
        <v>493.35</v>
      </c>
      <c r="X146" s="279">
        <f t="shared" si="64"/>
        <v>74.75</v>
      </c>
      <c r="Y146" s="279">
        <f t="shared" si="65"/>
        <v>10.764000000000001</v>
      </c>
      <c r="Z146" s="279">
        <f t="shared" si="66"/>
        <v>0</v>
      </c>
      <c r="AA146" s="279">
        <f t="shared" si="67"/>
        <v>0</v>
      </c>
      <c r="AB146" s="584">
        <f t="shared" si="68"/>
        <v>0</v>
      </c>
      <c r="AC146" s="277"/>
    </row>
    <row r="147" spans="5:29">
      <c r="E147" s="241" t="s">
        <v>755</v>
      </c>
      <c r="F147" s="144">
        <v>150</v>
      </c>
      <c r="G147" s="252" t="s">
        <v>177</v>
      </c>
      <c r="H147" s="241">
        <v>50</v>
      </c>
      <c r="I147" s="241">
        <v>3</v>
      </c>
      <c r="J147" s="241">
        <v>0</v>
      </c>
      <c r="K147" s="241">
        <v>10</v>
      </c>
      <c r="L147" s="241">
        <v>4</v>
      </c>
      <c r="M147" s="665">
        <v>0</v>
      </c>
      <c r="N147" s="241"/>
      <c r="O147" s="241"/>
      <c r="Q147" s="288">
        <v>46044</v>
      </c>
      <c r="R147" s="276">
        <v>0.5</v>
      </c>
      <c r="S147" s="277" t="s">
        <v>185</v>
      </c>
      <c r="T147" s="277" t="s">
        <v>189</v>
      </c>
      <c r="U147" s="278">
        <f>401-299</f>
        <v>102</v>
      </c>
      <c r="V147" s="361" t="str">
        <f t="shared" si="62"/>
        <v>g</v>
      </c>
      <c r="W147" s="279">
        <f t="shared" si="63"/>
        <v>35.700000000000003</v>
      </c>
      <c r="X147" s="279">
        <f t="shared" si="64"/>
        <v>2.5499999999999998</v>
      </c>
      <c r="Y147" s="279">
        <f t="shared" si="65"/>
        <v>0.40800000000000003</v>
      </c>
      <c r="Z147" s="279">
        <f t="shared" si="66"/>
        <v>7.1400000000000006</v>
      </c>
      <c r="AA147" s="279">
        <f t="shared" si="67"/>
        <v>2.6520000000000001</v>
      </c>
      <c r="AB147" s="584">
        <f t="shared" si="68"/>
        <v>0</v>
      </c>
      <c r="AC147" s="277"/>
    </row>
    <row r="148" spans="5:29">
      <c r="E148" s="170" t="s">
        <v>436</v>
      </c>
      <c r="F148" s="171">
        <v>1</v>
      </c>
      <c r="G148" s="172" t="s">
        <v>340</v>
      </c>
      <c r="H148" s="299">
        <v>220</v>
      </c>
      <c r="I148" s="170">
        <v>3</v>
      </c>
      <c r="J148" s="170">
        <v>0</v>
      </c>
      <c r="K148" s="170">
        <v>53</v>
      </c>
      <c r="L148" s="170">
        <v>6</v>
      </c>
      <c r="M148" s="665">
        <v>0</v>
      </c>
      <c r="Q148" s="288">
        <v>46044</v>
      </c>
      <c r="R148" s="276">
        <v>0.5</v>
      </c>
      <c r="S148" s="277" t="s">
        <v>185</v>
      </c>
      <c r="T148" s="277" t="s">
        <v>180</v>
      </c>
      <c r="U148" s="278">
        <v>100</v>
      </c>
      <c r="V148" s="361" t="str">
        <f t="shared" si="62"/>
        <v>g</v>
      </c>
      <c r="W148" s="279">
        <f t="shared" si="63"/>
        <v>130</v>
      </c>
      <c r="X148" s="279">
        <f t="shared" si="64"/>
        <v>2.7</v>
      </c>
      <c r="Y148" s="279">
        <f t="shared" si="65"/>
        <v>0.3</v>
      </c>
      <c r="Z148" s="279">
        <f t="shared" si="66"/>
        <v>28</v>
      </c>
      <c r="AA148" s="279">
        <f t="shared" si="67"/>
        <v>0.4</v>
      </c>
      <c r="AB148" s="584">
        <f t="shared" si="68"/>
        <v>0</v>
      </c>
      <c r="AC148" s="277"/>
    </row>
    <row r="149" spans="5:29">
      <c r="E149" s="241" t="s">
        <v>345</v>
      </c>
      <c r="F149" s="144">
        <v>1</v>
      </c>
      <c r="G149" s="252" t="s">
        <v>346</v>
      </c>
      <c r="H149" s="299">
        <v>220</v>
      </c>
      <c r="I149" s="160">
        <v>3</v>
      </c>
      <c r="J149" s="241">
        <v>8</v>
      </c>
      <c r="K149" s="241">
        <v>35</v>
      </c>
      <c r="L149" s="241">
        <v>2</v>
      </c>
      <c r="M149" s="665">
        <v>0</v>
      </c>
      <c r="N149" s="241"/>
      <c r="O149" s="241"/>
      <c r="Q149" s="288">
        <v>46044</v>
      </c>
      <c r="R149" s="276">
        <v>0.66666666666666663</v>
      </c>
      <c r="S149" s="277" t="s">
        <v>289</v>
      </c>
      <c r="T149" s="277" t="s">
        <v>190</v>
      </c>
      <c r="U149" s="278">
        <v>1</v>
      </c>
      <c r="V149" s="361" t="str">
        <f t="shared" si="62"/>
        <v>medium</v>
      </c>
      <c r="W149" s="279">
        <f t="shared" si="63"/>
        <v>62</v>
      </c>
      <c r="X149" s="279">
        <f t="shared" si="64"/>
        <v>1.2</v>
      </c>
      <c r="Y149" s="279">
        <f t="shared" si="65"/>
        <v>0.2</v>
      </c>
      <c r="Z149" s="279">
        <f t="shared" si="66"/>
        <v>15.4</v>
      </c>
      <c r="AA149" s="279">
        <f t="shared" si="67"/>
        <v>3.1</v>
      </c>
      <c r="AB149" s="584">
        <f t="shared" si="68"/>
        <v>0</v>
      </c>
      <c r="AC149" s="277"/>
    </row>
    <row r="150" spans="5:29">
      <c r="E150" s="241" t="s">
        <v>803</v>
      </c>
      <c r="F150" s="144">
        <v>1</v>
      </c>
      <c r="G150" s="252" t="s">
        <v>195</v>
      </c>
      <c r="H150" s="241">
        <v>240</v>
      </c>
      <c r="I150" s="241">
        <v>3</v>
      </c>
      <c r="J150" s="241">
        <v>10</v>
      </c>
      <c r="K150" s="241">
        <v>38</v>
      </c>
      <c r="L150" s="241">
        <v>2</v>
      </c>
      <c r="M150" s="665">
        <v>0</v>
      </c>
      <c r="N150" s="241"/>
      <c r="O150" s="241"/>
      <c r="Q150" s="288">
        <v>46044</v>
      </c>
      <c r="R150" s="276">
        <v>0.70833333333333304</v>
      </c>
      <c r="S150" s="277" t="s">
        <v>289</v>
      </c>
      <c r="T150" s="277" t="s">
        <v>214</v>
      </c>
      <c r="U150" s="278">
        <v>1</v>
      </c>
      <c r="V150" s="361" t="str">
        <f t="shared" si="62"/>
        <v>bar</v>
      </c>
      <c r="W150" s="279">
        <f t="shared" si="63"/>
        <v>67</v>
      </c>
      <c r="X150" s="279">
        <f t="shared" si="64"/>
        <v>1</v>
      </c>
      <c r="Y150" s="279">
        <f t="shared" si="65"/>
        <v>3.5</v>
      </c>
      <c r="Z150" s="279">
        <f t="shared" si="66"/>
        <v>22</v>
      </c>
      <c r="AA150" s="279">
        <f t="shared" si="67"/>
        <v>0.3</v>
      </c>
      <c r="AB150" s="584">
        <f t="shared" si="68"/>
        <v>0</v>
      </c>
      <c r="AC150" s="277"/>
    </row>
    <row r="151" spans="5:29">
      <c r="E151" s="299" t="s">
        <v>485</v>
      </c>
      <c r="F151" s="144">
        <v>100</v>
      </c>
      <c r="G151" s="252" t="s">
        <v>177</v>
      </c>
      <c r="H151" s="241">
        <v>180</v>
      </c>
      <c r="I151" s="241">
        <v>3</v>
      </c>
      <c r="J151" s="241">
        <v>5</v>
      </c>
      <c r="K151" s="241">
        <v>32</v>
      </c>
      <c r="L151" s="241">
        <v>1</v>
      </c>
      <c r="M151" s="665">
        <v>0</v>
      </c>
      <c r="N151" s="241"/>
      <c r="O151" s="241"/>
      <c r="Q151" s="288">
        <v>46044</v>
      </c>
      <c r="R151" s="276">
        <v>0.91666666666666663</v>
      </c>
      <c r="S151" s="277" t="s">
        <v>199</v>
      </c>
      <c r="T151" s="277" t="s">
        <v>176</v>
      </c>
      <c r="U151" s="278">
        <v>80</v>
      </c>
      <c r="V151" s="361" t="str">
        <f t="shared" si="62"/>
        <v>g</v>
      </c>
      <c r="W151" s="279">
        <f t="shared" si="63"/>
        <v>132</v>
      </c>
      <c r="X151" s="279">
        <f t="shared" si="64"/>
        <v>20</v>
      </c>
      <c r="Y151" s="279">
        <f t="shared" si="65"/>
        <v>2.8800000000000003</v>
      </c>
      <c r="Z151" s="279">
        <f t="shared" si="66"/>
        <v>0</v>
      </c>
      <c r="AA151" s="279">
        <f t="shared" si="67"/>
        <v>0</v>
      </c>
      <c r="AB151" s="584">
        <f t="shared" si="68"/>
        <v>0</v>
      </c>
      <c r="AC151" s="277"/>
    </row>
    <row r="152" spans="5:29">
      <c r="E152" s="241" t="s">
        <v>437</v>
      </c>
      <c r="F152" s="171">
        <v>1</v>
      </c>
      <c r="G152" s="252" t="s">
        <v>340</v>
      </c>
      <c r="H152" s="170">
        <v>110</v>
      </c>
      <c r="I152" s="170">
        <v>3</v>
      </c>
      <c r="J152" s="170">
        <v>0</v>
      </c>
      <c r="K152" s="170">
        <v>24</v>
      </c>
      <c r="L152" s="170">
        <v>0</v>
      </c>
      <c r="M152" s="665">
        <v>0</v>
      </c>
      <c r="Q152" s="288">
        <v>46044</v>
      </c>
      <c r="R152" s="276">
        <v>0.91666666666666663</v>
      </c>
      <c r="S152" s="277" t="s">
        <v>199</v>
      </c>
      <c r="T152" s="277" t="s">
        <v>374</v>
      </c>
      <c r="U152" s="278">
        <v>1</v>
      </c>
      <c r="V152" s="361" t="str">
        <f t="shared" si="62"/>
        <v>egg</v>
      </c>
      <c r="W152" s="279">
        <f t="shared" si="63"/>
        <v>80</v>
      </c>
      <c r="X152" s="279">
        <f t="shared" si="64"/>
        <v>7</v>
      </c>
      <c r="Y152" s="279">
        <f t="shared" si="65"/>
        <v>6</v>
      </c>
      <c r="Z152" s="279">
        <f t="shared" si="66"/>
        <v>0</v>
      </c>
      <c r="AA152" s="279">
        <f t="shared" si="67"/>
        <v>0</v>
      </c>
      <c r="AB152" s="584">
        <f t="shared" si="68"/>
        <v>40</v>
      </c>
      <c r="AC152" s="277"/>
    </row>
    <row r="153" spans="5:29">
      <c r="E153" s="299" t="s">
        <v>483</v>
      </c>
      <c r="F153" s="171">
        <v>1</v>
      </c>
      <c r="G153" s="172" t="s">
        <v>276</v>
      </c>
      <c r="H153" s="299">
        <v>200</v>
      </c>
      <c r="I153" s="170">
        <v>3</v>
      </c>
      <c r="J153" s="170">
        <v>5</v>
      </c>
      <c r="K153" s="170">
        <v>38</v>
      </c>
      <c r="L153" s="170">
        <v>1</v>
      </c>
      <c r="M153" s="665">
        <v>0</v>
      </c>
      <c r="Q153" s="288">
        <v>46044</v>
      </c>
      <c r="R153" s="276">
        <v>0.95833333333333337</v>
      </c>
      <c r="S153" s="277" t="s">
        <v>289</v>
      </c>
      <c r="T153" s="277" t="s">
        <v>431</v>
      </c>
      <c r="U153" s="278">
        <v>1</v>
      </c>
      <c r="V153" s="361" t="str">
        <f t="shared" si="62"/>
        <v>piece</v>
      </c>
      <c r="W153" s="279">
        <f t="shared" si="63"/>
        <v>139</v>
      </c>
      <c r="X153" s="279">
        <f t="shared" si="64"/>
        <v>1.1000000000000001</v>
      </c>
      <c r="Y153" s="279">
        <f t="shared" si="65"/>
        <v>7.3</v>
      </c>
      <c r="Z153" s="279">
        <f t="shared" si="66"/>
        <v>17</v>
      </c>
      <c r="AA153" s="279">
        <f t="shared" si="67"/>
        <v>0.5</v>
      </c>
      <c r="AB153" s="584">
        <f t="shared" si="68"/>
        <v>0</v>
      </c>
      <c r="AC153" s="277"/>
    </row>
    <row r="154" spans="5:29">
      <c r="E154" s="160" t="s">
        <v>180</v>
      </c>
      <c r="F154" s="311">
        <v>100</v>
      </c>
      <c r="G154" s="291" t="s">
        <v>177</v>
      </c>
      <c r="H154" s="160">
        <v>130</v>
      </c>
      <c r="I154" s="160">
        <v>2.7</v>
      </c>
      <c r="J154" s="160">
        <v>0.3</v>
      </c>
      <c r="K154" s="160">
        <v>28</v>
      </c>
      <c r="L154" s="160">
        <v>0.4</v>
      </c>
      <c r="M154" s="591">
        <v>0</v>
      </c>
      <c r="N154" s="160"/>
      <c r="O154" s="160"/>
      <c r="Q154" s="288">
        <v>46044</v>
      </c>
      <c r="R154" s="276">
        <v>0.95833333333333337</v>
      </c>
      <c r="S154" s="277" t="s">
        <v>199</v>
      </c>
      <c r="T154" s="277" t="s">
        <v>209</v>
      </c>
      <c r="U154" s="278">
        <v>3</v>
      </c>
      <c r="V154" s="361" t="str">
        <f t="shared" si="62"/>
        <v>tbsp</v>
      </c>
      <c r="W154" s="279">
        <f t="shared" si="63"/>
        <v>60</v>
      </c>
      <c r="X154" s="279">
        <f t="shared" si="64"/>
        <v>0</v>
      </c>
      <c r="Y154" s="279">
        <f t="shared" si="65"/>
        <v>0</v>
      </c>
      <c r="Z154" s="279">
        <f t="shared" si="66"/>
        <v>15</v>
      </c>
      <c r="AA154" s="279">
        <f t="shared" si="67"/>
        <v>13.5</v>
      </c>
      <c r="AB154" s="584">
        <f t="shared" si="68"/>
        <v>0</v>
      </c>
      <c r="AC154" s="277"/>
    </row>
    <row r="155" spans="5:29">
      <c r="E155" s="160" t="s">
        <v>189</v>
      </c>
      <c r="F155" s="311">
        <v>100</v>
      </c>
      <c r="G155" s="291" t="s">
        <v>177</v>
      </c>
      <c r="H155" s="160">
        <v>35</v>
      </c>
      <c r="I155" s="160">
        <v>2.5</v>
      </c>
      <c r="J155" s="160">
        <v>0.4</v>
      </c>
      <c r="K155" s="160">
        <v>7</v>
      </c>
      <c r="L155" s="160">
        <v>2.6</v>
      </c>
      <c r="M155" s="591">
        <v>0</v>
      </c>
      <c r="N155" s="160"/>
      <c r="O155" s="160"/>
      <c r="Q155" s="288">
        <v>46044</v>
      </c>
      <c r="R155" s="276">
        <v>0.95833333333333337</v>
      </c>
      <c r="S155" s="277" t="s">
        <v>199</v>
      </c>
      <c r="T155" s="277" t="s">
        <v>212</v>
      </c>
      <c r="U155" s="278">
        <v>1</v>
      </c>
      <c r="V155" s="361" t="str">
        <f t="shared" si="62"/>
        <v>bottle</v>
      </c>
      <c r="W155" s="279">
        <f t="shared" si="63"/>
        <v>70</v>
      </c>
      <c r="X155" s="279">
        <f t="shared" si="64"/>
        <v>0</v>
      </c>
      <c r="Y155" s="279">
        <f t="shared" si="65"/>
        <v>0</v>
      </c>
      <c r="Z155" s="279">
        <f t="shared" si="66"/>
        <v>17</v>
      </c>
      <c r="AA155" s="279">
        <f t="shared" si="67"/>
        <v>1</v>
      </c>
      <c r="AB155" s="584">
        <f t="shared" si="68"/>
        <v>0</v>
      </c>
      <c r="AC155" s="277"/>
    </row>
    <row r="156" spans="5:29">
      <c r="E156" s="160" t="s">
        <v>268</v>
      </c>
      <c r="F156" s="311">
        <v>1</v>
      </c>
      <c r="G156" s="311" t="s">
        <v>208</v>
      </c>
      <c r="H156" s="311">
        <v>160</v>
      </c>
      <c r="I156" s="160">
        <v>2.5</v>
      </c>
      <c r="J156" s="311">
        <v>8.5</v>
      </c>
      <c r="K156" s="311">
        <v>19.5</v>
      </c>
      <c r="L156" s="311">
        <v>0</v>
      </c>
      <c r="M156" s="591">
        <v>0</v>
      </c>
      <c r="N156" s="311"/>
      <c r="O156" s="311"/>
      <c r="Q156" s="288">
        <v>46044</v>
      </c>
      <c r="R156" s="276">
        <v>0.95833333333333337</v>
      </c>
      <c r="S156" s="277" t="s">
        <v>199</v>
      </c>
      <c r="T156" s="277" t="s">
        <v>219</v>
      </c>
      <c r="U156" s="278">
        <v>1</v>
      </c>
      <c r="V156" s="361" t="str">
        <f t="shared" si="62"/>
        <v>bottle</v>
      </c>
      <c r="W156" s="279">
        <f t="shared" si="63"/>
        <v>0</v>
      </c>
      <c r="X156" s="279">
        <f t="shared" si="64"/>
        <v>0</v>
      </c>
      <c r="Y156" s="279">
        <f t="shared" si="65"/>
        <v>0</v>
      </c>
      <c r="Z156" s="279">
        <f t="shared" si="66"/>
        <v>0</v>
      </c>
      <c r="AA156" s="279">
        <f t="shared" si="67"/>
        <v>0</v>
      </c>
      <c r="AB156" s="584">
        <f t="shared" si="68"/>
        <v>0</v>
      </c>
      <c r="AC156" s="277"/>
    </row>
    <row r="157" spans="5:29">
      <c r="E157" s="241" t="s">
        <v>484</v>
      </c>
      <c r="F157" s="144">
        <v>100</v>
      </c>
      <c r="G157" s="252" t="s">
        <v>177</v>
      </c>
      <c r="H157" s="241">
        <v>93</v>
      </c>
      <c r="I157" s="241">
        <v>2.5</v>
      </c>
      <c r="J157" s="241">
        <v>0.2</v>
      </c>
      <c r="K157" s="241">
        <v>21</v>
      </c>
      <c r="L157" s="241">
        <v>2.6</v>
      </c>
      <c r="M157" s="665">
        <v>0</v>
      </c>
      <c r="N157" s="241"/>
      <c r="O157" s="241"/>
      <c r="Q157" s="288">
        <v>46044</v>
      </c>
      <c r="R157" s="276">
        <v>0.95833333333333337</v>
      </c>
      <c r="S157" s="277" t="s">
        <v>199</v>
      </c>
      <c r="T157" s="277" t="s">
        <v>181</v>
      </c>
      <c r="U157" s="278">
        <v>2</v>
      </c>
      <c r="V157" s="361" t="str">
        <f t="shared" si="62"/>
        <v>slice</v>
      </c>
      <c r="W157" s="279">
        <f t="shared" si="63"/>
        <v>140</v>
      </c>
      <c r="X157" s="279">
        <f t="shared" si="64"/>
        <v>5</v>
      </c>
      <c r="Y157" s="279">
        <f t="shared" si="65"/>
        <v>2.5</v>
      </c>
      <c r="Z157" s="279">
        <f t="shared" si="66"/>
        <v>24</v>
      </c>
      <c r="AA157" s="279">
        <f t="shared" si="67"/>
        <v>2</v>
      </c>
      <c r="AB157" s="584">
        <f t="shared" si="68"/>
        <v>0</v>
      </c>
      <c r="AC157" s="277"/>
    </row>
    <row r="158" spans="5:29">
      <c r="E158" s="160" t="s">
        <v>181</v>
      </c>
      <c r="F158" s="311">
        <v>1</v>
      </c>
      <c r="G158" s="291" t="s">
        <v>184</v>
      </c>
      <c r="H158" s="160">
        <v>70</v>
      </c>
      <c r="I158" s="160">
        <v>2.5</v>
      </c>
      <c r="J158" s="160">
        <v>1.25</v>
      </c>
      <c r="K158" s="160">
        <v>12</v>
      </c>
      <c r="L158" s="160">
        <v>1</v>
      </c>
      <c r="M158" s="591">
        <v>0</v>
      </c>
      <c r="N158" s="160"/>
      <c r="O158" s="160"/>
      <c r="Q158" s="288">
        <v>46044</v>
      </c>
      <c r="R158" s="276">
        <v>0.95833333333333337</v>
      </c>
      <c r="S158" s="277" t="s">
        <v>289</v>
      </c>
      <c r="T158" s="277" t="s">
        <v>214</v>
      </c>
      <c r="U158" s="278">
        <v>1</v>
      </c>
      <c r="V158" s="361" t="str">
        <f t="shared" si="62"/>
        <v>bar</v>
      </c>
      <c r="W158" s="279">
        <f t="shared" si="63"/>
        <v>67</v>
      </c>
      <c r="X158" s="279">
        <f t="shared" si="64"/>
        <v>1</v>
      </c>
      <c r="Y158" s="279">
        <f t="shared" si="65"/>
        <v>3.5</v>
      </c>
      <c r="Z158" s="279">
        <f t="shared" si="66"/>
        <v>22</v>
      </c>
      <c r="AA158" s="279">
        <f t="shared" si="67"/>
        <v>0.3</v>
      </c>
      <c r="AB158" s="684">
        <f t="shared" si="68"/>
        <v>0</v>
      </c>
      <c r="AC158" s="277"/>
    </row>
    <row r="159" spans="5:29">
      <c r="E159" s="241" t="s">
        <v>301</v>
      </c>
      <c r="F159" s="144">
        <v>1</v>
      </c>
      <c r="G159" s="252" t="s">
        <v>227</v>
      </c>
      <c r="H159" s="241">
        <v>160</v>
      </c>
      <c r="I159" s="160">
        <v>2</v>
      </c>
      <c r="J159" s="241">
        <v>8</v>
      </c>
      <c r="K159" s="241">
        <v>19</v>
      </c>
      <c r="L159" s="241">
        <v>0</v>
      </c>
      <c r="M159" s="665">
        <v>0</v>
      </c>
      <c r="N159" s="241"/>
      <c r="O159" s="241"/>
      <c r="Q159" s="280"/>
      <c r="R159" s="281" t="s">
        <v>217</v>
      </c>
      <c r="S159" s="294"/>
      <c r="T159" s="282"/>
      <c r="U159" s="282"/>
      <c r="V159" s="364"/>
      <c r="W159" s="283">
        <f t="shared" ref="W159:AB159" si="69">SUM(W141:W158)</f>
        <v>2321.0500000000002</v>
      </c>
      <c r="X159" s="283">
        <f t="shared" si="69"/>
        <v>172.29999999999998</v>
      </c>
      <c r="Y159" s="283">
        <f t="shared" si="69"/>
        <v>58.352000000000004</v>
      </c>
      <c r="Z159" s="283">
        <f t="shared" si="69"/>
        <v>281.03999999999996</v>
      </c>
      <c r="AA159" s="683">
        <f t="shared" si="69"/>
        <v>36.501999999999995</v>
      </c>
      <c r="AB159" s="691">
        <f t="shared" si="69"/>
        <v>120</v>
      </c>
      <c r="AC159" s="281"/>
    </row>
    <row r="160" spans="5:29">
      <c r="E160" s="160" t="s">
        <v>202</v>
      </c>
      <c r="F160" s="311">
        <v>1</v>
      </c>
      <c r="G160" s="291" t="s">
        <v>203</v>
      </c>
      <c r="H160" s="160">
        <v>60</v>
      </c>
      <c r="I160" s="160">
        <v>2</v>
      </c>
      <c r="J160" s="160">
        <v>4</v>
      </c>
      <c r="K160" s="160">
        <v>5</v>
      </c>
      <c r="L160" s="160">
        <v>4</v>
      </c>
      <c r="M160" s="591">
        <v>0</v>
      </c>
      <c r="N160" s="160"/>
      <c r="O160" s="160"/>
      <c r="Q160" s="280"/>
      <c r="R160" s="281" t="s">
        <v>220</v>
      </c>
      <c r="S160" s="294"/>
      <c r="T160" s="282"/>
      <c r="U160" s="282"/>
      <c r="V160" s="364"/>
      <c r="W160" s="284">
        <f>$B$27</f>
        <v>2834.5625</v>
      </c>
      <c r="X160" s="284">
        <f>$B$29</f>
        <v>154</v>
      </c>
      <c r="Y160" s="284">
        <f>$B$30</f>
        <v>63.91</v>
      </c>
      <c r="Z160" s="284">
        <f>$B$31</f>
        <v>410.84312499999999</v>
      </c>
      <c r="AA160" s="690">
        <f>$B$32</f>
        <v>39.683875</v>
      </c>
      <c r="AB160" s="695">
        <f>$B$39</f>
        <v>500</v>
      </c>
      <c r="AC160" s="281"/>
    </row>
    <row r="161" spans="5:29">
      <c r="E161" s="299" t="s">
        <v>622</v>
      </c>
      <c r="F161" s="144">
        <v>3</v>
      </c>
      <c r="G161" s="252" t="s">
        <v>281</v>
      </c>
      <c r="H161" s="241">
        <v>190</v>
      </c>
      <c r="I161" s="241">
        <v>2</v>
      </c>
      <c r="J161" s="241">
        <v>12</v>
      </c>
      <c r="K161" s="241">
        <v>22</v>
      </c>
      <c r="L161" s="241">
        <v>2</v>
      </c>
      <c r="M161" s="665">
        <v>0</v>
      </c>
      <c r="N161" s="241"/>
      <c r="O161" s="241"/>
      <c r="Q161" s="280"/>
      <c r="R161" s="281" t="s">
        <v>222</v>
      </c>
      <c r="S161" s="294"/>
      <c r="T161" s="282"/>
      <c r="U161" s="282"/>
      <c r="V161" s="364"/>
      <c r="W161" s="284">
        <f t="shared" ref="W161:AB161" si="70">W159-W160</f>
        <v>-513.51249999999982</v>
      </c>
      <c r="X161" s="284">
        <f t="shared" si="70"/>
        <v>18.299999999999983</v>
      </c>
      <c r="Y161" s="284">
        <f t="shared" si="70"/>
        <v>-5.5579999999999927</v>
      </c>
      <c r="Z161" s="284">
        <f t="shared" si="70"/>
        <v>-129.80312500000002</v>
      </c>
      <c r="AA161" s="690">
        <f t="shared" si="70"/>
        <v>-3.1818750000000051</v>
      </c>
      <c r="AB161" s="689">
        <f t="shared" si="70"/>
        <v>-380</v>
      </c>
      <c r="AC161" s="281"/>
    </row>
    <row r="162" spans="5:29">
      <c r="E162" s="241" t="s">
        <v>799</v>
      </c>
      <c r="F162" s="144">
        <v>1</v>
      </c>
      <c r="G162" s="252" t="s">
        <v>195</v>
      </c>
      <c r="H162" s="241">
        <v>200</v>
      </c>
      <c r="I162" s="241">
        <v>2</v>
      </c>
      <c r="J162" s="241">
        <v>10</v>
      </c>
      <c r="K162" s="241">
        <v>26</v>
      </c>
      <c r="L162" s="241">
        <v>1</v>
      </c>
      <c r="M162" s="665">
        <v>0</v>
      </c>
      <c r="N162" s="241"/>
      <c r="O162" s="241"/>
      <c r="Q162" s="288">
        <v>46045</v>
      </c>
      <c r="R162" s="276">
        <v>0.375</v>
      </c>
      <c r="S162" s="277" t="s">
        <v>178</v>
      </c>
      <c r="T162" s="277" t="s">
        <v>814</v>
      </c>
      <c r="U162" s="278">
        <v>1</v>
      </c>
      <c r="V162" s="361" t="str">
        <f t="shared" ref="V162:V176" si="71">IFERROR(VLOOKUP(T162, $E$5:$L$818, 3, FALSE), "")</f>
        <v>bottle</v>
      </c>
      <c r="W162" s="279">
        <f t="shared" ref="W162:W176" si="72">IFERROR(VLOOKUP(T162, $E$5:$L$818, 4, FALSE) * (U162 / VLOOKUP(T162, $E$5:$L$818, 2, FALSE)), "")</f>
        <v>260</v>
      </c>
      <c r="X162" s="279">
        <f t="shared" ref="X162:X176" si="73">IFERROR(VLOOKUP(T162, $E$5:$L$818, 5, FALSE) * (U162 / VLOOKUP(T162, $E$5:$L$818, 2, FALSE)), "")</f>
        <v>33</v>
      </c>
      <c r="Y162" s="279">
        <f t="shared" ref="Y162:Y176" si="74">IFERROR(VLOOKUP(T162, $E$5:$L$818, 6, FALSE) * (U162 / VLOOKUP(T162, $E$5:$L$818, 2, FALSE)), "")</f>
        <v>6</v>
      </c>
      <c r="Z162" s="279">
        <f t="shared" ref="Z162:Z176" si="75">IFERROR(VLOOKUP(T162, $E$5:$L$818, 7, FALSE) * (U162 / VLOOKUP(T162, $E$5:$L$818, 2, FALSE)), "")</f>
        <v>20</v>
      </c>
      <c r="AA162" s="279">
        <f t="shared" ref="AA162:AA176" si="76">IFERROR(VLOOKUP(T162, $E$5:$L$818, 8, FALSE) * (U162 / VLOOKUP(T162, $E$5:$L$818, 2, FALSE)), "")</f>
        <v>0</v>
      </c>
      <c r="AB162" s="674">
        <f t="shared" ref="AB162:AB176" si="77">IFERROR(VLOOKUP(T162, $E$5:$O$818, 9, FALSE) * (U162 / VLOOKUP(T162, $E$5:$O$818, 2, FALSE)), "")</f>
        <v>0</v>
      </c>
      <c r="AC162" s="277"/>
    </row>
    <row r="163" spans="5:29">
      <c r="E163" s="241" t="s">
        <v>294</v>
      </c>
      <c r="F163" s="144">
        <v>35</v>
      </c>
      <c r="G163" s="252" t="s">
        <v>177</v>
      </c>
      <c r="H163" s="241">
        <v>120</v>
      </c>
      <c r="I163" s="160">
        <v>2</v>
      </c>
      <c r="J163" s="241">
        <v>1</v>
      </c>
      <c r="K163" s="241">
        <v>30</v>
      </c>
      <c r="L163" s="241">
        <v>0</v>
      </c>
      <c r="M163" s="665">
        <v>0</v>
      </c>
      <c r="N163" s="241"/>
      <c r="O163" s="241"/>
      <c r="Q163" s="288">
        <v>46045</v>
      </c>
      <c r="R163" s="276">
        <v>0.375</v>
      </c>
      <c r="S163" s="277" t="s">
        <v>178</v>
      </c>
      <c r="T163" s="277" t="s">
        <v>374</v>
      </c>
      <c r="U163" s="278">
        <v>2</v>
      </c>
      <c r="V163" s="361" t="str">
        <f t="shared" si="71"/>
        <v>egg</v>
      </c>
      <c r="W163" s="279">
        <f t="shared" si="72"/>
        <v>160</v>
      </c>
      <c r="X163" s="279">
        <f t="shared" si="73"/>
        <v>14</v>
      </c>
      <c r="Y163" s="279">
        <f t="shared" si="74"/>
        <v>12</v>
      </c>
      <c r="Z163" s="279">
        <f t="shared" si="75"/>
        <v>0</v>
      </c>
      <c r="AA163" s="279">
        <f t="shared" si="76"/>
        <v>0</v>
      </c>
      <c r="AB163" s="584">
        <f t="shared" si="77"/>
        <v>80</v>
      </c>
      <c r="AC163" s="277"/>
    </row>
    <row r="164" spans="5:29">
      <c r="E164" s="170" t="s">
        <v>355</v>
      </c>
      <c r="F164" s="171">
        <v>1</v>
      </c>
      <c r="G164" s="172" t="s">
        <v>356</v>
      </c>
      <c r="H164" s="170">
        <v>60</v>
      </c>
      <c r="I164" s="160">
        <v>2</v>
      </c>
      <c r="J164" s="170">
        <v>1</v>
      </c>
      <c r="K164" s="170">
        <v>14</v>
      </c>
      <c r="L164" s="170">
        <v>5</v>
      </c>
      <c r="M164" s="665">
        <v>0</v>
      </c>
      <c r="Q164" s="288">
        <v>46045</v>
      </c>
      <c r="R164" s="276">
        <v>0.375</v>
      </c>
      <c r="S164" s="277" t="s">
        <v>289</v>
      </c>
      <c r="T164" s="277" t="s">
        <v>433</v>
      </c>
      <c r="U164" s="278">
        <v>50</v>
      </c>
      <c r="V164" s="361" t="str">
        <f t="shared" si="71"/>
        <v>g</v>
      </c>
      <c r="W164" s="279">
        <f t="shared" si="72"/>
        <v>200</v>
      </c>
      <c r="X164" s="279">
        <f t="shared" si="73"/>
        <v>3</v>
      </c>
      <c r="Y164" s="279">
        <f t="shared" si="74"/>
        <v>5</v>
      </c>
      <c r="Z164" s="279">
        <f t="shared" si="75"/>
        <v>36</v>
      </c>
      <c r="AA164" s="279">
        <f t="shared" si="76"/>
        <v>1</v>
      </c>
      <c r="AB164" s="584">
        <f t="shared" si="77"/>
        <v>0</v>
      </c>
      <c r="AC164" s="277"/>
    </row>
    <row r="165" spans="5:29">
      <c r="E165" s="241" t="s">
        <v>476</v>
      </c>
      <c r="F165" s="144">
        <v>1</v>
      </c>
      <c r="G165" s="252" t="s">
        <v>227</v>
      </c>
      <c r="H165" s="241">
        <v>220</v>
      </c>
      <c r="I165" s="241">
        <v>2</v>
      </c>
      <c r="J165" s="241">
        <v>12</v>
      </c>
      <c r="K165" s="241">
        <v>25</v>
      </c>
      <c r="L165" s="241">
        <v>0</v>
      </c>
      <c r="M165" s="665">
        <v>0</v>
      </c>
      <c r="N165" s="241"/>
      <c r="O165" s="241"/>
      <c r="Q165" s="288">
        <v>46045</v>
      </c>
      <c r="R165" s="276">
        <v>0.375</v>
      </c>
      <c r="S165" s="277" t="s">
        <v>178</v>
      </c>
      <c r="T165" s="277" t="s">
        <v>181</v>
      </c>
      <c r="U165" s="278">
        <v>2</v>
      </c>
      <c r="V165" s="361" t="str">
        <f t="shared" si="71"/>
        <v>slice</v>
      </c>
      <c r="W165" s="279">
        <f t="shared" si="72"/>
        <v>140</v>
      </c>
      <c r="X165" s="279">
        <f t="shared" si="73"/>
        <v>5</v>
      </c>
      <c r="Y165" s="279">
        <f t="shared" si="74"/>
        <v>2.5</v>
      </c>
      <c r="Z165" s="279">
        <f t="shared" si="75"/>
        <v>24</v>
      </c>
      <c r="AA165" s="279">
        <f t="shared" si="76"/>
        <v>2</v>
      </c>
      <c r="AB165" s="584">
        <f t="shared" si="77"/>
        <v>0</v>
      </c>
      <c r="AC165" s="277"/>
    </row>
    <row r="166" spans="5:29">
      <c r="E166" s="170" t="s">
        <v>418</v>
      </c>
      <c r="F166" s="171">
        <v>1</v>
      </c>
      <c r="G166" s="172" t="s">
        <v>419</v>
      </c>
      <c r="H166" s="170">
        <v>150</v>
      </c>
      <c r="I166" s="160">
        <v>2</v>
      </c>
      <c r="J166" s="170">
        <v>0</v>
      </c>
      <c r="K166" s="170">
        <v>35</v>
      </c>
      <c r="L166" s="170">
        <v>5</v>
      </c>
      <c r="M166" s="665">
        <v>0</v>
      </c>
      <c r="Q166" s="288">
        <v>46045</v>
      </c>
      <c r="R166" s="276">
        <v>0.41666666666666669</v>
      </c>
      <c r="S166" s="277" t="s">
        <v>289</v>
      </c>
      <c r="T166" s="277" t="s">
        <v>190</v>
      </c>
      <c r="U166" s="278">
        <v>2</v>
      </c>
      <c r="V166" s="361" t="str">
        <f t="shared" si="71"/>
        <v>medium</v>
      </c>
      <c r="W166" s="279">
        <f t="shared" si="72"/>
        <v>124</v>
      </c>
      <c r="X166" s="279">
        <f t="shared" si="73"/>
        <v>2.4</v>
      </c>
      <c r="Y166" s="279">
        <f t="shared" si="74"/>
        <v>0.4</v>
      </c>
      <c r="Z166" s="279">
        <f t="shared" si="75"/>
        <v>30.8</v>
      </c>
      <c r="AA166" s="279">
        <f t="shared" si="76"/>
        <v>6.2</v>
      </c>
      <c r="AB166" s="584">
        <f t="shared" si="77"/>
        <v>0</v>
      </c>
      <c r="AC166" s="277"/>
    </row>
    <row r="167" spans="5:29">
      <c r="E167" s="160" t="s">
        <v>768</v>
      </c>
      <c r="F167" s="160">
        <v>7</v>
      </c>
      <c r="G167" s="291" t="s">
        <v>281</v>
      </c>
      <c r="H167" s="160">
        <v>70</v>
      </c>
      <c r="I167" s="160">
        <v>2</v>
      </c>
      <c r="J167" s="160">
        <v>0</v>
      </c>
      <c r="K167" s="160">
        <v>16</v>
      </c>
      <c r="L167" s="160">
        <v>0</v>
      </c>
      <c r="M167" s="591">
        <v>0</v>
      </c>
      <c r="N167" s="160"/>
      <c r="O167" s="160"/>
      <c r="Q167" s="288">
        <v>46045</v>
      </c>
      <c r="R167" s="276">
        <v>0.45833333333333331</v>
      </c>
      <c r="S167" s="277" t="s">
        <v>289</v>
      </c>
      <c r="T167" s="277" t="s">
        <v>440</v>
      </c>
      <c r="U167" s="278">
        <v>1</v>
      </c>
      <c r="V167" s="361" t="str">
        <f t="shared" si="71"/>
        <v>bottle</v>
      </c>
      <c r="W167" s="279">
        <f t="shared" si="72"/>
        <v>45</v>
      </c>
      <c r="X167" s="279">
        <f t="shared" si="73"/>
        <v>0</v>
      </c>
      <c r="Y167" s="279">
        <f t="shared" si="74"/>
        <v>0</v>
      </c>
      <c r="Z167" s="279">
        <f t="shared" si="75"/>
        <v>10</v>
      </c>
      <c r="AA167" s="279">
        <f t="shared" si="76"/>
        <v>0</v>
      </c>
      <c r="AB167" s="584">
        <f t="shared" si="77"/>
        <v>0</v>
      </c>
      <c r="AC167" s="277"/>
    </row>
    <row r="168" spans="5:29">
      <c r="E168" s="241" t="s">
        <v>376</v>
      </c>
      <c r="F168" s="144">
        <v>3</v>
      </c>
      <c r="G168" s="252" t="s">
        <v>322</v>
      </c>
      <c r="H168" s="170">
        <v>120</v>
      </c>
      <c r="I168" s="160">
        <v>2</v>
      </c>
      <c r="J168" s="170">
        <v>5</v>
      </c>
      <c r="K168" s="170">
        <v>17</v>
      </c>
      <c r="L168" s="170">
        <v>0</v>
      </c>
      <c r="M168" s="665">
        <v>0</v>
      </c>
      <c r="Q168" s="288">
        <v>46045</v>
      </c>
      <c r="R168" s="276">
        <v>0.5</v>
      </c>
      <c r="S168" s="277" t="s">
        <v>185</v>
      </c>
      <c r="T168" s="277" t="s">
        <v>441</v>
      </c>
      <c r="U168" s="278">
        <v>1</v>
      </c>
      <c r="V168" s="361" t="str">
        <f t="shared" si="71"/>
        <v>bowl</v>
      </c>
      <c r="W168" s="279">
        <f t="shared" si="72"/>
        <v>550</v>
      </c>
      <c r="X168" s="279">
        <f t="shared" si="73"/>
        <v>30</v>
      </c>
      <c r="Y168" s="279">
        <f t="shared" si="74"/>
        <v>20</v>
      </c>
      <c r="Z168" s="279">
        <f t="shared" si="75"/>
        <v>60</v>
      </c>
      <c r="AA168" s="279">
        <f t="shared" si="76"/>
        <v>3</v>
      </c>
      <c r="AB168" s="584">
        <f t="shared" si="77"/>
        <v>0</v>
      </c>
      <c r="AC168" s="277"/>
    </row>
    <row r="169" spans="5:29">
      <c r="E169" s="241" t="s">
        <v>489</v>
      </c>
      <c r="F169" s="144">
        <v>1</v>
      </c>
      <c r="G169" s="252" t="s">
        <v>340</v>
      </c>
      <c r="H169" s="241">
        <v>170</v>
      </c>
      <c r="I169" s="241">
        <v>2</v>
      </c>
      <c r="J169" s="241">
        <v>0</v>
      </c>
      <c r="K169" s="241">
        <v>41</v>
      </c>
      <c r="L169" s="241">
        <v>4</v>
      </c>
      <c r="M169" s="665">
        <v>0</v>
      </c>
      <c r="N169" s="241"/>
      <c r="O169" s="241"/>
      <c r="Q169" s="288">
        <v>46045</v>
      </c>
      <c r="R169" s="276">
        <v>0.54166666666666696</v>
      </c>
      <c r="S169" s="277" t="s">
        <v>289</v>
      </c>
      <c r="T169" s="277" t="s">
        <v>442</v>
      </c>
      <c r="U169" s="278">
        <v>1</v>
      </c>
      <c r="V169" s="361" t="str">
        <f t="shared" si="71"/>
        <v>cup</v>
      </c>
      <c r="W169" s="279">
        <f t="shared" si="72"/>
        <v>230</v>
      </c>
      <c r="X169" s="279">
        <f t="shared" si="73"/>
        <v>3</v>
      </c>
      <c r="Y169" s="279">
        <f t="shared" si="74"/>
        <v>14</v>
      </c>
      <c r="Z169" s="279">
        <f t="shared" si="75"/>
        <v>26</v>
      </c>
      <c r="AA169" s="279">
        <f t="shared" si="76"/>
        <v>1</v>
      </c>
      <c r="AB169" s="584">
        <f t="shared" si="77"/>
        <v>0</v>
      </c>
      <c r="AC169" s="277"/>
    </row>
    <row r="170" spans="5:29">
      <c r="E170" s="241" t="s">
        <v>488</v>
      </c>
      <c r="F170" s="144">
        <v>1</v>
      </c>
      <c r="G170" s="252" t="s">
        <v>340</v>
      </c>
      <c r="H170" s="241">
        <v>160</v>
      </c>
      <c r="I170" s="241">
        <v>2</v>
      </c>
      <c r="J170" s="241">
        <v>0</v>
      </c>
      <c r="K170" s="241">
        <v>37</v>
      </c>
      <c r="L170" s="241">
        <v>4</v>
      </c>
      <c r="M170" s="665">
        <v>0</v>
      </c>
      <c r="N170" s="241"/>
      <c r="O170" s="241"/>
      <c r="Q170" s="288">
        <v>46045</v>
      </c>
      <c r="R170" s="276">
        <v>0.625</v>
      </c>
      <c r="S170" s="277" t="s">
        <v>289</v>
      </c>
      <c r="T170" s="277" t="s">
        <v>277</v>
      </c>
      <c r="U170" s="278">
        <v>1</v>
      </c>
      <c r="V170" s="361" t="str">
        <f t="shared" si="71"/>
        <v>small bag</v>
      </c>
      <c r="W170" s="279">
        <f t="shared" si="72"/>
        <v>60</v>
      </c>
      <c r="X170" s="279">
        <f t="shared" si="73"/>
        <v>0</v>
      </c>
      <c r="Y170" s="279">
        <f t="shared" si="74"/>
        <v>2</v>
      </c>
      <c r="Z170" s="279">
        <f t="shared" si="75"/>
        <v>8</v>
      </c>
      <c r="AA170" s="279">
        <f t="shared" si="76"/>
        <v>0</v>
      </c>
      <c r="AB170" s="584">
        <f t="shared" si="77"/>
        <v>0</v>
      </c>
      <c r="AC170" s="277"/>
    </row>
    <row r="171" spans="5:29">
      <c r="E171" s="241" t="s">
        <v>798</v>
      </c>
      <c r="F171" s="144">
        <v>1</v>
      </c>
      <c r="G171" s="252" t="s">
        <v>227</v>
      </c>
      <c r="H171" s="241">
        <v>130</v>
      </c>
      <c r="I171" s="241">
        <v>2</v>
      </c>
      <c r="J171" s="241">
        <v>8</v>
      </c>
      <c r="K171" s="241">
        <v>11</v>
      </c>
      <c r="L171" s="241">
        <v>0</v>
      </c>
      <c r="M171" s="665">
        <v>0</v>
      </c>
      <c r="N171" s="241"/>
      <c r="O171" s="241"/>
      <c r="Q171" s="288">
        <v>46045</v>
      </c>
      <c r="R171" s="276">
        <v>0.625</v>
      </c>
      <c r="S171" s="277" t="s">
        <v>289</v>
      </c>
      <c r="T171" s="277" t="s">
        <v>443</v>
      </c>
      <c r="U171" s="278">
        <v>1</v>
      </c>
      <c r="V171" s="361" t="str">
        <f t="shared" si="71"/>
        <v>pack</v>
      </c>
      <c r="W171" s="279">
        <f t="shared" si="72"/>
        <v>50</v>
      </c>
      <c r="X171" s="279">
        <f t="shared" si="73"/>
        <v>1</v>
      </c>
      <c r="Y171" s="279">
        <f t="shared" si="74"/>
        <v>2.5</v>
      </c>
      <c r="Z171" s="279">
        <f t="shared" si="75"/>
        <v>7</v>
      </c>
      <c r="AA171" s="279">
        <f t="shared" si="76"/>
        <v>0</v>
      </c>
      <c r="AB171" s="584">
        <f t="shared" si="77"/>
        <v>0</v>
      </c>
      <c r="AC171" s="277"/>
    </row>
    <row r="172" spans="5:29">
      <c r="E172" s="241" t="s">
        <v>343</v>
      </c>
      <c r="F172" s="144">
        <v>1</v>
      </c>
      <c r="G172" s="252" t="s">
        <v>227</v>
      </c>
      <c r="H172" s="241">
        <v>200</v>
      </c>
      <c r="I172" s="160">
        <v>2</v>
      </c>
      <c r="J172" s="241">
        <v>13</v>
      </c>
      <c r="K172" s="241">
        <v>19</v>
      </c>
      <c r="L172" s="241">
        <v>2</v>
      </c>
      <c r="M172" s="665">
        <v>0</v>
      </c>
      <c r="N172" s="241"/>
      <c r="O172" s="241"/>
      <c r="Q172" s="288">
        <v>46045</v>
      </c>
      <c r="R172" s="276">
        <v>0.66666666666666663</v>
      </c>
      <c r="S172" s="277" t="s">
        <v>289</v>
      </c>
      <c r="T172" s="277" t="s">
        <v>431</v>
      </c>
      <c r="U172" s="278">
        <v>1</v>
      </c>
      <c r="V172" s="361" t="str">
        <f t="shared" si="71"/>
        <v>piece</v>
      </c>
      <c r="W172" s="279">
        <f t="shared" si="72"/>
        <v>139</v>
      </c>
      <c r="X172" s="279">
        <f t="shared" si="73"/>
        <v>1.1000000000000001</v>
      </c>
      <c r="Y172" s="279">
        <f t="shared" si="74"/>
        <v>7.3</v>
      </c>
      <c r="Z172" s="279">
        <f t="shared" si="75"/>
        <v>17</v>
      </c>
      <c r="AA172" s="279">
        <f t="shared" si="76"/>
        <v>0.5</v>
      </c>
      <c r="AB172" s="584">
        <f t="shared" si="77"/>
        <v>0</v>
      </c>
      <c r="AC172" s="277"/>
    </row>
    <row r="173" spans="5:29">
      <c r="E173" s="241" t="s">
        <v>487</v>
      </c>
      <c r="F173" s="144">
        <v>2</v>
      </c>
      <c r="G173" s="252" t="s">
        <v>820</v>
      </c>
      <c r="H173" s="241">
        <v>140</v>
      </c>
      <c r="I173" s="241">
        <v>2</v>
      </c>
      <c r="J173" s="241">
        <v>6</v>
      </c>
      <c r="K173" s="241">
        <v>19</v>
      </c>
      <c r="L173" s="241">
        <v>0.5</v>
      </c>
      <c r="M173" s="665">
        <v>0</v>
      </c>
      <c r="N173" s="241"/>
      <c r="O173" s="241"/>
      <c r="Q173" s="288">
        <v>46045</v>
      </c>
      <c r="R173" s="276">
        <v>0.83333333333333337</v>
      </c>
      <c r="S173" s="277" t="s">
        <v>199</v>
      </c>
      <c r="T173" s="277" t="s">
        <v>444</v>
      </c>
      <c r="U173" s="278">
        <v>1</v>
      </c>
      <c r="V173" s="361" t="str">
        <f t="shared" si="71"/>
        <v>sandwich</v>
      </c>
      <c r="W173" s="279">
        <f t="shared" si="72"/>
        <v>270</v>
      </c>
      <c r="X173" s="279">
        <f t="shared" si="73"/>
        <v>10</v>
      </c>
      <c r="Y173" s="279">
        <f t="shared" si="74"/>
        <v>17</v>
      </c>
      <c r="Z173" s="279">
        <f t="shared" si="75"/>
        <v>20</v>
      </c>
      <c r="AA173" s="279">
        <f t="shared" si="76"/>
        <v>4</v>
      </c>
      <c r="AB173" s="584">
        <f t="shared" si="77"/>
        <v>0</v>
      </c>
      <c r="AC173" s="277"/>
    </row>
    <row r="174" spans="5:29">
      <c r="E174" s="241" t="s">
        <v>796</v>
      </c>
      <c r="F174" s="144">
        <v>1</v>
      </c>
      <c r="G174" s="252" t="s">
        <v>346</v>
      </c>
      <c r="H174" s="241">
        <v>200</v>
      </c>
      <c r="I174" s="241">
        <v>2</v>
      </c>
      <c r="J174" s="241">
        <v>10</v>
      </c>
      <c r="K174" s="241">
        <v>24</v>
      </c>
      <c r="L174" s="241">
        <v>0</v>
      </c>
      <c r="M174" s="665">
        <v>0</v>
      </c>
      <c r="N174" s="241"/>
      <c r="O174" s="241"/>
      <c r="Q174" s="288">
        <v>46045</v>
      </c>
      <c r="R174" s="276">
        <v>0.83333333333333337</v>
      </c>
      <c r="S174" s="277" t="s">
        <v>199</v>
      </c>
      <c r="T174" s="277" t="s">
        <v>176</v>
      </c>
      <c r="U174" s="278">
        <v>251</v>
      </c>
      <c r="V174" s="361" t="str">
        <f t="shared" si="71"/>
        <v>g</v>
      </c>
      <c r="W174" s="279">
        <f t="shared" si="72"/>
        <v>414.15</v>
      </c>
      <c r="X174" s="279">
        <f t="shared" si="73"/>
        <v>62.749999999999993</v>
      </c>
      <c r="Y174" s="279">
        <f t="shared" si="74"/>
        <v>9.0359999999999996</v>
      </c>
      <c r="Z174" s="279">
        <f t="shared" si="75"/>
        <v>0</v>
      </c>
      <c r="AA174" s="279">
        <f t="shared" si="76"/>
        <v>0</v>
      </c>
      <c r="AB174" s="584">
        <f t="shared" si="77"/>
        <v>0</v>
      </c>
      <c r="AC174" s="277"/>
    </row>
    <row r="175" spans="5:29">
      <c r="E175" s="299" t="s">
        <v>815</v>
      </c>
      <c r="F175" s="144">
        <v>1</v>
      </c>
      <c r="G175" s="252" t="s">
        <v>276</v>
      </c>
      <c r="H175" s="241">
        <v>120</v>
      </c>
      <c r="I175" s="241">
        <v>2</v>
      </c>
      <c r="J175" s="241">
        <v>6</v>
      </c>
      <c r="K175" s="241">
        <v>14</v>
      </c>
      <c r="L175" s="241">
        <v>0.5</v>
      </c>
      <c r="M175" s="665">
        <v>0</v>
      </c>
      <c r="N175" s="241"/>
      <c r="O175" s="241"/>
      <c r="Q175" s="288">
        <v>46045</v>
      </c>
      <c r="R175" s="276">
        <v>0.83333333333333337</v>
      </c>
      <c r="S175" s="277" t="s">
        <v>199</v>
      </c>
      <c r="T175" s="277" t="s">
        <v>209</v>
      </c>
      <c r="U175" s="278">
        <v>3</v>
      </c>
      <c r="V175" s="361" t="str">
        <f t="shared" si="71"/>
        <v>tbsp</v>
      </c>
      <c r="W175" s="279">
        <f t="shared" si="72"/>
        <v>60</v>
      </c>
      <c r="X175" s="279">
        <f t="shared" si="73"/>
        <v>0</v>
      </c>
      <c r="Y175" s="279">
        <f t="shared" si="74"/>
        <v>0</v>
      </c>
      <c r="Z175" s="279">
        <f t="shared" si="75"/>
        <v>15</v>
      </c>
      <c r="AA175" s="279">
        <f t="shared" si="76"/>
        <v>13.5</v>
      </c>
      <c r="AB175" s="584">
        <f t="shared" si="77"/>
        <v>0</v>
      </c>
      <c r="AC175" s="277"/>
    </row>
    <row r="176" spans="5:29">
      <c r="E176" s="241" t="s">
        <v>321</v>
      </c>
      <c r="F176" s="144">
        <v>1</v>
      </c>
      <c r="G176" s="252" t="s">
        <v>322</v>
      </c>
      <c r="H176" s="241">
        <v>140</v>
      </c>
      <c r="I176" s="160">
        <v>2</v>
      </c>
      <c r="J176" s="241">
        <v>6</v>
      </c>
      <c r="K176" s="241">
        <v>20</v>
      </c>
      <c r="L176" s="241">
        <v>0</v>
      </c>
      <c r="M176" s="665">
        <v>0</v>
      </c>
      <c r="N176" s="241"/>
      <c r="O176" s="241"/>
      <c r="Q176" s="288">
        <v>46045</v>
      </c>
      <c r="R176" s="276">
        <v>0.83333333333333337</v>
      </c>
      <c r="S176" s="277" t="s">
        <v>289</v>
      </c>
      <c r="T176" s="277" t="s">
        <v>212</v>
      </c>
      <c r="U176" s="278">
        <v>1</v>
      </c>
      <c r="V176" s="361" t="str">
        <f t="shared" si="71"/>
        <v>bottle</v>
      </c>
      <c r="W176" s="279">
        <f t="shared" si="72"/>
        <v>70</v>
      </c>
      <c r="X176" s="279">
        <f t="shared" si="73"/>
        <v>0</v>
      </c>
      <c r="Y176" s="279">
        <f t="shared" si="74"/>
        <v>0</v>
      </c>
      <c r="Z176" s="279">
        <f t="shared" si="75"/>
        <v>17</v>
      </c>
      <c r="AA176" s="279">
        <f t="shared" si="76"/>
        <v>1</v>
      </c>
      <c r="AB176" s="684">
        <f t="shared" si="77"/>
        <v>0</v>
      </c>
      <c r="AC176" s="277"/>
    </row>
    <row r="177" spans="5:29">
      <c r="E177" s="241" t="s">
        <v>334</v>
      </c>
      <c r="F177" s="144">
        <v>1</v>
      </c>
      <c r="G177" s="252" t="s">
        <v>322</v>
      </c>
      <c r="H177" s="241">
        <v>140</v>
      </c>
      <c r="I177" s="160">
        <v>2</v>
      </c>
      <c r="J177" s="241">
        <v>7</v>
      </c>
      <c r="K177" s="241">
        <v>18</v>
      </c>
      <c r="L177" s="241">
        <v>0</v>
      </c>
      <c r="M177" s="665">
        <v>0</v>
      </c>
      <c r="N177" s="241"/>
      <c r="O177" s="241"/>
      <c r="Q177" s="280"/>
      <c r="R177" s="281" t="s">
        <v>217</v>
      </c>
      <c r="S177" s="294"/>
      <c r="T177" s="282"/>
      <c r="U177" s="282"/>
      <c r="V177" s="364"/>
      <c r="W177" s="283">
        <f t="shared" ref="W177:AB177" si="78">SUM(W162:W176)</f>
        <v>2772.15</v>
      </c>
      <c r="X177" s="283">
        <f t="shared" si="78"/>
        <v>165.25</v>
      </c>
      <c r="Y177" s="283">
        <f t="shared" si="78"/>
        <v>97.736000000000004</v>
      </c>
      <c r="Z177" s="283">
        <f t="shared" si="78"/>
        <v>290.8</v>
      </c>
      <c r="AA177" s="683">
        <f t="shared" si="78"/>
        <v>32.200000000000003</v>
      </c>
      <c r="AB177" s="691">
        <f t="shared" si="78"/>
        <v>80</v>
      </c>
      <c r="AC177" s="281"/>
    </row>
    <row r="178" spans="5:29">
      <c r="E178" s="299" t="s">
        <v>430</v>
      </c>
      <c r="F178" s="301">
        <v>100</v>
      </c>
      <c r="G178" s="300" t="s">
        <v>177</v>
      </c>
      <c r="H178" s="299">
        <v>77</v>
      </c>
      <c r="I178" s="160">
        <v>2</v>
      </c>
      <c r="J178" s="299">
        <v>0</v>
      </c>
      <c r="K178" s="299">
        <v>17</v>
      </c>
      <c r="L178" s="299">
        <v>2</v>
      </c>
      <c r="M178" s="665">
        <v>0</v>
      </c>
      <c r="N178" s="299"/>
      <c r="O178" s="299"/>
      <c r="Q178" s="280"/>
      <c r="R178" s="281" t="s">
        <v>220</v>
      </c>
      <c r="S178" s="294"/>
      <c r="T178" s="282"/>
      <c r="U178" s="282"/>
      <c r="V178" s="364"/>
      <c r="W178" s="284">
        <f>$B$27</f>
        <v>2834.5625</v>
      </c>
      <c r="X178" s="284">
        <f>$B$29</f>
        <v>154</v>
      </c>
      <c r="Y178" s="284">
        <f>$B$30</f>
        <v>63.91</v>
      </c>
      <c r="Z178" s="284">
        <f>$B$31</f>
        <v>410.84312499999999</v>
      </c>
      <c r="AA178" s="690">
        <f>$B$32</f>
        <v>39.683875</v>
      </c>
      <c r="AB178" s="695">
        <f>$B$39</f>
        <v>500</v>
      </c>
      <c r="AC178" s="281"/>
    </row>
    <row r="179" spans="5:29">
      <c r="E179" s="241" t="s">
        <v>306</v>
      </c>
      <c r="F179" s="144">
        <v>1</v>
      </c>
      <c r="G179" s="252" t="s">
        <v>235</v>
      </c>
      <c r="H179" s="241">
        <v>260</v>
      </c>
      <c r="I179" s="160">
        <v>2</v>
      </c>
      <c r="J179" s="241">
        <v>17</v>
      </c>
      <c r="K179" s="241">
        <v>30</v>
      </c>
      <c r="L179" s="241">
        <v>1</v>
      </c>
      <c r="M179" s="665">
        <v>0</v>
      </c>
      <c r="N179" s="241"/>
      <c r="O179" s="241"/>
      <c r="Q179" s="280"/>
      <c r="R179" s="281" t="s">
        <v>222</v>
      </c>
      <c r="S179" s="294"/>
      <c r="T179" s="282"/>
      <c r="U179" s="282"/>
      <c r="V179" s="364"/>
      <c r="W179" s="284">
        <f t="shared" ref="W179:AB179" si="79">W177-W178</f>
        <v>-62.412499999999909</v>
      </c>
      <c r="X179" s="284">
        <f t="shared" si="79"/>
        <v>11.25</v>
      </c>
      <c r="Y179" s="284">
        <f t="shared" si="79"/>
        <v>33.826000000000008</v>
      </c>
      <c r="Z179" s="284">
        <f t="shared" si="79"/>
        <v>-120.04312499999997</v>
      </c>
      <c r="AA179" s="690">
        <f t="shared" si="79"/>
        <v>-7.4838749999999976</v>
      </c>
      <c r="AB179" s="689">
        <f t="shared" si="79"/>
        <v>-420</v>
      </c>
      <c r="AC179" s="281"/>
    </row>
    <row r="180" spans="5:29">
      <c r="E180" s="241" t="s">
        <v>323</v>
      </c>
      <c r="F180" s="144">
        <v>1</v>
      </c>
      <c r="G180" s="252" t="s">
        <v>317</v>
      </c>
      <c r="H180" s="241">
        <v>180</v>
      </c>
      <c r="I180" s="160">
        <v>2</v>
      </c>
      <c r="J180" s="241">
        <v>9</v>
      </c>
      <c r="K180" s="241">
        <v>24</v>
      </c>
      <c r="L180" s="241">
        <v>0</v>
      </c>
      <c r="M180" s="665">
        <v>0</v>
      </c>
      <c r="N180" s="241"/>
      <c r="O180" s="241"/>
      <c r="Q180" s="288">
        <v>46046</v>
      </c>
      <c r="R180" s="276">
        <v>0.33333333333333298</v>
      </c>
      <c r="S180" s="277" t="s">
        <v>178</v>
      </c>
      <c r="T180" s="277" t="s">
        <v>444</v>
      </c>
      <c r="U180" s="278">
        <v>1</v>
      </c>
      <c r="V180" s="361" t="str">
        <f>IFERROR(VLOOKUP(T180, $E$5:$L$818, 3, FALSE), "")</f>
        <v>sandwich</v>
      </c>
      <c r="W180" s="279">
        <f>IFERROR(VLOOKUP(T180, $E$5:$L$818, 4, FALSE) * (U180 / VLOOKUP(T180, $E$5:$L$818, 2, FALSE)), "")</f>
        <v>270</v>
      </c>
      <c r="X180" s="279">
        <f>IFERROR(VLOOKUP(T180, $E$5:$L$818, 5, FALSE) * (U180 / VLOOKUP(T180, $E$5:$L$818, 2, FALSE)), "")</f>
        <v>10</v>
      </c>
      <c r="Y180" s="279">
        <f>IFERROR(VLOOKUP(T180, $E$5:$L$818, 6, FALSE) * (U180 / VLOOKUP(T180, $E$5:$L$818, 2, FALSE)), "")</f>
        <v>17</v>
      </c>
      <c r="Z180" s="279">
        <f>IFERROR(VLOOKUP(T180, $E$5:$L$818, 7, FALSE) * (U180 / VLOOKUP(T180, $E$5:$L$818, 2, FALSE)), "")</f>
        <v>20</v>
      </c>
      <c r="AA180" s="279">
        <f>IFERROR(VLOOKUP(T180, $E$5:$L$818, 8, FALSE) * (U180 / VLOOKUP(T180, $E$5:$L$818, 2, FALSE)), "")</f>
        <v>4</v>
      </c>
      <c r="AB180" s="674">
        <f>IFERROR(VLOOKUP(T180, $E$5:$O$818, 9, FALSE) * (U180 / VLOOKUP(T180, $E$5:$O$818, 2, FALSE)), "")</f>
        <v>0</v>
      </c>
      <c r="AC180" s="277"/>
    </row>
    <row r="181" spans="5:29">
      <c r="E181" s="299" t="s">
        <v>500</v>
      </c>
      <c r="F181" s="144">
        <v>1</v>
      </c>
      <c r="G181" s="252" t="s">
        <v>340</v>
      </c>
      <c r="H181" s="241">
        <v>220</v>
      </c>
      <c r="I181" s="241">
        <v>2</v>
      </c>
      <c r="J181" s="241">
        <v>14</v>
      </c>
      <c r="K181" s="241">
        <v>22</v>
      </c>
      <c r="L181" s="241">
        <v>0</v>
      </c>
      <c r="M181" s="665">
        <v>0</v>
      </c>
      <c r="N181" s="241"/>
      <c r="O181" s="241"/>
      <c r="Q181" s="288">
        <v>46046</v>
      </c>
      <c r="R181" s="276">
        <v>0.33333333333333298</v>
      </c>
      <c r="S181" s="277" t="s">
        <v>178</v>
      </c>
      <c r="T181" s="277" t="s">
        <v>418</v>
      </c>
      <c r="U181" s="278">
        <v>2</v>
      </c>
      <c r="V181" s="361" t="str">
        <f>IFERROR(VLOOKUP(T181, $E$5:$L$818, 3, FALSE), "")</f>
        <v>potato</v>
      </c>
      <c r="W181" s="279">
        <f>IFERROR(VLOOKUP(T181, $E$5:$L$818, 4, FALSE) * (U181 / VLOOKUP(T181, $E$5:$L$818, 2, FALSE)), "")</f>
        <v>300</v>
      </c>
      <c r="X181" s="279">
        <f>IFERROR(VLOOKUP(T181, $E$5:$L$818, 5, FALSE) * (U181 / VLOOKUP(T181, $E$5:$L$818, 2, FALSE)), "")</f>
        <v>4</v>
      </c>
      <c r="Y181" s="279">
        <f>IFERROR(VLOOKUP(T181, $E$5:$L$818, 6, FALSE) * (U181 / VLOOKUP(T181, $E$5:$L$818, 2, FALSE)), "")</f>
        <v>0</v>
      </c>
      <c r="Z181" s="279">
        <f>IFERROR(VLOOKUP(T181, $E$5:$L$818, 7, FALSE) * (U181 / VLOOKUP(T181, $E$5:$L$818, 2, FALSE)), "")</f>
        <v>70</v>
      </c>
      <c r="AA181" s="279">
        <f>IFERROR(VLOOKUP(T181, $E$5:$L$818, 8, FALSE) * (U181 / VLOOKUP(T181, $E$5:$L$818, 2, FALSE)), "")</f>
        <v>10</v>
      </c>
      <c r="AB181" s="584">
        <f>IFERROR(VLOOKUP(T181, $E$5:$O$818, 9, FALSE) * (U181 / VLOOKUP(T181, $E$5:$O$818, 2, FALSE)), "")</f>
        <v>0</v>
      </c>
      <c r="AC181" s="277"/>
    </row>
    <row r="182" spans="5:29">
      <c r="E182" s="241" t="s">
        <v>492</v>
      </c>
      <c r="F182" s="144">
        <v>4</v>
      </c>
      <c r="G182" s="252" t="s">
        <v>281</v>
      </c>
      <c r="H182" s="241">
        <v>170</v>
      </c>
      <c r="I182" s="241">
        <v>2</v>
      </c>
      <c r="J182" s="241">
        <v>10</v>
      </c>
      <c r="K182" s="241">
        <v>19</v>
      </c>
      <c r="L182" s="241">
        <v>0</v>
      </c>
      <c r="M182" s="665">
        <v>0</v>
      </c>
      <c r="N182" s="241"/>
      <c r="O182" s="241"/>
      <c r="Q182" s="288">
        <v>46046</v>
      </c>
      <c r="R182" s="276">
        <v>0.33333333333333298</v>
      </c>
      <c r="S182" s="277" t="s">
        <v>178</v>
      </c>
      <c r="T182" s="277" t="s">
        <v>814</v>
      </c>
      <c r="U182" s="278">
        <v>1</v>
      </c>
      <c r="V182" s="361" t="str">
        <f>IFERROR(VLOOKUP(T182, $E$5:$L$818, 3, FALSE), "")</f>
        <v>bottle</v>
      </c>
      <c r="W182" s="279">
        <f>IFERROR(VLOOKUP(T182, $E$5:$L$818, 4, FALSE) * (U182 / VLOOKUP(T182, $E$5:$L$818, 2, FALSE)), "")</f>
        <v>260</v>
      </c>
      <c r="X182" s="279">
        <f>IFERROR(VLOOKUP(T182, $E$5:$L$818, 5, FALSE) * (U182 / VLOOKUP(T182, $E$5:$L$818, 2, FALSE)), "")</f>
        <v>33</v>
      </c>
      <c r="Y182" s="279">
        <f>IFERROR(VLOOKUP(T182, $E$5:$L$818, 6, FALSE) * (U182 / VLOOKUP(T182, $E$5:$L$818, 2, FALSE)), "")</f>
        <v>6</v>
      </c>
      <c r="Z182" s="279">
        <f>IFERROR(VLOOKUP(T182, $E$5:$L$818, 7, FALSE) * (U182 / VLOOKUP(T182, $E$5:$L$818, 2, FALSE)), "")</f>
        <v>20</v>
      </c>
      <c r="AA182" s="279">
        <f>IFERROR(VLOOKUP(T182, $E$5:$L$818, 8, FALSE) * (U182 / VLOOKUP(T182, $E$5:$L$818, 2, FALSE)), "")</f>
        <v>0</v>
      </c>
      <c r="AB182" s="584">
        <f>IFERROR(VLOOKUP(T182, $E$5:$O$818, 9, FALSE) * (U182 / VLOOKUP(T182, $E$5:$O$818, 2, FALSE)), "")</f>
        <v>0</v>
      </c>
      <c r="AC182" s="277"/>
    </row>
    <row r="183" spans="5:29">
      <c r="E183" s="241" t="s">
        <v>804</v>
      </c>
      <c r="F183" s="144">
        <v>1</v>
      </c>
      <c r="G183" s="252" t="s">
        <v>283</v>
      </c>
      <c r="H183" s="241">
        <v>180</v>
      </c>
      <c r="I183" s="241">
        <v>2</v>
      </c>
      <c r="J183" s="241">
        <v>6</v>
      </c>
      <c r="K183" s="241">
        <v>32</v>
      </c>
      <c r="L183" s="241">
        <v>2</v>
      </c>
      <c r="M183" s="665">
        <v>0</v>
      </c>
      <c r="N183" s="241"/>
      <c r="O183" s="241"/>
      <c r="Q183" s="288">
        <v>46046</v>
      </c>
      <c r="R183" s="276">
        <v>0.625</v>
      </c>
      <c r="S183" s="277" t="s">
        <v>289</v>
      </c>
      <c r="T183" s="277" t="s">
        <v>268</v>
      </c>
      <c r="U183" s="278">
        <v>2</v>
      </c>
      <c r="V183" s="361" t="str">
        <f>IFERROR(VLOOKUP(T183, $E$5:$L$818, 3, FALSE), "")</f>
        <v>scoop</v>
      </c>
      <c r="W183" s="279">
        <f>IFERROR(VLOOKUP(T183, $E$5:$L$818, 4, FALSE) * (U183 / VLOOKUP(T183, $E$5:$L$818, 2, FALSE)), "")</f>
        <v>320</v>
      </c>
      <c r="X183" s="279">
        <f>IFERROR(VLOOKUP(T183, $E$5:$L$818, 5, FALSE) * (U183 / VLOOKUP(T183, $E$5:$L$818, 2, FALSE)), "")</f>
        <v>5</v>
      </c>
      <c r="Y183" s="279">
        <f>IFERROR(VLOOKUP(T183, $E$5:$L$818, 6, FALSE) * (U183 / VLOOKUP(T183, $E$5:$L$818, 2, FALSE)), "")</f>
        <v>17</v>
      </c>
      <c r="Z183" s="279">
        <f>IFERROR(VLOOKUP(T183, $E$5:$L$818, 7, FALSE) * (U183 / VLOOKUP(T183, $E$5:$L$818, 2, FALSE)), "")</f>
        <v>39</v>
      </c>
      <c r="AA183" s="279">
        <f>IFERROR(VLOOKUP(T183, $E$5:$L$818, 8, FALSE) * (U183 / VLOOKUP(T183, $E$5:$L$818, 2, FALSE)), "")</f>
        <v>0</v>
      </c>
      <c r="AB183" s="584">
        <f>IFERROR(VLOOKUP(T183, $E$5:$O$818, 9, FALSE) * (U183 / VLOOKUP(T183, $E$5:$O$818, 2, FALSE)), "")</f>
        <v>0</v>
      </c>
      <c r="AC183" s="277"/>
    </row>
    <row r="184" spans="5:29">
      <c r="E184" s="268" t="s">
        <v>371</v>
      </c>
      <c r="F184" s="144">
        <v>1</v>
      </c>
      <c r="G184" s="252" t="s">
        <v>276</v>
      </c>
      <c r="H184" s="241">
        <v>85</v>
      </c>
      <c r="I184" s="160">
        <v>2</v>
      </c>
      <c r="J184" s="241">
        <v>5</v>
      </c>
      <c r="K184" s="241">
        <v>8</v>
      </c>
      <c r="L184" s="241">
        <v>0.5</v>
      </c>
      <c r="M184" s="665">
        <v>5</v>
      </c>
      <c r="N184" s="241"/>
      <c r="O184" s="241"/>
      <c r="Q184" s="288">
        <v>46046</v>
      </c>
      <c r="R184" s="276">
        <v>0.79166666666666696</v>
      </c>
      <c r="S184" s="277" t="s">
        <v>199</v>
      </c>
      <c r="T184" s="277" t="s">
        <v>302</v>
      </c>
      <c r="U184" s="278">
        <v>2</v>
      </c>
      <c r="V184" s="361" t="str">
        <f>IFERROR(VLOOKUP(T184, $E$5:$L$818, 3, FALSE), "")</f>
        <v>order</v>
      </c>
      <c r="W184" s="279">
        <f>IFERROR(VLOOKUP(T184, $E$5:$L$818, 4, FALSE) * (U184 / VLOOKUP(T184, $E$5:$L$818, 2, FALSE)), "")</f>
        <v>900</v>
      </c>
      <c r="X184" s="279">
        <f>IFERROR(VLOOKUP(T184, $E$5:$L$818, 5, FALSE) * (U184 / VLOOKUP(T184, $E$5:$L$818, 2, FALSE)), "")</f>
        <v>70</v>
      </c>
      <c r="Y184" s="279">
        <f>IFERROR(VLOOKUP(T184, $E$5:$L$818, 6, FALSE) * (U184 / VLOOKUP(T184, $E$5:$L$818, 2, FALSE)), "")</f>
        <v>64</v>
      </c>
      <c r="Z184" s="279">
        <f>IFERROR(VLOOKUP(T184, $E$5:$L$818, 7, FALSE) * (U184 / VLOOKUP(T184, $E$5:$L$818, 2, FALSE)), "")</f>
        <v>10</v>
      </c>
      <c r="AA184" s="279">
        <f>IFERROR(VLOOKUP(T184, $E$5:$L$818, 8, FALSE) * (U184 / VLOOKUP(T184, $E$5:$L$818, 2, FALSE)), "")</f>
        <v>0</v>
      </c>
      <c r="AB184" s="684">
        <f>IFERROR(VLOOKUP(T184, $E$5:$O$818, 9, FALSE) * (U184 / VLOOKUP(T184, $E$5:$O$818, 2, FALSE)), "")</f>
        <v>0</v>
      </c>
      <c r="AC184" s="277"/>
    </row>
    <row r="185" spans="5:29">
      <c r="E185" s="270" t="s">
        <v>367</v>
      </c>
      <c r="F185" s="267">
        <v>1</v>
      </c>
      <c r="G185" s="266" t="s">
        <v>276</v>
      </c>
      <c r="H185" s="268">
        <v>110</v>
      </c>
      <c r="I185" s="160">
        <v>1.5</v>
      </c>
      <c r="J185" s="268">
        <v>4</v>
      </c>
      <c r="K185" s="268">
        <v>18</v>
      </c>
      <c r="L185" s="268">
        <v>1</v>
      </c>
      <c r="M185" s="665">
        <v>0</v>
      </c>
      <c r="N185" s="268"/>
      <c r="O185" s="268"/>
      <c r="Q185" s="280"/>
      <c r="R185" s="281" t="s">
        <v>217</v>
      </c>
      <c r="S185" s="294"/>
      <c r="T185" s="282"/>
      <c r="U185" s="282"/>
      <c r="V185" s="364"/>
      <c r="W185" s="283">
        <f t="shared" ref="W185:AB185" si="80">SUM(W180:W184)</f>
        <v>2050</v>
      </c>
      <c r="X185" s="283">
        <f t="shared" si="80"/>
        <v>122</v>
      </c>
      <c r="Y185" s="283">
        <f t="shared" si="80"/>
        <v>104</v>
      </c>
      <c r="Z185" s="283">
        <f t="shared" si="80"/>
        <v>159</v>
      </c>
      <c r="AA185" s="683">
        <f t="shared" si="80"/>
        <v>14</v>
      </c>
      <c r="AB185" s="691">
        <f t="shared" si="80"/>
        <v>0</v>
      </c>
      <c r="AC185" s="281"/>
    </row>
    <row r="186" spans="5:29">
      <c r="E186" s="160" t="s">
        <v>190</v>
      </c>
      <c r="F186" s="311">
        <v>1</v>
      </c>
      <c r="G186" s="291" t="s">
        <v>211</v>
      </c>
      <c r="H186" s="160">
        <v>62</v>
      </c>
      <c r="I186" s="160">
        <v>1.2</v>
      </c>
      <c r="J186" s="160">
        <v>0.2</v>
      </c>
      <c r="K186" s="160">
        <v>15.4</v>
      </c>
      <c r="L186" s="160">
        <v>3.1</v>
      </c>
      <c r="M186" s="591">
        <v>0</v>
      </c>
      <c r="N186" s="160"/>
      <c r="O186" s="160"/>
      <c r="Q186" s="280"/>
      <c r="R186" s="281" t="s">
        <v>220</v>
      </c>
      <c r="S186" s="294"/>
      <c r="T186" s="282"/>
      <c r="U186" s="282"/>
      <c r="V186" s="364"/>
      <c r="W186" s="284">
        <f>$B$27</f>
        <v>2834.5625</v>
      </c>
      <c r="X186" s="284">
        <f>$B$29</f>
        <v>154</v>
      </c>
      <c r="Y186" s="284">
        <f>$B$30</f>
        <v>63.91</v>
      </c>
      <c r="Z186" s="284">
        <f>$B$31</f>
        <v>410.84312499999999</v>
      </c>
      <c r="AA186" s="690">
        <f>$B$32</f>
        <v>39.683875</v>
      </c>
      <c r="AB186" s="695">
        <f>$B$39</f>
        <v>500</v>
      </c>
      <c r="AC186" s="281"/>
    </row>
    <row r="187" spans="5:29">
      <c r="E187" s="299" t="s">
        <v>431</v>
      </c>
      <c r="F187" s="171">
        <v>1</v>
      </c>
      <c r="G187" s="300" t="s">
        <v>276</v>
      </c>
      <c r="H187" s="170">
        <v>139</v>
      </c>
      <c r="I187" s="160">
        <v>1.1000000000000001</v>
      </c>
      <c r="J187" s="170">
        <v>7.3</v>
      </c>
      <c r="K187" s="170">
        <v>17</v>
      </c>
      <c r="L187" s="170">
        <v>0.5</v>
      </c>
      <c r="M187" s="665">
        <v>0</v>
      </c>
      <c r="Q187" s="280"/>
      <c r="R187" s="281" t="s">
        <v>222</v>
      </c>
      <c r="S187" s="294"/>
      <c r="T187" s="282"/>
      <c r="U187" s="282"/>
      <c r="V187" s="364"/>
      <c r="W187" s="284">
        <f t="shared" ref="W187:AB187" si="81">W185-W186</f>
        <v>-784.5625</v>
      </c>
      <c r="X187" s="284">
        <f t="shared" si="81"/>
        <v>-32</v>
      </c>
      <c r="Y187" s="284">
        <f t="shared" si="81"/>
        <v>40.090000000000003</v>
      </c>
      <c r="Z187" s="284">
        <f t="shared" si="81"/>
        <v>-251.84312499999999</v>
      </c>
      <c r="AA187" s="690">
        <f t="shared" si="81"/>
        <v>-25.683875</v>
      </c>
      <c r="AB187" s="689">
        <f t="shared" si="81"/>
        <v>-500</v>
      </c>
      <c r="AC187" s="281"/>
    </row>
    <row r="188" spans="5:29">
      <c r="E188" s="160" t="s">
        <v>753</v>
      </c>
      <c r="F188" s="311">
        <v>100</v>
      </c>
      <c r="G188" s="291" t="s">
        <v>177</v>
      </c>
      <c r="H188" s="160">
        <v>130</v>
      </c>
      <c r="I188" s="160">
        <v>1</v>
      </c>
      <c r="J188" s="160">
        <v>0</v>
      </c>
      <c r="K188" s="160">
        <v>31</v>
      </c>
      <c r="L188" s="160">
        <v>3</v>
      </c>
      <c r="M188" s="591">
        <v>0</v>
      </c>
      <c r="N188" s="160"/>
      <c r="O188" s="160"/>
      <c r="Q188" s="288">
        <v>46047</v>
      </c>
      <c r="R188" s="276">
        <v>0.45833333333333331</v>
      </c>
      <c r="S188" s="277" t="s">
        <v>178</v>
      </c>
      <c r="T188" s="277" t="s">
        <v>814</v>
      </c>
      <c r="U188" s="278">
        <v>1</v>
      </c>
      <c r="V188" s="361" t="str">
        <f t="shared" ref="V188:V200" si="82">IFERROR(VLOOKUP(T188, $E$5:$L$818, 3, FALSE), "")</f>
        <v>bottle</v>
      </c>
      <c r="W188" s="279">
        <f t="shared" ref="W188:W200" si="83">IFERROR(VLOOKUP(T188, $E$5:$L$818, 4, FALSE) * (U188 / VLOOKUP(T188, $E$5:$L$818, 2, FALSE)), "")</f>
        <v>260</v>
      </c>
      <c r="X188" s="279">
        <f t="shared" ref="X188:X200" si="84">IFERROR(VLOOKUP(T188, $E$5:$L$818, 5, FALSE) * (U188 / VLOOKUP(T188, $E$5:$L$818, 2, FALSE)), "")</f>
        <v>33</v>
      </c>
      <c r="Y188" s="279">
        <f t="shared" ref="Y188:Y200" si="85">IFERROR(VLOOKUP(T188, $E$5:$L$818, 6, FALSE) * (U188 / VLOOKUP(T188, $E$5:$L$818, 2, FALSE)), "")</f>
        <v>6</v>
      </c>
      <c r="Z188" s="279">
        <f t="shared" ref="Z188:Z200" si="86">IFERROR(VLOOKUP(T188, $E$5:$L$818, 7, FALSE) * (U188 / VLOOKUP(T188, $E$5:$L$818, 2, FALSE)), "")</f>
        <v>20</v>
      </c>
      <c r="AA188" s="279">
        <f t="shared" ref="AA188:AA200" si="87">IFERROR(VLOOKUP(T188, $E$5:$L$818, 8, FALSE) * (U188 / VLOOKUP(T188, $E$5:$L$818, 2, FALSE)), "")</f>
        <v>0</v>
      </c>
      <c r="AB188" s="674">
        <f t="shared" ref="AB188:AB200" si="88">IFERROR(VLOOKUP(T188, $E$5:$O$818, 9, FALSE) * (U188 / VLOOKUP(T188, $E$5:$O$818, 2, FALSE)), "")</f>
        <v>0</v>
      </c>
      <c r="AC188" s="277"/>
    </row>
    <row r="189" spans="5:29">
      <c r="E189" s="321" t="s">
        <v>304</v>
      </c>
      <c r="F189" s="321">
        <v>1</v>
      </c>
      <c r="G189" s="324" t="s">
        <v>305</v>
      </c>
      <c r="H189" s="321">
        <v>150</v>
      </c>
      <c r="I189" s="160">
        <v>1</v>
      </c>
      <c r="J189" s="321">
        <v>0</v>
      </c>
      <c r="K189" s="321">
        <v>13</v>
      </c>
      <c r="L189" s="321">
        <v>0</v>
      </c>
      <c r="M189" s="667">
        <v>0</v>
      </c>
      <c r="N189" s="321"/>
      <c r="O189" s="321"/>
      <c r="Q189" s="288">
        <v>46047</v>
      </c>
      <c r="R189" s="276">
        <v>0.45833333333333331</v>
      </c>
      <c r="S189" s="277" t="s">
        <v>178</v>
      </c>
      <c r="T189" s="277" t="s">
        <v>418</v>
      </c>
      <c r="U189" s="278">
        <v>2</v>
      </c>
      <c r="V189" s="361" t="str">
        <f t="shared" si="82"/>
        <v>potato</v>
      </c>
      <c r="W189" s="279">
        <f t="shared" si="83"/>
        <v>300</v>
      </c>
      <c r="X189" s="279">
        <f t="shared" si="84"/>
        <v>4</v>
      </c>
      <c r="Y189" s="279">
        <f t="shared" si="85"/>
        <v>0</v>
      </c>
      <c r="Z189" s="279">
        <f t="shared" si="86"/>
        <v>70</v>
      </c>
      <c r="AA189" s="279">
        <f t="shared" si="87"/>
        <v>10</v>
      </c>
      <c r="AB189" s="584">
        <f t="shared" si="88"/>
        <v>0</v>
      </c>
      <c r="AC189" s="277"/>
    </row>
    <row r="190" spans="5:29">
      <c r="E190" s="160" t="s">
        <v>214</v>
      </c>
      <c r="F190" s="311">
        <v>1</v>
      </c>
      <c r="G190" s="291" t="s">
        <v>227</v>
      </c>
      <c r="H190" s="160">
        <v>67</v>
      </c>
      <c r="I190" s="160">
        <v>1</v>
      </c>
      <c r="J190" s="160">
        <v>3.5</v>
      </c>
      <c r="K190" s="160">
        <v>22</v>
      </c>
      <c r="L190" s="160">
        <v>0.3</v>
      </c>
      <c r="M190" s="591">
        <v>0</v>
      </c>
      <c r="N190" s="160"/>
      <c r="O190" s="160"/>
      <c r="Q190" s="288">
        <v>46047</v>
      </c>
      <c r="R190" s="276">
        <v>0.45833333333333331</v>
      </c>
      <c r="S190" s="277" t="s">
        <v>289</v>
      </c>
      <c r="T190" s="277" t="s">
        <v>431</v>
      </c>
      <c r="U190" s="278">
        <v>1</v>
      </c>
      <c r="V190" s="361" t="str">
        <f t="shared" si="82"/>
        <v>piece</v>
      </c>
      <c r="W190" s="279">
        <f t="shared" si="83"/>
        <v>139</v>
      </c>
      <c r="X190" s="279">
        <f t="shared" si="84"/>
        <v>1.1000000000000001</v>
      </c>
      <c r="Y190" s="279">
        <f t="shared" si="85"/>
        <v>7.3</v>
      </c>
      <c r="Z190" s="279">
        <f t="shared" si="86"/>
        <v>17</v>
      </c>
      <c r="AA190" s="279">
        <f t="shared" si="87"/>
        <v>0.5</v>
      </c>
      <c r="AB190" s="584">
        <f t="shared" si="88"/>
        <v>0</v>
      </c>
      <c r="AC190" s="277"/>
    </row>
    <row r="191" spans="5:29">
      <c r="E191" s="160" t="s">
        <v>204</v>
      </c>
      <c r="F191" s="311">
        <v>1</v>
      </c>
      <c r="G191" s="291" t="s">
        <v>203</v>
      </c>
      <c r="H191" s="160">
        <v>50</v>
      </c>
      <c r="I191" s="160">
        <v>1</v>
      </c>
      <c r="J191" s="160">
        <v>5</v>
      </c>
      <c r="K191" s="160">
        <v>1</v>
      </c>
      <c r="L191" s="160">
        <v>0</v>
      </c>
      <c r="M191" s="591">
        <v>0</v>
      </c>
      <c r="N191" s="160"/>
      <c r="O191" s="160"/>
      <c r="Q191" s="288">
        <v>46047</v>
      </c>
      <c r="R191" s="276">
        <v>0.5</v>
      </c>
      <c r="S191" s="277" t="s">
        <v>289</v>
      </c>
      <c r="T191" s="277" t="s">
        <v>212</v>
      </c>
      <c r="U191" s="278">
        <v>1</v>
      </c>
      <c r="V191" s="361" t="str">
        <f t="shared" si="82"/>
        <v>bottle</v>
      </c>
      <c r="W191" s="279">
        <f t="shared" si="83"/>
        <v>70</v>
      </c>
      <c r="X191" s="279">
        <f t="shared" si="84"/>
        <v>0</v>
      </c>
      <c r="Y191" s="279">
        <f t="shared" si="85"/>
        <v>0</v>
      </c>
      <c r="Z191" s="279">
        <f t="shared" si="86"/>
        <v>17</v>
      </c>
      <c r="AA191" s="279">
        <f t="shared" si="87"/>
        <v>1</v>
      </c>
      <c r="AB191" s="584">
        <f t="shared" si="88"/>
        <v>0</v>
      </c>
      <c r="AC191" s="277"/>
    </row>
    <row r="192" spans="5:29">
      <c r="E192" s="299" t="s">
        <v>496</v>
      </c>
      <c r="F192" s="301">
        <v>6</v>
      </c>
      <c r="G192" s="300" t="s">
        <v>281</v>
      </c>
      <c r="H192" s="299">
        <v>96</v>
      </c>
      <c r="I192" s="299">
        <v>1</v>
      </c>
      <c r="J192" s="299">
        <v>4.5</v>
      </c>
      <c r="K192" s="299">
        <v>12</v>
      </c>
      <c r="L192" s="299">
        <v>0</v>
      </c>
      <c r="M192" s="665">
        <v>0</v>
      </c>
      <c r="N192" s="299"/>
      <c r="O192" s="299"/>
      <c r="Q192" s="288">
        <v>46047</v>
      </c>
      <c r="R192" s="276">
        <v>0.625</v>
      </c>
      <c r="S192" s="277" t="s">
        <v>185</v>
      </c>
      <c r="T192" s="277" t="s">
        <v>176</v>
      </c>
      <c r="U192" s="278">
        <v>264</v>
      </c>
      <c r="V192" s="361" t="str">
        <f t="shared" si="82"/>
        <v>g</v>
      </c>
      <c r="W192" s="279">
        <f t="shared" si="83"/>
        <v>435.6</v>
      </c>
      <c r="X192" s="279">
        <f t="shared" si="84"/>
        <v>66</v>
      </c>
      <c r="Y192" s="279">
        <f t="shared" si="85"/>
        <v>9.5040000000000013</v>
      </c>
      <c r="Z192" s="279">
        <f t="shared" si="86"/>
        <v>0</v>
      </c>
      <c r="AA192" s="279">
        <f t="shared" si="87"/>
        <v>0</v>
      </c>
      <c r="AB192" s="584">
        <f t="shared" si="88"/>
        <v>0</v>
      </c>
      <c r="AC192" s="277"/>
    </row>
    <row r="193" spans="5:29">
      <c r="E193" s="299" t="s">
        <v>453</v>
      </c>
      <c r="F193" s="144">
        <v>1</v>
      </c>
      <c r="G193" s="252" t="s">
        <v>276</v>
      </c>
      <c r="H193" s="241">
        <v>73</v>
      </c>
      <c r="I193" s="241">
        <v>1</v>
      </c>
      <c r="J193" s="241">
        <v>5.3</v>
      </c>
      <c r="K193" s="241">
        <v>5.3</v>
      </c>
      <c r="L193" s="241">
        <v>0.3</v>
      </c>
      <c r="M193" s="665">
        <v>0</v>
      </c>
      <c r="N193" s="241"/>
      <c r="O193" s="241"/>
      <c r="Q193" s="288">
        <v>46047</v>
      </c>
      <c r="R193" s="276">
        <v>0.625</v>
      </c>
      <c r="S193" s="277" t="s">
        <v>185</v>
      </c>
      <c r="T193" s="277" t="s">
        <v>181</v>
      </c>
      <c r="U193" s="278">
        <v>5</v>
      </c>
      <c r="V193" s="361" t="str">
        <f t="shared" si="82"/>
        <v>slice</v>
      </c>
      <c r="W193" s="279">
        <f t="shared" si="83"/>
        <v>350</v>
      </c>
      <c r="X193" s="279">
        <f t="shared" si="84"/>
        <v>12.5</v>
      </c>
      <c r="Y193" s="279">
        <f t="shared" si="85"/>
        <v>6.25</v>
      </c>
      <c r="Z193" s="279">
        <f t="shared" si="86"/>
        <v>60</v>
      </c>
      <c r="AA193" s="279">
        <f t="shared" si="87"/>
        <v>5</v>
      </c>
      <c r="AB193" s="584">
        <f t="shared" si="88"/>
        <v>0</v>
      </c>
      <c r="AC193" s="277"/>
    </row>
    <row r="194" spans="5:29">
      <c r="E194" s="299" t="s">
        <v>449</v>
      </c>
      <c r="F194" s="144">
        <v>1</v>
      </c>
      <c r="G194" s="252" t="s">
        <v>340</v>
      </c>
      <c r="H194" s="241">
        <v>70</v>
      </c>
      <c r="I194" s="241">
        <v>1</v>
      </c>
      <c r="J194" s="241">
        <v>0</v>
      </c>
      <c r="K194" s="241">
        <v>17</v>
      </c>
      <c r="L194" s="241">
        <v>0</v>
      </c>
      <c r="M194" s="665">
        <v>0</v>
      </c>
      <c r="N194" s="241"/>
      <c r="O194" s="241"/>
      <c r="Q194" s="288">
        <v>46047</v>
      </c>
      <c r="R194" s="276">
        <v>0.625</v>
      </c>
      <c r="S194" s="277" t="s">
        <v>289</v>
      </c>
      <c r="T194" s="277" t="s">
        <v>214</v>
      </c>
      <c r="U194" s="278">
        <v>1</v>
      </c>
      <c r="V194" s="361" t="str">
        <f t="shared" si="82"/>
        <v>bar</v>
      </c>
      <c r="W194" s="279">
        <f t="shared" si="83"/>
        <v>67</v>
      </c>
      <c r="X194" s="279">
        <f t="shared" si="84"/>
        <v>1</v>
      </c>
      <c r="Y194" s="279">
        <f t="shared" si="85"/>
        <v>3.5</v>
      </c>
      <c r="Z194" s="279">
        <f t="shared" si="86"/>
        <v>22</v>
      </c>
      <c r="AA194" s="279">
        <f t="shared" si="87"/>
        <v>0.3</v>
      </c>
      <c r="AB194" s="584">
        <f t="shared" si="88"/>
        <v>0</v>
      </c>
      <c r="AC194" s="277"/>
    </row>
    <row r="195" spans="5:29">
      <c r="E195" s="237" t="s">
        <v>354</v>
      </c>
      <c r="F195" s="239">
        <v>1</v>
      </c>
      <c r="G195" s="238" t="s">
        <v>353</v>
      </c>
      <c r="H195" s="237">
        <v>45</v>
      </c>
      <c r="I195" s="160">
        <v>1</v>
      </c>
      <c r="J195" s="237">
        <v>3</v>
      </c>
      <c r="K195" s="237">
        <v>5</v>
      </c>
      <c r="L195" s="237">
        <v>0.5</v>
      </c>
      <c r="M195" s="665">
        <v>0</v>
      </c>
      <c r="N195" s="237"/>
      <c r="O195" s="237"/>
      <c r="Q195" s="288">
        <v>46047</v>
      </c>
      <c r="R195" s="276">
        <v>0.625</v>
      </c>
      <c r="S195" s="277" t="s">
        <v>289</v>
      </c>
      <c r="T195" s="277" t="s">
        <v>445</v>
      </c>
      <c r="U195" s="278">
        <v>1</v>
      </c>
      <c r="V195" s="361" t="str">
        <f t="shared" si="82"/>
        <v>bag</v>
      </c>
      <c r="W195" s="279">
        <f t="shared" si="83"/>
        <v>280</v>
      </c>
      <c r="X195" s="279">
        <f t="shared" si="84"/>
        <v>8</v>
      </c>
      <c r="Y195" s="279">
        <f t="shared" si="85"/>
        <v>0</v>
      </c>
      <c r="Z195" s="279">
        <f t="shared" si="86"/>
        <v>64</v>
      </c>
      <c r="AA195" s="279">
        <f t="shared" si="87"/>
        <v>0</v>
      </c>
      <c r="AB195" s="584">
        <f t="shared" si="88"/>
        <v>0</v>
      </c>
      <c r="AC195" s="277"/>
    </row>
    <row r="196" spans="5:29">
      <c r="E196" s="241" t="s">
        <v>357</v>
      </c>
      <c r="F196" s="171">
        <v>4</v>
      </c>
      <c r="G196" s="172" t="s">
        <v>352</v>
      </c>
      <c r="H196" s="170">
        <v>70</v>
      </c>
      <c r="I196" s="160">
        <v>1</v>
      </c>
      <c r="J196" s="170">
        <v>0</v>
      </c>
      <c r="K196" s="170">
        <v>16</v>
      </c>
      <c r="L196" s="170">
        <v>0</v>
      </c>
      <c r="M196" s="665">
        <v>0</v>
      </c>
      <c r="Q196" s="288">
        <v>46047</v>
      </c>
      <c r="R196" s="276">
        <v>0.83333333333333337</v>
      </c>
      <c r="S196" s="277" t="s">
        <v>199</v>
      </c>
      <c r="T196" s="277" t="s">
        <v>437</v>
      </c>
      <c r="U196" s="278">
        <v>1</v>
      </c>
      <c r="V196" s="361" t="str">
        <f t="shared" si="82"/>
        <v>bag</v>
      </c>
      <c r="W196" s="279">
        <f t="shared" si="83"/>
        <v>110</v>
      </c>
      <c r="X196" s="279">
        <f t="shared" si="84"/>
        <v>3</v>
      </c>
      <c r="Y196" s="279">
        <f t="shared" si="85"/>
        <v>0</v>
      </c>
      <c r="Z196" s="279">
        <f t="shared" si="86"/>
        <v>24</v>
      </c>
      <c r="AA196" s="279">
        <f t="shared" si="87"/>
        <v>0</v>
      </c>
      <c r="AB196" s="584">
        <f t="shared" si="88"/>
        <v>0</v>
      </c>
      <c r="AC196" s="277"/>
    </row>
    <row r="197" spans="5:29">
      <c r="E197" s="241" t="s">
        <v>793</v>
      </c>
      <c r="F197" s="144">
        <v>50</v>
      </c>
      <c r="G197" s="252" t="s">
        <v>177</v>
      </c>
      <c r="H197" s="241">
        <v>40</v>
      </c>
      <c r="I197" s="241">
        <v>1</v>
      </c>
      <c r="J197" s="241">
        <v>2</v>
      </c>
      <c r="K197" s="241">
        <v>5</v>
      </c>
      <c r="L197" s="241">
        <v>2</v>
      </c>
      <c r="M197" s="665">
        <v>10</v>
      </c>
      <c r="N197" s="241"/>
      <c r="O197" s="241"/>
      <c r="Q197" s="288">
        <v>46047</v>
      </c>
      <c r="R197" s="276">
        <v>0.83333333333333337</v>
      </c>
      <c r="S197" s="277" t="s">
        <v>199</v>
      </c>
      <c r="T197" s="277" t="s">
        <v>374</v>
      </c>
      <c r="U197" s="278">
        <v>1</v>
      </c>
      <c r="V197" s="361" t="str">
        <f t="shared" si="82"/>
        <v>egg</v>
      </c>
      <c r="W197" s="279">
        <f t="shared" si="83"/>
        <v>80</v>
      </c>
      <c r="X197" s="279">
        <f t="shared" si="84"/>
        <v>7</v>
      </c>
      <c r="Y197" s="279">
        <f t="shared" si="85"/>
        <v>6</v>
      </c>
      <c r="Z197" s="279">
        <f t="shared" si="86"/>
        <v>0</v>
      </c>
      <c r="AA197" s="279">
        <f t="shared" si="87"/>
        <v>0</v>
      </c>
      <c r="AB197" s="584">
        <f t="shared" si="88"/>
        <v>40</v>
      </c>
      <c r="AC197" s="277"/>
    </row>
    <row r="198" spans="5:29">
      <c r="E198" s="241" t="s">
        <v>806</v>
      </c>
      <c r="F198" s="144">
        <v>1</v>
      </c>
      <c r="G198" s="252" t="s">
        <v>298</v>
      </c>
      <c r="H198" s="241">
        <v>130</v>
      </c>
      <c r="I198" s="241">
        <v>1</v>
      </c>
      <c r="J198" s="241">
        <v>6</v>
      </c>
      <c r="K198" s="241">
        <v>19</v>
      </c>
      <c r="L198" s="241">
        <v>0</v>
      </c>
      <c r="M198" s="665">
        <v>0</v>
      </c>
      <c r="N198" s="241"/>
      <c r="O198" s="241"/>
      <c r="Q198" s="288">
        <v>46047</v>
      </c>
      <c r="R198" s="276">
        <v>0.83333333333333337</v>
      </c>
      <c r="S198" s="277" t="s">
        <v>199</v>
      </c>
      <c r="T198" s="277" t="s">
        <v>234</v>
      </c>
      <c r="U198" s="278">
        <v>1</v>
      </c>
      <c r="V198" s="361" t="str">
        <f t="shared" si="82"/>
        <v>can</v>
      </c>
      <c r="W198" s="279">
        <f t="shared" si="83"/>
        <v>260</v>
      </c>
      <c r="X198" s="279">
        <f t="shared" si="84"/>
        <v>30</v>
      </c>
      <c r="Y198" s="279">
        <f t="shared" si="85"/>
        <v>16</v>
      </c>
      <c r="Z198" s="279">
        <f t="shared" si="86"/>
        <v>2</v>
      </c>
      <c r="AA198" s="279">
        <f t="shared" si="87"/>
        <v>0</v>
      </c>
      <c r="AB198" s="584">
        <f t="shared" si="88"/>
        <v>1300</v>
      </c>
      <c r="AC198" s="277"/>
    </row>
    <row r="199" spans="5:29">
      <c r="E199" s="170" t="s">
        <v>443</v>
      </c>
      <c r="F199" s="171">
        <v>1</v>
      </c>
      <c r="G199" s="172" t="s">
        <v>298</v>
      </c>
      <c r="H199" s="170">
        <v>50</v>
      </c>
      <c r="I199" s="170">
        <v>1</v>
      </c>
      <c r="J199" s="170">
        <v>2.5</v>
      </c>
      <c r="K199" s="170">
        <v>7</v>
      </c>
      <c r="L199" s="170">
        <v>0</v>
      </c>
      <c r="M199" s="665">
        <v>0</v>
      </c>
      <c r="Q199" s="288">
        <v>46047</v>
      </c>
      <c r="R199" s="276">
        <v>0.83333333333333337</v>
      </c>
      <c r="S199" s="277" t="s">
        <v>289</v>
      </c>
      <c r="T199" s="277" t="s">
        <v>268</v>
      </c>
      <c r="U199" s="278">
        <v>2</v>
      </c>
      <c r="V199" s="361" t="str">
        <f t="shared" si="82"/>
        <v>scoop</v>
      </c>
      <c r="W199" s="279">
        <f t="shared" si="83"/>
        <v>320</v>
      </c>
      <c r="X199" s="279">
        <f t="shared" si="84"/>
        <v>5</v>
      </c>
      <c r="Y199" s="279">
        <f t="shared" si="85"/>
        <v>17</v>
      </c>
      <c r="Z199" s="279">
        <f t="shared" si="86"/>
        <v>39</v>
      </c>
      <c r="AA199" s="279">
        <f t="shared" si="87"/>
        <v>0</v>
      </c>
      <c r="AB199" s="584">
        <f t="shared" si="88"/>
        <v>0</v>
      </c>
      <c r="AC199" s="277"/>
    </row>
    <row r="200" spans="5:29">
      <c r="E200" s="241" t="s">
        <v>299</v>
      </c>
      <c r="F200" s="144">
        <v>1</v>
      </c>
      <c r="G200" s="252" t="s">
        <v>298</v>
      </c>
      <c r="H200" s="241">
        <v>45</v>
      </c>
      <c r="I200" s="160">
        <v>1</v>
      </c>
      <c r="J200" s="241">
        <v>2</v>
      </c>
      <c r="K200" s="241">
        <v>6</v>
      </c>
      <c r="L200" s="241">
        <v>0</v>
      </c>
      <c r="M200" s="665">
        <v>0</v>
      </c>
      <c r="N200" s="241"/>
      <c r="O200" s="241"/>
      <c r="Q200" s="288">
        <v>46047</v>
      </c>
      <c r="R200" s="276">
        <v>0.83333333333333337</v>
      </c>
      <c r="S200" s="277" t="s">
        <v>199</v>
      </c>
      <c r="T200" s="277" t="s">
        <v>209</v>
      </c>
      <c r="U200" s="278">
        <v>3</v>
      </c>
      <c r="V200" s="361" t="str">
        <f t="shared" si="82"/>
        <v>tbsp</v>
      </c>
      <c r="W200" s="279">
        <f t="shared" si="83"/>
        <v>60</v>
      </c>
      <c r="X200" s="279">
        <f t="shared" si="84"/>
        <v>0</v>
      </c>
      <c r="Y200" s="279">
        <f t="shared" si="85"/>
        <v>0</v>
      </c>
      <c r="Z200" s="279">
        <f t="shared" si="86"/>
        <v>15</v>
      </c>
      <c r="AA200" s="279">
        <f t="shared" si="87"/>
        <v>13.5</v>
      </c>
      <c r="AB200" s="684">
        <f t="shared" si="88"/>
        <v>0</v>
      </c>
      <c r="AC200" s="277"/>
    </row>
    <row r="201" spans="5:29">
      <c r="E201" s="241" t="s">
        <v>344</v>
      </c>
      <c r="F201" s="144">
        <v>1</v>
      </c>
      <c r="G201" s="252" t="s">
        <v>227</v>
      </c>
      <c r="H201" s="241">
        <v>110</v>
      </c>
      <c r="I201" s="160">
        <v>1</v>
      </c>
      <c r="J201" s="241">
        <v>4</v>
      </c>
      <c r="K201" s="241">
        <v>16</v>
      </c>
      <c r="L201" s="241">
        <v>0</v>
      </c>
      <c r="M201" s="665">
        <v>0</v>
      </c>
      <c r="N201" s="241"/>
      <c r="O201" s="241"/>
      <c r="Q201" s="280"/>
      <c r="R201" s="281" t="s">
        <v>217</v>
      </c>
      <c r="S201" s="294"/>
      <c r="T201" s="282"/>
      <c r="U201" s="282"/>
      <c r="V201" s="364"/>
      <c r="W201" s="283">
        <f t="shared" ref="W201:AB201" si="89">SUM(W188:W200)</f>
        <v>2731.6</v>
      </c>
      <c r="X201" s="283">
        <f t="shared" si="89"/>
        <v>170.6</v>
      </c>
      <c r="Y201" s="283">
        <f t="shared" si="89"/>
        <v>71.554000000000002</v>
      </c>
      <c r="Z201" s="283">
        <f t="shared" si="89"/>
        <v>350</v>
      </c>
      <c r="AA201" s="683">
        <f t="shared" si="89"/>
        <v>30.3</v>
      </c>
      <c r="AB201" s="691">
        <f t="shared" si="89"/>
        <v>1340</v>
      </c>
      <c r="AC201" s="281"/>
    </row>
    <row r="202" spans="5:29">
      <c r="E202" s="170" t="s">
        <v>372</v>
      </c>
      <c r="F202" s="171">
        <v>1</v>
      </c>
      <c r="G202" s="252" t="s">
        <v>276</v>
      </c>
      <c r="H202" s="170">
        <v>120</v>
      </c>
      <c r="I202" s="160">
        <v>1</v>
      </c>
      <c r="J202" s="170">
        <v>8</v>
      </c>
      <c r="K202" s="170">
        <v>12</v>
      </c>
      <c r="L202" s="170">
        <v>0</v>
      </c>
      <c r="M202" s="665">
        <v>0</v>
      </c>
      <c r="Q202" s="280"/>
      <c r="R202" s="281" t="s">
        <v>220</v>
      </c>
      <c r="S202" s="294"/>
      <c r="T202" s="282"/>
      <c r="U202" s="282"/>
      <c r="V202" s="364"/>
      <c r="W202" s="284">
        <f>$B$27</f>
        <v>2834.5625</v>
      </c>
      <c r="X202" s="284">
        <f>$B$29</f>
        <v>154</v>
      </c>
      <c r="Y202" s="284">
        <f>$B$30</f>
        <v>63.91</v>
      </c>
      <c r="Z202" s="284">
        <f>$B$31</f>
        <v>410.84312499999999</v>
      </c>
      <c r="AA202" s="690">
        <f>$B$32</f>
        <v>39.683875</v>
      </c>
      <c r="AB202" s="695">
        <f>$B$39</f>
        <v>500</v>
      </c>
      <c r="AC202" s="281"/>
    </row>
    <row r="203" spans="5:29">
      <c r="E203" s="310" t="s">
        <v>326</v>
      </c>
      <c r="F203" s="310">
        <v>10</v>
      </c>
      <c r="G203" s="318" t="s">
        <v>327</v>
      </c>
      <c r="H203" s="310">
        <v>40</v>
      </c>
      <c r="I203" s="160">
        <v>1</v>
      </c>
      <c r="J203" s="310">
        <v>0</v>
      </c>
      <c r="K203" s="310">
        <v>9</v>
      </c>
      <c r="L203" s="310">
        <v>2</v>
      </c>
      <c r="M203" s="668">
        <v>0</v>
      </c>
      <c r="N203" s="310"/>
      <c r="O203" s="310"/>
      <c r="Q203" s="280"/>
      <c r="R203" s="281" t="s">
        <v>222</v>
      </c>
      <c r="S203" s="294"/>
      <c r="T203" s="282"/>
      <c r="U203" s="282"/>
      <c r="V203" s="364"/>
      <c r="W203" s="284">
        <f t="shared" ref="W203:AB203" si="90">W201-W202</f>
        <v>-102.96250000000009</v>
      </c>
      <c r="X203" s="284">
        <f t="shared" si="90"/>
        <v>16.599999999999994</v>
      </c>
      <c r="Y203" s="284">
        <f t="shared" si="90"/>
        <v>7.6440000000000055</v>
      </c>
      <c r="Z203" s="284">
        <f t="shared" si="90"/>
        <v>-60.843124999999986</v>
      </c>
      <c r="AA203" s="690">
        <f t="shared" si="90"/>
        <v>-9.3838749999999997</v>
      </c>
      <c r="AB203" s="689">
        <f t="shared" si="90"/>
        <v>840</v>
      </c>
      <c r="AC203" s="281"/>
    </row>
    <row r="204" spans="5:29">
      <c r="E204" s="299" t="s">
        <v>623</v>
      </c>
      <c r="F204" s="144">
        <v>3</v>
      </c>
      <c r="G204" s="252" t="s">
        <v>281</v>
      </c>
      <c r="H204" s="241">
        <v>160</v>
      </c>
      <c r="I204" s="241">
        <v>1</v>
      </c>
      <c r="J204" s="241">
        <v>0</v>
      </c>
      <c r="K204" s="241">
        <v>40</v>
      </c>
      <c r="L204" s="241">
        <v>2</v>
      </c>
      <c r="M204" s="665">
        <v>0</v>
      </c>
      <c r="N204" s="241"/>
      <c r="O204" s="241"/>
      <c r="Q204" s="288">
        <v>46048</v>
      </c>
      <c r="R204" s="276">
        <v>0.33333333333333331</v>
      </c>
      <c r="S204" s="277" t="s">
        <v>178</v>
      </c>
      <c r="T204" s="277" t="s">
        <v>446</v>
      </c>
      <c r="U204" s="278">
        <v>1</v>
      </c>
      <c r="V204" s="361" t="str">
        <f t="shared" ref="V204:V217" si="91">IFERROR(VLOOKUP(T204, $E$5:$L$818, 3, FALSE), "")</f>
        <v>plate</v>
      </c>
      <c r="W204" s="279">
        <f t="shared" ref="W204:W217" si="92">IFERROR(VLOOKUP(T204, $E$5:$L$818, 4, FALSE) * (U204 / VLOOKUP(T204, $E$5:$L$818, 2, FALSE)), "")</f>
        <v>460</v>
      </c>
      <c r="X204" s="279">
        <f t="shared" ref="X204:X217" si="93">IFERROR(VLOOKUP(T204, $E$5:$L$818, 5, FALSE) * (U204 / VLOOKUP(T204, $E$5:$L$818, 2, FALSE)), "")</f>
        <v>18</v>
      </c>
      <c r="Y204" s="279">
        <f t="shared" ref="Y204:Y217" si="94">IFERROR(VLOOKUP(T204, $E$5:$L$818, 6, FALSE) * (U204 / VLOOKUP(T204, $E$5:$L$818, 2, FALSE)), "")</f>
        <v>26</v>
      </c>
      <c r="Z204" s="279">
        <f t="shared" ref="Z204:Z217" si="95">IFERROR(VLOOKUP(T204, $E$5:$L$818, 7, FALSE) * (U204 / VLOOKUP(T204, $E$5:$L$818, 2, FALSE)), "")</f>
        <v>45</v>
      </c>
      <c r="AA204" s="279">
        <f t="shared" ref="AA204:AA217" si="96">IFERROR(VLOOKUP(T204, $E$5:$L$818, 8, FALSE) * (U204 / VLOOKUP(T204, $E$5:$L$818, 2, FALSE)), "")</f>
        <v>1</v>
      </c>
      <c r="AB204" s="674">
        <f t="shared" ref="AB204:AB217" si="97">IFERROR(VLOOKUP(T204, $E$5:$O$818, 9, FALSE) * (U204 / VLOOKUP(T204, $E$5:$O$818, 2, FALSE)), "")</f>
        <v>50</v>
      </c>
      <c r="AC204" s="277"/>
    </row>
    <row r="205" spans="5:29">
      <c r="E205" s="160" t="s">
        <v>251</v>
      </c>
      <c r="F205" s="311">
        <v>1</v>
      </c>
      <c r="G205" s="291" t="s">
        <v>211</v>
      </c>
      <c r="H205" s="160">
        <v>55</v>
      </c>
      <c r="I205" s="160">
        <v>1</v>
      </c>
      <c r="J205" s="160">
        <v>0.5</v>
      </c>
      <c r="K205" s="160">
        <v>13</v>
      </c>
      <c r="L205" s="160">
        <v>2.5</v>
      </c>
      <c r="M205" s="591">
        <v>0</v>
      </c>
      <c r="N205" s="160"/>
      <c r="O205" s="160"/>
      <c r="Q205" s="288">
        <v>46048</v>
      </c>
      <c r="R205" s="276">
        <v>0.33333333333333331</v>
      </c>
      <c r="S205" s="277" t="s">
        <v>178</v>
      </c>
      <c r="T205" s="277" t="s">
        <v>418</v>
      </c>
      <c r="U205" s="278">
        <v>0.5</v>
      </c>
      <c r="V205" s="361" t="str">
        <f t="shared" si="91"/>
        <v>potato</v>
      </c>
      <c r="W205" s="279">
        <f t="shared" si="92"/>
        <v>75</v>
      </c>
      <c r="X205" s="279">
        <f t="shared" si="93"/>
        <v>1</v>
      </c>
      <c r="Y205" s="279">
        <f t="shared" si="94"/>
        <v>0</v>
      </c>
      <c r="Z205" s="279">
        <f t="shared" si="95"/>
        <v>17.5</v>
      </c>
      <c r="AA205" s="279">
        <f t="shared" si="96"/>
        <v>2.5</v>
      </c>
      <c r="AB205" s="584">
        <f t="shared" si="97"/>
        <v>0</v>
      </c>
      <c r="AC205" s="277"/>
    </row>
    <row r="206" spans="5:29">
      <c r="E206" s="160" t="s">
        <v>253</v>
      </c>
      <c r="F206" s="311">
        <v>1</v>
      </c>
      <c r="G206" s="291" t="s">
        <v>211</v>
      </c>
      <c r="H206" s="160">
        <v>42</v>
      </c>
      <c r="I206" s="160">
        <v>0.8</v>
      </c>
      <c r="J206" s="160">
        <v>0.4</v>
      </c>
      <c r="K206" s="160">
        <v>10</v>
      </c>
      <c r="L206" s="160">
        <v>2.1</v>
      </c>
      <c r="M206" s="591">
        <v>0</v>
      </c>
      <c r="N206" s="160"/>
      <c r="O206" s="160"/>
      <c r="Q206" s="288">
        <v>46048</v>
      </c>
      <c r="R206" s="276">
        <v>0.33333333333333331</v>
      </c>
      <c r="S206" s="277" t="s">
        <v>178</v>
      </c>
      <c r="T206" s="277" t="s">
        <v>814</v>
      </c>
      <c r="U206" s="278">
        <v>1</v>
      </c>
      <c r="V206" s="361" t="str">
        <f t="shared" si="91"/>
        <v>bottle</v>
      </c>
      <c r="W206" s="279">
        <f t="shared" si="92"/>
        <v>260</v>
      </c>
      <c r="X206" s="279">
        <f t="shared" si="93"/>
        <v>33</v>
      </c>
      <c r="Y206" s="279">
        <f t="shared" si="94"/>
        <v>6</v>
      </c>
      <c r="Z206" s="279">
        <f t="shared" si="95"/>
        <v>20</v>
      </c>
      <c r="AA206" s="279">
        <f t="shared" si="96"/>
        <v>0</v>
      </c>
      <c r="AB206" s="584">
        <f t="shared" si="97"/>
        <v>0</v>
      </c>
      <c r="AC206" s="277"/>
    </row>
    <row r="207" spans="5:29">
      <c r="E207" s="321" t="s">
        <v>296</v>
      </c>
      <c r="F207" s="321">
        <v>1</v>
      </c>
      <c r="G207" s="324" t="s">
        <v>276</v>
      </c>
      <c r="H207" s="321">
        <v>60</v>
      </c>
      <c r="I207" s="160">
        <v>0.7</v>
      </c>
      <c r="J207" s="321">
        <v>0.2</v>
      </c>
      <c r="K207" s="321">
        <v>15</v>
      </c>
      <c r="L207" s="321">
        <v>1.7</v>
      </c>
      <c r="M207" s="667">
        <v>0</v>
      </c>
      <c r="N207" s="321"/>
      <c r="O207" s="321"/>
      <c r="Q207" s="288">
        <v>46048</v>
      </c>
      <c r="R207" s="276">
        <v>0.41666666666666669</v>
      </c>
      <c r="S207" s="277" t="s">
        <v>289</v>
      </c>
      <c r="T207" s="277" t="s">
        <v>212</v>
      </c>
      <c r="U207" s="278">
        <v>1</v>
      </c>
      <c r="V207" s="361" t="str">
        <f t="shared" si="91"/>
        <v>bottle</v>
      </c>
      <c r="W207" s="279">
        <f t="shared" si="92"/>
        <v>70</v>
      </c>
      <c r="X207" s="279">
        <f t="shared" si="93"/>
        <v>0</v>
      </c>
      <c r="Y207" s="279">
        <f t="shared" si="94"/>
        <v>0</v>
      </c>
      <c r="Z207" s="279">
        <f t="shared" si="95"/>
        <v>17</v>
      </c>
      <c r="AA207" s="279">
        <f t="shared" si="96"/>
        <v>1</v>
      </c>
      <c r="AB207" s="584">
        <f t="shared" si="97"/>
        <v>0</v>
      </c>
      <c r="AC207" s="277"/>
    </row>
    <row r="208" spans="5:29">
      <c r="E208" s="160" t="s">
        <v>279</v>
      </c>
      <c r="F208" s="160">
        <v>1</v>
      </c>
      <c r="G208" s="291" t="s">
        <v>211</v>
      </c>
      <c r="H208" s="160">
        <v>34</v>
      </c>
      <c r="I208" s="160">
        <v>0.6</v>
      </c>
      <c r="J208" s="160">
        <v>0.2</v>
      </c>
      <c r="K208" s="160">
        <v>8.1999999999999993</v>
      </c>
      <c r="L208" s="160">
        <v>2.1</v>
      </c>
      <c r="M208" s="591">
        <v>0</v>
      </c>
      <c r="N208" s="160"/>
      <c r="O208" s="160"/>
      <c r="Q208" s="288">
        <v>46048</v>
      </c>
      <c r="R208" s="276">
        <v>0.41666666666666669</v>
      </c>
      <c r="S208" s="277" t="s">
        <v>289</v>
      </c>
      <c r="T208" s="277" t="s">
        <v>448</v>
      </c>
      <c r="U208" s="278">
        <v>1</v>
      </c>
      <c r="V208" s="361" t="str">
        <f t="shared" si="91"/>
        <v>bag</v>
      </c>
      <c r="W208" s="279">
        <f t="shared" si="92"/>
        <v>230</v>
      </c>
      <c r="X208" s="279">
        <f t="shared" si="93"/>
        <v>3</v>
      </c>
      <c r="Y208" s="279">
        <f t="shared" si="94"/>
        <v>13</v>
      </c>
      <c r="Z208" s="279">
        <f t="shared" si="95"/>
        <v>26</v>
      </c>
      <c r="AA208" s="279">
        <f t="shared" si="96"/>
        <v>0</v>
      </c>
      <c r="AB208" s="584">
        <f t="shared" si="97"/>
        <v>0</v>
      </c>
      <c r="AC208" s="277"/>
    </row>
    <row r="209" spans="5:29">
      <c r="E209" s="299" t="s">
        <v>428</v>
      </c>
      <c r="F209" s="171">
        <v>1</v>
      </c>
      <c r="G209" s="172" t="s">
        <v>276</v>
      </c>
      <c r="H209" s="170">
        <v>65</v>
      </c>
      <c r="I209" s="160">
        <v>0.5</v>
      </c>
      <c r="J209" s="170">
        <v>3.5</v>
      </c>
      <c r="K209" s="170">
        <v>8</v>
      </c>
      <c r="L209" s="170">
        <v>0.5</v>
      </c>
      <c r="M209" s="665">
        <v>0</v>
      </c>
      <c r="Q209" s="288">
        <v>46048</v>
      </c>
      <c r="R209" s="276">
        <v>0.41666666666666669</v>
      </c>
      <c r="S209" s="277" t="s">
        <v>289</v>
      </c>
      <c r="T209" s="277" t="s">
        <v>449</v>
      </c>
      <c r="U209" s="278">
        <v>1</v>
      </c>
      <c r="V209" s="361" t="str">
        <f t="shared" si="91"/>
        <v>bag</v>
      </c>
      <c r="W209" s="279">
        <f t="shared" si="92"/>
        <v>70</v>
      </c>
      <c r="X209" s="279">
        <f t="shared" si="93"/>
        <v>1</v>
      </c>
      <c r="Y209" s="279">
        <f t="shared" si="94"/>
        <v>0</v>
      </c>
      <c r="Z209" s="279">
        <f t="shared" si="95"/>
        <v>17</v>
      </c>
      <c r="AA209" s="279">
        <f t="shared" si="96"/>
        <v>0</v>
      </c>
      <c r="AB209" s="584">
        <f t="shared" si="97"/>
        <v>0</v>
      </c>
      <c r="AC209" s="277"/>
    </row>
    <row r="210" spans="5:29">
      <c r="E210" s="299" t="s">
        <v>497</v>
      </c>
      <c r="F210" s="301">
        <v>1</v>
      </c>
      <c r="G210" s="300" t="s">
        <v>340</v>
      </c>
      <c r="H210" s="299">
        <v>100</v>
      </c>
      <c r="I210" s="299">
        <v>0.5</v>
      </c>
      <c r="J210" s="299">
        <v>7</v>
      </c>
      <c r="K210" s="299">
        <v>10</v>
      </c>
      <c r="L210" s="299">
        <v>0</v>
      </c>
      <c r="M210" s="665">
        <v>0</v>
      </c>
      <c r="N210" s="299"/>
      <c r="O210" s="299"/>
      <c r="Q210" s="288">
        <v>46048</v>
      </c>
      <c r="R210" s="276">
        <v>0.5</v>
      </c>
      <c r="S210" s="277" t="s">
        <v>185</v>
      </c>
      <c r="T210" s="277" t="s">
        <v>450</v>
      </c>
      <c r="U210" s="278">
        <v>1</v>
      </c>
      <c r="V210" s="361" t="str">
        <f t="shared" si="91"/>
        <v>meal</v>
      </c>
      <c r="W210" s="279">
        <f t="shared" si="92"/>
        <v>680</v>
      </c>
      <c r="X210" s="279">
        <f t="shared" si="93"/>
        <v>28</v>
      </c>
      <c r="Y210" s="279">
        <f t="shared" si="94"/>
        <v>38</v>
      </c>
      <c r="Z210" s="279">
        <f t="shared" si="95"/>
        <v>55</v>
      </c>
      <c r="AA210" s="279">
        <f t="shared" si="96"/>
        <v>3</v>
      </c>
      <c r="AB210" s="584">
        <f t="shared" si="97"/>
        <v>0</v>
      </c>
      <c r="AC210" s="277"/>
    </row>
    <row r="211" spans="5:29">
      <c r="E211" s="241" t="s">
        <v>468</v>
      </c>
      <c r="F211" s="144">
        <v>1</v>
      </c>
      <c r="G211" s="252" t="s">
        <v>467</v>
      </c>
      <c r="H211" s="241">
        <v>95</v>
      </c>
      <c r="I211" s="241">
        <v>0.5</v>
      </c>
      <c r="J211" s="241">
        <v>0.3</v>
      </c>
      <c r="K211" s="241">
        <v>25</v>
      </c>
      <c r="L211" s="241">
        <v>4</v>
      </c>
      <c r="M211" s="665">
        <v>0</v>
      </c>
      <c r="N211" s="241"/>
      <c r="O211" s="241"/>
      <c r="Q211" s="288">
        <v>46048</v>
      </c>
      <c r="R211" s="276">
        <v>0.5</v>
      </c>
      <c r="S211" s="277" t="s">
        <v>185</v>
      </c>
      <c r="T211" s="277" t="s">
        <v>180</v>
      </c>
      <c r="U211" s="278">
        <v>100</v>
      </c>
      <c r="V211" s="361" t="str">
        <f t="shared" si="91"/>
        <v>g</v>
      </c>
      <c r="W211" s="279">
        <f t="shared" si="92"/>
        <v>130</v>
      </c>
      <c r="X211" s="279">
        <f t="shared" si="93"/>
        <v>2.7</v>
      </c>
      <c r="Y211" s="279">
        <f t="shared" si="94"/>
        <v>0.3</v>
      </c>
      <c r="Z211" s="279">
        <f t="shared" si="95"/>
        <v>28</v>
      </c>
      <c r="AA211" s="279">
        <f t="shared" si="96"/>
        <v>0.4</v>
      </c>
      <c r="AB211" s="584">
        <f t="shared" si="97"/>
        <v>0</v>
      </c>
      <c r="AC211" s="277"/>
    </row>
    <row r="212" spans="5:29">
      <c r="E212" s="299" t="s">
        <v>429</v>
      </c>
      <c r="F212" s="171">
        <v>1</v>
      </c>
      <c r="G212" s="300" t="s">
        <v>276</v>
      </c>
      <c r="H212" s="170">
        <v>60</v>
      </c>
      <c r="I212" s="160">
        <v>0.5</v>
      </c>
      <c r="J212" s="170">
        <v>4</v>
      </c>
      <c r="K212" s="170">
        <v>8</v>
      </c>
      <c r="L212" s="170">
        <v>0.5</v>
      </c>
      <c r="M212" s="665">
        <v>0</v>
      </c>
      <c r="Q212" s="288">
        <v>46048</v>
      </c>
      <c r="R212" s="276">
        <v>0.875</v>
      </c>
      <c r="S212" s="277" t="s">
        <v>199</v>
      </c>
      <c r="T212" s="277" t="s">
        <v>176</v>
      </c>
      <c r="U212" s="278">
        <v>221</v>
      </c>
      <c r="V212" s="361" t="str">
        <f t="shared" si="91"/>
        <v>g</v>
      </c>
      <c r="W212" s="279">
        <f t="shared" si="92"/>
        <v>364.65</v>
      </c>
      <c r="X212" s="279">
        <f t="shared" si="93"/>
        <v>55.25</v>
      </c>
      <c r="Y212" s="279">
        <f t="shared" si="94"/>
        <v>7.9560000000000004</v>
      </c>
      <c r="Z212" s="279">
        <f t="shared" si="95"/>
        <v>0</v>
      </c>
      <c r="AA212" s="279">
        <f t="shared" si="96"/>
        <v>0</v>
      </c>
      <c r="AB212" s="584">
        <f t="shared" si="97"/>
        <v>0</v>
      </c>
      <c r="AC212" s="277"/>
    </row>
    <row r="213" spans="5:29">
      <c r="E213" s="160" t="s">
        <v>249</v>
      </c>
      <c r="F213" s="311">
        <v>1</v>
      </c>
      <c r="G213" s="291" t="s">
        <v>211</v>
      </c>
      <c r="H213" s="160">
        <v>95</v>
      </c>
      <c r="I213" s="160">
        <v>0.5</v>
      </c>
      <c r="J213" s="160">
        <v>0.3</v>
      </c>
      <c r="K213" s="160">
        <v>25</v>
      </c>
      <c r="L213" s="160">
        <v>4.5</v>
      </c>
      <c r="M213" s="591">
        <v>0</v>
      </c>
      <c r="N213" s="160"/>
      <c r="O213" s="160"/>
      <c r="Q213" s="288">
        <v>46048</v>
      </c>
      <c r="R213" s="276">
        <v>0.91666666666666696</v>
      </c>
      <c r="S213" s="277" t="s">
        <v>199</v>
      </c>
      <c r="T213" s="277" t="s">
        <v>374</v>
      </c>
      <c r="U213" s="278">
        <v>2</v>
      </c>
      <c r="V213" s="361" t="str">
        <f t="shared" si="91"/>
        <v>egg</v>
      </c>
      <c r="W213" s="279">
        <f t="shared" si="92"/>
        <v>160</v>
      </c>
      <c r="X213" s="279">
        <f t="shared" si="93"/>
        <v>14</v>
      </c>
      <c r="Y213" s="279">
        <f t="shared" si="94"/>
        <v>12</v>
      </c>
      <c r="Z213" s="279">
        <f t="shared" si="95"/>
        <v>0</v>
      </c>
      <c r="AA213" s="279">
        <f t="shared" si="96"/>
        <v>0</v>
      </c>
      <c r="AB213" s="584">
        <f t="shared" si="97"/>
        <v>80</v>
      </c>
      <c r="AC213" s="277"/>
    </row>
    <row r="214" spans="5:29">
      <c r="E214" s="241" t="s">
        <v>493</v>
      </c>
      <c r="F214" s="144">
        <v>1</v>
      </c>
      <c r="G214" s="252" t="s">
        <v>276</v>
      </c>
      <c r="H214" s="241">
        <v>90</v>
      </c>
      <c r="I214" s="241">
        <v>0.5</v>
      </c>
      <c r="J214" s="241">
        <v>4.5</v>
      </c>
      <c r="K214" s="241">
        <v>13</v>
      </c>
      <c r="L214" s="241">
        <v>0</v>
      </c>
      <c r="M214" s="665">
        <v>0</v>
      </c>
      <c r="N214" s="241"/>
      <c r="O214" s="241"/>
      <c r="Q214" s="288">
        <v>46048</v>
      </c>
      <c r="R214" s="276">
        <v>0.91666666666666696</v>
      </c>
      <c r="S214" s="277" t="s">
        <v>199</v>
      </c>
      <c r="T214" s="277" t="s">
        <v>753</v>
      </c>
      <c r="U214" s="278">
        <v>169</v>
      </c>
      <c r="V214" s="361" t="str">
        <f t="shared" si="91"/>
        <v>g</v>
      </c>
      <c r="W214" s="279">
        <f t="shared" si="92"/>
        <v>219.7</v>
      </c>
      <c r="X214" s="279">
        <f t="shared" si="93"/>
        <v>1.69</v>
      </c>
      <c r="Y214" s="279">
        <f t="shared" si="94"/>
        <v>0</v>
      </c>
      <c r="Z214" s="279">
        <f t="shared" si="95"/>
        <v>52.39</v>
      </c>
      <c r="AA214" s="279">
        <f t="shared" si="96"/>
        <v>5.07</v>
      </c>
      <c r="AB214" s="584">
        <f t="shared" si="97"/>
        <v>0</v>
      </c>
      <c r="AC214" s="277"/>
    </row>
    <row r="215" spans="5:29">
      <c r="E215" s="160" t="s">
        <v>275</v>
      </c>
      <c r="F215" s="160">
        <v>1</v>
      </c>
      <c r="G215" s="291" t="s">
        <v>276</v>
      </c>
      <c r="H215" s="160">
        <v>90</v>
      </c>
      <c r="I215" s="160">
        <v>0.5</v>
      </c>
      <c r="J215" s="160">
        <v>4.5</v>
      </c>
      <c r="K215" s="160">
        <v>12</v>
      </c>
      <c r="L215" s="160">
        <v>1</v>
      </c>
      <c r="M215" s="591">
        <v>0</v>
      </c>
      <c r="N215" s="160"/>
      <c r="O215" s="160"/>
      <c r="Q215" s="288">
        <v>46048</v>
      </c>
      <c r="R215" s="276">
        <v>0.91666666666666696</v>
      </c>
      <c r="S215" s="277" t="s">
        <v>199</v>
      </c>
      <c r="T215" s="277" t="s">
        <v>753</v>
      </c>
      <c r="U215" s="278">
        <v>104</v>
      </c>
      <c r="V215" s="361" t="str">
        <f t="shared" si="91"/>
        <v>g</v>
      </c>
      <c r="W215" s="279">
        <f t="shared" si="92"/>
        <v>135.20000000000002</v>
      </c>
      <c r="X215" s="279">
        <f t="shared" si="93"/>
        <v>1.04</v>
      </c>
      <c r="Y215" s="279">
        <f t="shared" si="94"/>
        <v>0</v>
      </c>
      <c r="Z215" s="279">
        <f t="shared" si="95"/>
        <v>32.24</v>
      </c>
      <c r="AA215" s="279">
        <f t="shared" si="96"/>
        <v>3.12</v>
      </c>
      <c r="AB215" s="584">
        <f t="shared" si="97"/>
        <v>0</v>
      </c>
      <c r="AC215" s="277"/>
    </row>
    <row r="216" spans="5:29">
      <c r="E216" s="241" t="s">
        <v>811</v>
      </c>
      <c r="F216" s="144">
        <v>1</v>
      </c>
      <c r="G216" s="252" t="s">
        <v>340</v>
      </c>
      <c r="H216" s="241">
        <v>60</v>
      </c>
      <c r="I216" s="241">
        <v>0.5</v>
      </c>
      <c r="J216" s="241">
        <v>4</v>
      </c>
      <c r="K216" s="241">
        <v>5</v>
      </c>
      <c r="L216" s="241">
        <v>0</v>
      </c>
      <c r="M216" s="665">
        <v>10</v>
      </c>
      <c r="N216" s="241"/>
      <c r="O216" s="241"/>
      <c r="Q216" s="288">
        <v>46048</v>
      </c>
      <c r="R216" s="276">
        <v>0.91666666666666696</v>
      </c>
      <c r="S216" s="277" t="s">
        <v>199</v>
      </c>
      <c r="T216" s="277" t="s">
        <v>209</v>
      </c>
      <c r="U216" s="278">
        <v>3</v>
      </c>
      <c r="V216" s="361" t="str">
        <f t="shared" si="91"/>
        <v>tbsp</v>
      </c>
      <c r="W216" s="279">
        <f t="shared" si="92"/>
        <v>60</v>
      </c>
      <c r="X216" s="279">
        <f t="shared" si="93"/>
        <v>0</v>
      </c>
      <c r="Y216" s="279">
        <f t="shared" si="94"/>
        <v>0</v>
      </c>
      <c r="Z216" s="279">
        <f t="shared" si="95"/>
        <v>15</v>
      </c>
      <c r="AA216" s="279">
        <f t="shared" si="96"/>
        <v>13.5</v>
      </c>
      <c r="AB216" s="584">
        <f t="shared" si="97"/>
        <v>0</v>
      </c>
      <c r="AC216" s="277"/>
    </row>
    <row r="217" spans="5:29">
      <c r="E217" s="299" t="s">
        <v>460</v>
      </c>
      <c r="F217" s="144">
        <v>50</v>
      </c>
      <c r="G217" s="252" t="s">
        <v>177</v>
      </c>
      <c r="H217" s="241">
        <v>25</v>
      </c>
      <c r="I217" s="241">
        <v>0.4</v>
      </c>
      <c r="J217" s="241">
        <v>0.1</v>
      </c>
      <c r="K217" s="241">
        <v>6</v>
      </c>
      <c r="L217" s="241">
        <v>2.7</v>
      </c>
      <c r="M217" s="665">
        <v>0</v>
      </c>
      <c r="N217" s="241"/>
      <c r="O217" s="241"/>
      <c r="Q217" s="288">
        <v>46048</v>
      </c>
      <c r="R217" s="276">
        <v>0.95833333333333337</v>
      </c>
      <c r="S217" s="277" t="s">
        <v>289</v>
      </c>
      <c r="T217" s="277" t="s">
        <v>214</v>
      </c>
      <c r="U217" s="278">
        <v>1</v>
      </c>
      <c r="V217" s="361" t="str">
        <f t="shared" si="91"/>
        <v>bar</v>
      </c>
      <c r="W217" s="279">
        <f t="shared" si="92"/>
        <v>67</v>
      </c>
      <c r="X217" s="279">
        <f t="shared" si="93"/>
        <v>1</v>
      </c>
      <c r="Y217" s="279">
        <f t="shared" si="94"/>
        <v>3.5</v>
      </c>
      <c r="Z217" s="279">
        <f t="shared" si="95"/>
        <v>22</v>
      </c>
      <c r="AA217" s="279">
        <f t="shared" si="96"/>
        <v>0.3</v>
      </c>
      <c r="AB217" s="684">
        <f t="shared" si="97"/>
        <v>0</v>
      </c>
      <c r="AC217" s="277"/>
    </row>
    <row r="218" spans="5:29">
      <c r="E218" s="160" t="s">
        <v>269</v>
      </c>
      <c r="F218" s="311">
        <v>1</v>
      </c>
      <c r="G218" s="311" t="s">
        <v>195</v>
      </c>
      <c r="H218" s="311">
        <v>5</v>
      </c>
      <c r="I218" s="160">
        <v>0.3</v>
      </c>
      <c r="J218" s="311">
        <v>0</v>
      </c>
      <c r="K218" s="311">
        <v>0</v>
      </c>
      <c r="L218" s="311">
        <v>0</v>
      </c>
      <c r="M218" s="591">
        <v>0</v>
      </c>
      <c r="N218" s="311"/>
      <c r="O218" s="311"/>
      <c r="Q218" s="280"/>
      <c r="R218" s="281" t="s">
        <v>217</v>
      </c>
      <c r="S218" s="294"/>
      <c r="T218" s="282"/>
      <c r="U218" s="282"/>
      <c r="V218" s="364"/>
      <c r="W218" s="283">
        <f t="shared" ref="W218:AB218" si="98">SUM(W204:W217)</f>
        <v>2981.5499999999997</v>
      </c>
      <c r="X218" s="283">
        <f t="shared" si="98"/>
        <v>159.67999999999998</v>
      </c>
      <c r="Y218" s="283">
        <f t="shared" si="98"/>
        <v>106.756</v>
      </c>
      <c r="Z218" s="283">
        <f t="shared" si="98"/>
        <v>347.13</v>
      </c>
      <c r="AA218" s="683">
        <f t="shared" si="98"/>
        <v>29.89</v>
      </c>
      <c r="AB218" s="691">
        <f t="shared" si="98"/>
        <v>130</v>
      </c>
      <c r="AC218" s="281"/>
    </row>
    <row r="219" spans="5:29">
      <c r="E219" s="160" t="s">
        <v>307</v>
      </c>
      <c r="F219" s="160">
        <v>1</v>
      </c>
      <c r="G219" s="291" t="s">
        <v>276</v>
      </c>
      <c r="H219" s="160">
        <v>5</v>
      </c>
      <c r="I219" s="160">
        <v>0.1</v>
      </c>
      <c r="J219" s="160">
        <v>0</v>
      </c>
      <c r="K219" s="160">
        <v>1.3</v>
      </c>
      <c r="L219" s="160">
        <v>0.1</v>
      </c>
      <c r="M219" s="591">
        <v>0</v>
      </c>
      <c r="N219" s="160"/>
      <c r="O219" s="160"/>
      <c r="Q219" s="280"/>
      <c r="R219" s="281" t="s">
        <v>220</v>
      </c>
      <c r="S219" s="294"/>
      <c r="T219" s="282"/>
      <c r="U219" s="282"/>
      <c r="V219" s="364"/>
      <c r="W219" s="284">
        <f>$B$27</f>
        <v>2834.5625</v>
      </c>
      <c r="X219" s="284">
        <f>$B$29</f>
        <v>154</v>
      </c>
      <c r="Y219" s="284">
        <f>$B$30</f>
        <v>63.91</v>
      </c>
      <c r="Z219" s="284">
        <f>$B$31</f>
        <v>410.84312499999999</v>
      </c>
      <c r="AA219" s="690">
        <f>$B$32</f>
        <v>39.683875</v>
      </c>
      <c r="AB219" s="695">
        <f>$B$39</f>
        <v>500</v>
      </c>
      <c r="AC219" s="281"/>
    </row>
    <row r="220" spans="5:29">
      <c r="E220" s="160" t="s">
        <v>219</v>
      </c>
      <c r="F220" s="311">
        <v>1</v>
      </c>
      <c r="G220" s="291" t="s">
        <v>213</v>
      </c>
      <c r="H220" s="160">
        <v>0</v>
      </c>
      <c r="I220" s="160">
        <v>0</v>
      </c>
      <c r="J220" s="160">
        <v>0</v>
      </c>
      <c r="K220" s="160">
        <v>0</v>
      </c>
      <c r="L220" s="160">
        <v>0</v>
      </c>
      <c r="M220" s="591">
        <v>0</v>
      </c>
      <c r="N220" s="160"/>
      <c r="O220" s="160"/>
      <c r="Q220" s="280"/>
      <c r="R220" s="281" t="s">
        <v>222</v>
      </c>
      <c r="S220" s="294"/>
      <c r="T220" s="282"/>
      <c r="U220" s="282"/>
      <c r="V220" s="364"/>
      <c r="W220" s="284">
        <f t="shared" ref="W220:AB220" si="99">W218-W219</f>
        <v>146.98749999999973</v>
      </c>
      <c r="X220" s="284">
        <f t="shared" si="99"/>
        <v>5.6799999999999784</v>
      </c>
      <c r="Y220" s="284">
        <f t="shared" si="99"/>
        <v>42.846000000000004</v>
      </c>
      <c r="Z220" s="284">
        <f t="shared" si="99"/>
        <v>-63.713124999999991</v>
      </c>
      <c r="AA220" s="690">
        <f t="shared" si="99"/>
        <v>-9.7938749999999999</v>
      </c>
      <c r="AB220" s="689">
        <f t="shared" si="99"/>
        <v>-370</v>
      </c>
      <c r="AC220" s="281"/>
    </row>
    <row r="221" spans="5:29">
      <c r="E221" s="241" t="s">
        <v>786</v>
      </c>
      <c r="F221" s="144">
        <v>1</v>
      </c>
      <c r="G221" s="252" t="s">
        <v>213</v>
      </c>
      <c r="H221" s="241">
        <v>90</v>
      </c>
      <c r="I221" s="241">
        <v>0</v>
      </c>
      <c r="J221" s="241">
        <v>0</v>
      </c>
      <c r="K221" s="241">
        <v>22</v>
      </c>
      <c r="L221" s="241">
        <v>0</v>
      </c>
      <c r="M221" s="665">
        <v>0</v>
      </c>
      <c r="N221" s="241"/>
      <c r="O221" s="241"/>
      <c r="Q221" s="288">
        <v>46049</v>
      </c>
      <c r="R221" s="276">
        <v>0.33333333333333331</v>
      </c>
      <c r="S221" s="277" t="s">
        <v>178</v>
      </c>
      <c r="T221" s="277" t="s">
        <v>814</v>
      </c>
      <c r="U221" s="278">
        <v>1</v>
      </c>
      <c r="V221" s="361" t="str">
        <f t="shared" ref="V221:V231" si="100">IFERROR(VLOOKUP(T221, $E$5:$L$818, 3, FALSE), "")</f>
        <v>bottle</v>
      </c>
      <c r="W221" s="279">
        <f t="shared" ref="W221:W231" si="101">IFERROR(VLOOKUP(T221, $E$5:$L$818, 4, FALSE) * (U221 / VLOOKUP(T221, $E$5:$L$818, 2, FALSE)), "")</f>
        <v>260</v>
      </c>
      <c r="X221" s="279">
        <f t="shared" ref="X221:X231" si="102">IFERROR(VLOOKUP(T221, $E$5:$L$818, 5, FALSE) * (U221 / VLOOKUP(T221, $E$5:$L$818, 2, FALSE)), "")</f>
        <v>33</v>
      </c>
      <c r="Y221" s="279">
        <f t="shared" ref="Y221:Y231" si="103">IFERROR(VLOOKUP(T221, $E$5:$L$818, 6, FALSE) * (U221 / VLOOKUP(T221, $E$5:$L$818, 2, FALSE)), "")</f>
        <v>6</v>
      </c>
      <c r="Z221" s="279">
        <f t="shared" ref="Z221:Z231" si="104">IFERROR(VLOOKUP(T221, $E$5:$L$818, 7, FALSE) * (U221 / VLOOKUP(T221, $E$5:$L$818, 2, FALSE)), "")</f>
        <v>20</v>
      </c>
      <c r="AA221" s="279">
        <f t="shared" ref="AA221:AA231" si="105">IFERROR(VLOOKUP(T221, $E$5:$L$818, 8, FALSE) * (U221 / VLOOKUP(T221, $E$5:$L$818, 2, FALSE)), "")</f>
        <v>0</v>
      </c>
      <c r="AB221" s="674">
        <f t="shared" ref="AB221:AB231" si="106">IFERROR(VLOOKUP(T221, $E$5:$O$818, 9, FALSE) * (U221 / VLOOKUP(T221, $E$5:$O$818, 2, FALSE)), "")</f>
        <v>0</v>
      </c>
      <c r="AC221" s="277"/>
    </row>
    <row r="222" spans="5:29">
      <c r="E222" s="241" t="s">
        <v>423</v>
      </c>
      <c r="F222" s="171">
        <v>2</v>
      </c>
      <c r="G222" s="252" t="s">
        <v>281</v>
      </c>
      <c r="H222" s="170">
        <v>15</v>
      </c>
      <c r="I222" s="160">
        <v>0</v>
      </c>
      <c r="J222" s="170">
        <v>0</v>
      </c>
      <c r="K222" s="170">
        <v>3</v>
      </c>
      <c r="L222" s="170">
        <v>0</v>
      </c>
      <c r="M222" s="665">
        <v>0</v>
      </c>
      <c r="Q222" s="288">
        <v>46049</v>
      </c>
      <c r="R222" s="276">
        <v>0.33333333333333331</v>
      </c>
      <c r="S222" s="277" t="s">
        <v>178</v>
      </c>
      <c r="T222" s="277" t="s">
        <v>446</v>
      </c>
      <c r="U222" s="278">
        <v>1</v>
      </c>
      <c r="V222" s="361" t="str">
        <f t="shared" si="100"/>
        <v>plate</v>
      </c>
      <c r="W222" s="279">
        <f t="shared" si="101"/>
        <v>460</v>
      </c>
      <c r="X222" s="279">
        <f t="shared" si="102"/>
        <v>18</v>
      </c>
      <c r="Y222" s="279">
        <f t="shared" si="103"/>
        <v>26</v>
      </c>
      <c r="Z222" s="279">
        <f t="shared" si="104"/>
        <v>45</v>
      </c>
      <c r="AA222" s="279">
        <f t="shared" si="105"/>
        <v>1</v>
      </c>
      <c r="AB222" s="584">
        <f t="shared" si="106"/>
        <v>50</v>
      </c>
      <c r="AC222" s="277"/>
    </row>
    <row r="223" spans="5:29">
      <c r="E223" s="241" t="s">
        <v>464</v>
      </c>
      <c r="F223" s="144">
        <v>2</v>
      </c>
      <c r="G223" s="252" t="s">
        <v>821</v>
      </c>
      <c r="H223" s="241">
        <v>20</v>
      </c>
      <c r="I223" s="241">
        <v>0</v>
      </c>
      <c r="J223" s="241">
        <v>0</v>
      </c>
      <c r="K223" s="241">
        <v>6</v>
      </c>
      <c r="L223" s="241">
        <v>0</v>
      </c>
      <c r="M223" s="665">
        <v>0</v>
      </c>
      <c r="N223" s="241"/>
      <c r="O223" s="241"/>
      <c r="Q223" s="288">
        <v>46049</v>
      </c>
      <c r="R223" s="276">
        <v>0.5</v>
      </c>
      <c r="S223" s="277" t="s">
        <v>185</v>
      </c>
      <c r="T223" s="277" t="s">
        <v>176</v>
      </c>
      <c r="U223" s="278">
        <v>292</v>
      </c>
      <c r="V223" s="361" t="str">
        <f t="shared" si="100"/>
        <v>g</v>
      </c>
      <c r="W223" s="279">
        <f t="shared" si="101"/>
        <v>481.8</v>
      </c>
      <c r="X223" s="279">
        <f t="shared" si="102"/>
        <v>73</v>
      </c>
      <c r="Y223" s="279">
        <f t="shared" si="103"/>
        <v>10.512</v>
      </c>
      <c r="Z223" s="279">
        <f t="shared" si="104"/>
        <v>0</v>
      </c>
      <c r="AA223" s="279">
        <f t="shared" si="105"/>
        <v>0</v>
      </c>
      <c r="AB223" s="584">
        <f t="shared" si="106"/>
        <v>0</v>
      </c>
      <c r="AC223" s="277"/>
    </row>
    <row r="224" spans="5:29">
      <c r="E224" s="241" t="s">
        <v>369</v>
      </c>
      <c r="F224" s="144">
        <v>1</v>
      </c>
      <c r="G224" s="252" t="s">
        <v>821</v>
      </c>
      <c r="H224" s="241">
        <v>10</v>
      </c>
      <c r="I224" s="160">
        <v>0</v>
      </c>
      <c r="J224" s="241">
        <v>0</v>
      </c>
      <c r="K224" s="241">
        <v>3</v>
      </c>
      <c r="L224" s="241">
        <v>0</v>
      </c>
      <c r="M224" s="665">
        <v>0</v>
      </c>
      <c r="N224" s="241"/>
      <c r="O224" s="241"/>
      <c r="Q224" s="288">
        <v>46049</v>
      </c>
      <c r="R224" s="276">
        <v>0.5</v>
      </c>
      <c r="S224" s="277" t="s">
        <v>185</v>
      </c>
      <c r="T224" s="277" t="s">
        <v>189</v>
      </c>
      <c r="U224" s="278">
        <v>230</v>
      </c>
      <c r="V224" s="361" t="str">
        <f t="shared" si="100"/>
        <v>g</v>
      </c>
      <c r="W224" s="279">
        <f t="shared" si="101"/>
        <v>80.5</v>
      </c>
      <c r="X224" s="279">
        <f t="shared" si="102"/>
        <v>5.75</v>
      </c>
      <c r="Y224" s="279">
        <f t="shared" si="103"/>
        <v>0.91999999999999993</v>
      </c>
      <c r="Z224" s="279">
        <f t="shared" si="104"/>
        <v>16.099999999999998</v>
      </c>
      <c r="AA224" s="279">
        <f t="shared" si="105"/>
        <v>5.9799999999999995</v>
      </c>
      <c r="AB224" s="584">
        <f t="shared" si="106"/>
        <v>0</v>
      </c>
      <c r="AC224" s="277"/>
    </row>
    <row r="225" spans="5:29">
      <c r="E225" s="241" t="s">
        <v>773</v>
      </c>
      <c r="F225" s="144">
        <v>1</v>
      </c>
      <c r="G225" s="252" t="s">
        <v>195</v>
      </c>
      <c r="H225" s="241">
        <v>120</v>
      </c>
      <c r="I225" s="241">
        <v>0</v>
      </c>
      <c r="J225" s="241">
        <v>0</v>
      </c>
      <c r="K225" s="241">
        <v>30</v>
      </c>
      <c r="L225" s="241">
        <v>0</v>
      </c>
      <c r="M225" s="665">
        <v>0</v>
      </c>
      <c r="N225" s="241"/>
      <c r="O225" s="241"/>
      <c r="Q225" s="288">
        <v>46049</v>
      </c>
      <c r="R225" s="276">
        <v>0.54166666666666696</v>
      </c>
      <c r="S225" s="277" t="s">
        <v>185</v>
      </c>
      <c r="T225" s="277" t="s">
        <v>374</v>
      </c>
      <c r="U225" s="278">
        <v>2</v>
      </c>
      <c r="V225" s="361" t="str">
        <f t="shared" si="100"/>
        <v>egg</v>
      </c>
      <c r="W225" s="279">
        <f t="shared" si="101"/>
        <v>160</v>
      </c>
      <c r="X225" s="279">
        <f t="shared" si="102"/>
        <v>14</v>
      </c>
      <c r="Y225" s="279">
        <f t="shared" si="103"/>
        <v>12</v>
      </c>
      <c r="Z225" s="279">
        <f t="shared" si="104"/>
        <v>0</v>
      </c>
      <c r="AA225" s="279">
        <f t="shared" si="105"/>
        <v>0</v>
      </c>
      <c r="AB225" s="584">
        <f t="shared" si="106"/>
        <v>80</v>
      </c>
      <c r="AC225" s="277"/>
    </row>
    <row r="226" spans="5:29">
      <c r="E226" s="299" t="s">
        <v>440</v>
      </c>
      <c r="F226" s="171">
        <v>1</v>
      </c>
      <c r="G226" s="172" t="s">
        <v>213</v>
      </c>
      <c r="H226" s="170">
        <v>45</v>
      </c>
      <c r="I226" s="170">
        <v>0</v>
      </c>
      <c r="J226" s="170">
        <v>0</v>
      </c>
      <c r="K226" s="170">
        <v>10</v>
      </c>
      <c r="L226" s="170">
        <v>0</v>
      </c>
      <c r="M226" s="665">
        <v>0</v>
      </c>
      <c r="Q226" s="288">
        <v>46049</v>
      </c>
      <c r="R226" s="276">
        <v>0.54166666666666663</v>
      </c>
      <c r="S226" s="277" t="s">
        <v>289</v>
      </c>
      <c r="T226" s="277" t="s">
        <v>190</v>
      </c>
      <c r="U226" s="278">
        <v>1</v>
      </c>
      <c r="V226" s="361" t="str">
        <f t="shared" si="100"/>
        <v>medium</v>
      </c>
      <c r="W226" s="279">
        <f t="shared" si="101"/>
        <v>62</v>
      </c>
      <c r="X226" s="279">
        <f t="shared" si="102"/>
        <v>1.2</v>
      </c>
      <c r="Y226" s="279">
        <f t="shared" si="103"/>
        <v>0.2</v>
      </c>
      <c r="Z226" s="279">
        <f t="shared" si="104"/>
        <v>15.4</v>
      </c>
      <c r="AA226" s="279">
        <f t="shared" si="105"/>
        <v>3.1</v>
      </c>
      <c r="AB226" s="584">
        <f t="shared" si="106"/>
        <v>0</v>
      </c>
      <c r="AC226" s="277"/>
    </row>
    <row r="227" spans="5:29">
      <c r="E227" s="160" t="s">
        <v>212</v>
      </c>
      <c r="F227" s="311">
        <v>1</v>
      </c>
      <c r="G227" s="291" t="s">
        <v>213</v>
      </c>
      <c r="H227" s="160">
        <v>70</v>
      </c>
      <c r="I227" s="160">
        <v>0</v>
      </c>
      <c r="J227" s="160">
        <v>0</v>
      </c>
      <c r="K227" s="160">
        <v>17</v>
      </c>
      <c r="L227" s="160">
        <v>1</v>
      </c>
      <c r="M227" s="591">
        <v>0</v>
      </c>
      <c r="N227" s="160"/>
      <c r="O227" s="160"/>
      <c r="Q227" s="288">
        <v>46049</v>
      </c>
      <c r="R227" s="276">
        <v>0.58333333333333337</v>
      </c>
      <c r="S227" s="277" t="s">
        <v>289</v>
      </c>
      <c r="T227" s="277" t="s">
        <v>431</v>
      </c>
      <c r="U227" s="278">
        <v>1</v>
      </c>
      <c r="V227" s="361" t="str">
        <f t="shared" si="100"/>
        <v>piece</v>
      </c>
      <c r="W227" s="279">
        <f t="shared" si="101"/>
        <v>139</v>
      </c>
      <c r="X227" s="279">
        <f t="shared" si="102"/>
        <v>1.1000000000000001</v>
      </c>
      <c r="Y227" s="279">
        <f t="shared" si="103"/>
        <v>7.3</v>
      </c>
      <c r="Z227" s="279">
        <f t="shared" si="104"/>
        <v>17</v>
      </c>
      <c r="AA227" s="279">
        <f t="shared" si="105"/>
        <v>0.5</v>
      </c>
      <c r="AB227" s="584">
        <f t="shared" si="106"/>
        <v>0</v>
      </c>
      <c r="AC227" s="277"/>
    </row>
    <row r="228" spans="5:29">
      <c r="E228" s="308" t="s">
        <v>318</v>
      </c>
      <c r="F228" s="308">
        <v>1</v>
      </c>
      <c r="G228" s="313" t="s">
        <v>195</v>
      </c>
      <c r="H228" s="308">
        <v>380</v>
      </c>
      <c r="I228" s="160">
        <v>0</v>
      </c>
      <c r="J228" s="308">
        <v>0</v>
      </c>
      <c r="K228" s="308">
        <v>100</v>
      </c>
      <c r="L228" s="308">
        <v>0</v>
      </c>
      <c r="M228" s="668">
        <v>0</v>
      </c>
      <c r="N228" s="308"/>
      <c r="O228" s="308"/>
      <c r="Q228" s="288">
        <v>46049</v>
      </c>
      <c r="R228" s="276">
        <v>0.79166666666666663</v>
      </c>
      <c r="S228" s="277" t="s">
        <v>289</v>
      </c>
      <c r="T228" s="277" t="s">
        <v>452</v>
      </c>
      <c r="U228" s="278">
        <v>1</v>
      </c>
      <c r="V228" s="361" t="str">
        <f t="shared" si="100"/>
        <v>bag</v>
      </c>
      <c r="W228" s="279">
        <f t="shared" si="101"/>
        <v>280</v>
      </c>
      <c r="X228" s="279">
        <f t="shared" si="102"/>
        <v>8</v>
      </c>
      <c r="Y228" s="279">
        <f t="shared" si="103"/>
        <v>0</v>
      </c>
      <c r="Z228" s="279">
        <f t="shared" si="104"/>
        <v>36</v>
      </c>
      <c r="AA228" s="279">
        <f t="shared" si="105"/>
        <v>0</v>
      </c>
      <c r="AB228" s="584">
        <f t="shared" si="106"/>
        <v>0</v>
      </c>
      <c r="AC228" s="277"/>
    </row>
    <row r="229" spans="5:29">
      <c r="E229" s="241" t="s">
        <v>475</v>
      </c>
      <c r="F229" s="144">
        <v>1</v>
      </c>
      <c r="G229" s="252" t="s">
        <v>235</v>
      </c>
      <c r="H229" s="241">
        <v>5</v>
      </c>
      <c r="I229" s="241">
        <v>0</v>
      </c>
      <c r="J229" s="241">
        <v>0</v>
      </c>
      <c r="K229" s="241">
        <v>0</v>
      </c>
      <c r="L229" s="241">
        <v>0</v>
      </c>
      <c r="M229" s="665">
        <v>0</v>
      </c>
      <c r="N229" s="241"/>
      <c r="O229" s="241"/>
      <c r="Q229" s="288">
        <v>46049</v>
      </c>
      <c r="R229" s="276">
        <v>0.83333333333333337</v>
      </c>
      <c r="S229" s="277" t="s">
        <v>199</v>
      </c>
      <c r="T229" s="277" t="s">
        <v>181</v>
      </c>
      <c r="U229" s="278">
        <v>4</v>
      </c>
      <c r="V229" s="361" t="str">
        <f t="shared" si="100"/>
        <v>slice</v>
      </c>
      <c r="W229" s="279">
        <f t="shared" si="101"/>
        <v>280</v>
      </c>
      <c r="X229" s="279">
        <f t="shared" si="102"/>
        <v>10</v>
      </c>
      <c r="Y229" s="279">
        <f t="shared" si="103"/>
        <v>5</v>
      </c>
      <c r="Z229" s="279">
        <f t="shared" si="104"/>
        <v>48</v>
      </c>
      <c r="AA229" s="279">
        <f t="shared" si="105"/>
        <v>4</v>
      </c>
      <c r="AB229" s="584">
        <f t="shared" si="106"/>
        <v>0</v>
      </c>
      <c r="AC229" s="277"/>
    </row>
    <row r="230" spans="5:29">
      <c r="E230" s="160" t="s">
        <v>209</v>
      </c>
      <c r="F230" s="311">
        <v>1</v>
      </c>
      <c r="G230" s="291" t="s">
        <v>203</v>
      </c>
      <c r="H230" s="170">
        <v>20</v>
      </c>
      <c r="I230" s="160">
        <v>0</v>
      </c>
      <c r="J230" s="170">
        <v>0</v>
      </c>
      <c r="K230" s="170">
        <v>5</v>
      </c>
      <c r="L230" s="170">
        <v>4.5</v>
      </c>
      <c r="M230" s="665">
        <v>0</v>
      </c>
      <c r="Q230" s="288">
        <v>46049</v>
      </c>
      <c r="R230" s="276">
        <v>0.875</v>
      </c>
      <c r="S230" s="277" t="s">
        <v>199</v>
      </c>
      <c r="T230" s="277" t="s">
        <v>753</v>
      </c>
      <c r="U230" s="278">
        <v>283</v>
      </c>
      <c r="V230" s="361" t="str">
        <f t="shared" si="100"/>
        <v>g</v>
      </c>
      <c r="W230" s="279">
        <f t="shared" si="101"/>
        <v>367.90000000000003</v>
      </c>
      <c r="X230" s="279">
        <f t="shared" si="102"/>
        <v>2.83</v>
      </c>
      <c r="Y230" s="279">
        <f t="shared" si="103"/>
        <v>0</v>
      </c>
      <c r="Z230" s="279">
        <f t="shared" si="104"/>
        <v>87.73</v>
      </c>
      <c r="AA230" s="279">
        <f t="shared" si="105"/>
        <v>8.49</v>
      </c>
      <c r="AB230" s="584">
        <f t="shared" si="106"/>
        <v>0</v>
      </c>
      <c r="AC230" s="277"/>
    </row>
    <row r="231" spans="5:29">
      <c r="E231" s="241" t="s">
        <v>757</v>
      </c>
      <c r="F231" s="144">
        <v>1</v>
      </c>
      <c r="G231" s="252" t="s">
        <v>235</v>
      </c>
      <c r="H231" s="241">
        <v>0</v>
      </c>
      <c r="I231" s="241">
        <v>0</v>
      </c>
      <c r="J231" s="241">
        <v>0</v>
      </c>
      <c r="K231" s="241">
        <v>1</v>
      </c>
      <c r="L231" s="241">
        <v>0</v>
      </c>
      <c r="M231" s="665">
        <v>0</v>
      </c>
      <c r="N231" s="241"/>
      <c r="O231" s="241"/>
      <c r="Q231" s="288">
        <v>46049</v>
      </c>
      <c r="R231" s="276">
        <v>0.875</v>
      </c>
      <c r="S231" s="277" t="s">
        <v>199</v>
      </c>
      <c r="T231" s="277" t="s">
        <v>374</v>
      </c>
      <c r="U231" s="278">
        <v>2</v>
      </c>
      <c r="V231" s="361" t="str">
        <f t="shared" si="100"/>
        <v>egg</v>
      </c>
      <c r="W231" s="279">
        <f t="shared" si="101"/>
        <v>160</v>
      </c>
      <c r="X231" s="279">
        <f t="shared" si="102"/>
        <v>14</v>
      </c>
      <c r="Y231" s="279">
        <f t="shared" si="103"/>
        <v>12</v>
      </c>
      <c r="Z231" s="279">
        <f t="shared" si="104"/>
        <v>0</v>
      </c>
      <c r="AA231" s="279">
        <f t="shared" si="105"/>
        <v>0</v>
      </c>
      <c r="AB231" s="684">
        <f t="shared" si="106"/>
        <v>80</v>
      </c>
      <c r="AC231" s="277"/>
    </row>
    <row r="232" spans="5:29">
      <c r="E232" s="241" t="s">
        <v>778</v>
      </c>
      <c r="F232" s="144">
        <v>1</v>
      </c>
      <c r="G232" s="252" t="s">
        <v>235</v>
      </c>
      <c r="H232" s="241">
        <v>0</v>
      </c>
      <c r="I232" s="241">
        <v>0</v>
      </c>
      <c r="J232" s="241">
        <v>0</v>
      </c>
      <c r="K232" s="241">
        <v>1</v>
      </c>
      <c r="L232" s="241">
        <v>0</v>
      </c>
      <c r="M232" s="665">
        <v>0</v>
      </c>
      <c r="N232" s="241"/>
      <c r="O232" s="241"/>
      <c r="Q232" s="280"/>
      <c r="R232" s="281" t="s">
        <v>217</v>
      </c>
      <c r="S232" s="294"/>
      <c r="T232" s="282"/>
      <c r="U232" s="282"/>
      <c r="V232" s="364"/>
      <c r="W232" s="283">
        <f t="shared" ref="W232:AB232" si="107">SUM(W221:W231)</f>
        <v>2731.2000000000003</v>
      </c>
      <c r="X232" s="283">
        <f t="shared" si="107"/>
        <v>180.88</v>
      </c>
      <c r="Y232" s="283">
        <f t="shared" si="107"/>
        <v>79.932000000000002</v>
      </c>
      <c r="Z232" s="283">
        <f t="shared" si="107"/>
        <v>285.23</v>
      </c>
      <c r="AA232" s="683">
        <f t="shared" si="107"/>
        <v>23.07</v>
      </c>
      <c r="AB232" s="691">
        <f t="shared" si="107"/>
        <v>210</v>
      </c>
      <c r="AC232" s="281"/>
    </row>
    <row r="233" spans="5:29">
      <c r="E233" s="241" t="s">
        <v>787</v>
      </c>
      <c r="F233" s="144">
        <v>1</v>
      </c>
      <c r="G233" s="252" t="s">
        <v>235</v>
      </c>
      <c r="H233" s="241">
        <v>0</v>
      </c>
      <c r="I233" s="241">
        <v>0</v>
      </c>
      <c r="J233" s="241">
        <v>0</v>
      </c>
      <c r="K233" s="241">
        <v>1</v>
      </c>
      <c r="L233" s="241">
        <v>0</v>
      </c>
      <c r="M233" s="665">
        <v>0</v>
      </c>
      <c r="N233" s="241"/>
      <c r="O233" s="241"/>
      <c r="Q233" s="280"/>
      <c r="R233" s="281" t="s">
        <v>220</v>
      </c>
      <c r="S233" s="294"/>
      <c r="T233" s="282"/>
      <c r="U233" s="282"/>
      <c r="V233" s="364"/>
      <c r="W233" s="284">
        <f>$B$27</f>
        <v>2834.5625</v>
      </c>
      <c r="X233" s="284">
        <f>$B$29</f>
        <v>154</v>
      </c>
      <c r="Y233" s="284">
        <f>$B$30</f>
        <v>63.91</v>
      </c>
      <c r="Z233" s="284">
        <f>$B$31</f>
        <v>410.84312499999999</v>
      </c>
      <c r="AA233" s="690">
        <f>$B$32</f>
        <v>39.683875</v>
      </c>
      <c r="AB233" s="695">
        <f>$B$39</f>
        <v>500</v>
      </c>
      <c r="AC233" s="281"/>
    </row>
    <row r="234" spans="5:29">
      <c r="E234" s="241" t="s">
        <v>783</v>
      </c>
      <c r="F234" s="144">
        <v>1</v>
      </c>
      <c r="G234" s="252" t="s">
        <v>276</v>
      </c>
      <c r="H234" s="241">
        <v>35</v>
      </c>
      <c r="I234" s="241">
        <v>0</v>
      </c>
      <c r="J234" s="241">
        <v>2</v>
      </c>
      <c r="K234" s="241">
        <v>4</v>
      </c>
      <c r="L234" s="241">
        <v>0</v>
      </c>
      <c r="M234" s="665">
        <v>0</v>
      </c>
      <c r="N234" s="241"/>
      <c r="O234" s="241"/>
      <c r="Q234" s="280"/>
      <c r="R234" s="281" t="s">
        <v>222</v>
      </c>
      <c r="S234" s="294"/>
      <c r="T234" s="282"/>
      <c r="U234" s="282"/>
      <c r="V234" s="364"/>
      <c r="W234" s="284">
        <f t="shared" ref="W234:AB234" si="108">W232-W233</f>
        <v>-103.36249999999973</v>
      </c>
      <c r="X234" s="284">
        <f t="shared" si="108"/>
        <v>26.879999999999995</v>
      </c>
      <c r="Y234" s="284">
        <f t="shared" si="108"/>
        <v>16.022000000000006</v>
      </c>
      <c r="Z234" s="284">
        <f t="shared" si="108"/>
        <v>-125.61312499999997</v>
      </c>
      <c r="AA234" s="690">
        <f t="shared" si="108"/>
        <v>-16.613875</v>
      </c>
      <c r="AB234" s="689">
        <f t="shared" si="108"/>
        <v>-290</v>
      </c>
      <c r="AC234" s="281"/>
    </row>
    <row r="235" spans="5:29">
      <c r="E235" s="325" t="s">
        <v>277</v>
      </c>
      <c r="F235" s="148">
        <v>1</v>
      </c>
      <c r="G235" s="327" t="s">
        <v>278</v>
      </c>
      <c r="H235" s="325">
        <v>60</v>
      </c>
      <c r="I235" s="160">
        <v>0</v>
      </c>
      <c r="J235" s="325">
        <v>2</v>
      </c>
      <c r="K235" s="325">
        <v>8</v>
      </c>
      <c r="L235" s="325">
        <v>0</v>
      </c>
      <c r="M235" s="670">
        <v>0</v>
      </c>
      <c r="N235" s="325"/>
      <c r="O235" s="325"/>
      <c r="Q235" s="288">
        <v>46050</v>
      </c>
      <c r="R235" s="276">
        <v>0.33333333333333331</v>
      </c>
      <c r="S235" s="277" t="s">
        <v>178</v>
      </c>
      <c r="T235" s="277" t="s">
        <v>814</v>
      </c>
      <c r="U235" s="278">
        <v>1</v>
      </c>
      <c r="V235" s="361" t="str">
        <f t="shared" ref="V235:V251" si="109">IFERROR(VLOOKUP(T235, $E$5:$L$818, 3, FALSE), "")</f>
        <v>bottle</v>
      </c>
      <c r="W235" s="279">
        <f t="shared" ref="W235:W251" si="110">IFERROR(VLOOKUP(T235, $E$5:$L$818, 4, FALSE) * (U235 / VLOOKUP(T235, $E$5:$L$818, 2, FALSE)), "")</f>
        <v>260</v>
      </c>
      <c r="X235" s="279">
        <f t="shared" ref="X235:X251" si="111">IFERROR(VLOOKUP(T235, $E$5:$L$818, 5, FALSE) * (U235 / VLOOKUP(T235, $E$5:$L$818, 2, FALSE)), "")</f>
        <v>33</v>
      </c>
      <c r="Y235" s="279">
        <f t="shared" ref="Y235:Y251" si="112">IFERROR(VLOOKUP(T235, $E$5:$L$818, 6, FALSE) * (U235 / VLOOKUP(T235, $E$5:$L$818, 2, FALSE)), "")</f>
        <v>6</v>
      </c>
      <c r="Z235" s="279">
        <f t="shared" ref="Z235:Z251" si="113">IFERROR(VLOOKUP(T235, $E$5:$L$818, 7, FALSE) * (U235 / VLOOKUP(T235, $E$5:$L$818, 2, FALSE)), "")</f>
        <v>20</v>
      </c>
      <c r="AA235" s="279">
        <f t="shared" ref="AA235:AA251" si="114">IFERROR(VLOOKUP(T235, $E$5:$L$818, 8, FALSE) * (U235 / VLOOKUP(T235, $E$5:$L$818, 2, FALSE)), "")</f>
        <v>0</v>
      </c>
      <c r="AB235" s="674">
        <f t="shared" ref="AB235:AB251" si="115">IFERROR(VLOOKUP(T235, $E$5:$O$818, 9, FALSE) * (U235 / VLOOKUP(T235, $E$5:$O$818, 2, FALSE)), "")</f>
        <v>0</v>
      </c>
      <c r="AC235" s="277"/>
    </row>
    <row r="236" spans="5:29">
      <c r="E236" s="241" t="s">
        <v>825</v>
      </c>
      <c r="F236" s="144">
        <v>1</v>
      </c>
      <c r="G236" s="252" t="s">
        <v>826</v>
      </c>
      <c r="H236" s="241">
        <v>420</v>
      </c>
      <c r="I236" s="241">
        <v>12</v>
      </c>
      <c r="J236" s="241">
        <v>12</v>
      </c>
      <c r="K236" s="241">
        <v>65</v>
      </c>
      <c r="L236" s="241">
        <v>3</v>
      </c>
      <c r="M236" s="665">
        <v>40</v>
      </c>
      <c r="N236" s="241"/>
      <c r="O236" s="241"/>
      <c r="Q236" s="288">
        <v>46050</v>
      </c>
      <c r="R236" s="276">
        <v>0.33333333333333331</v>
      </c>
      <c r="S236" s="277" t="s">
        <v>178</v>
      </c>
      <c r="T236" s="277" t="s">
        <v>418</v>
      </c>
      <c r="U236" s="278">
        <v>1</v>
      </c>
      <c r="V236" s="361" t="str">
        <f t="shared" si="109"/>
        <v>potato</v>
      </c>
      <c r="W236" s="279">
        <f t="shared" si="110"/>
        <v>150</v>
      </c>
      <c r="X236" s="279">
        <f t="shared" si="111"/>
        <v>2</v>
      </c>
      <c r="Y236" s="279">
        <f t="shared" si="112"/>
        <v>0</v>
      </c>
      <c r="Z236" s="279">
        <f t="shared" si="113"/>
        <v>35</v>
      </c>
      <c r="AA236" s="279">
        <f t="shared" si="114"/>
        <v>5</v>
      </c>
      <c r="AB236" s="584">
        <f t="shared" si="115"/>
        <v>0</v>
      </c>
      <c r="AC236" s="277"/>
    </row>
    <row r="237" spans="5:29">
      <c r="E237" s="241" t="s">
        <v>829</v>
      </c>
      <c r="F237" s="144">
        <v>1</v>
      </c>
      <c r="G237" s="252" t="s">
        <v>283</v>
      </c>
      <c r="H237" s="241">
        <v>380</v>
      </c>
      <c r="I237" s="241">
        <v>20</v>
      </c>
      <c r="J237" s="241">
        <v>10</v>
      </c>
      <c r="K237" s="241">
        <v>52</v>
      </c>
      <c r="L237" s="241">
        <v>3</v>
      </c>
      <c r="M237" s="665">
        <v>0</v>
      </c>
      <c r="N237" s="241"/>
      <c r="O237" s="241"/>
      <c r="Q237" s="288">
        <v>46050</v>
      </c>
      <c r="R237" s="276">
        <v>0.375</v>
      </c>
      <c r="S237" s="277" t="s">
        <v>178</v>
      </c>
      <c r="T237" s="277" t="s">
        <v>181</v>
      </c>
      <c r="U237" s="278">
        <v>2</v>
      </c>
      <c r="V237" s="361" t="str">
        <f t="shared" si="109"/>
        <v>slice</v>
      </c>
      <c r="W237" s="279">
        <f t="shared" si="110"/>
        <v>140</v>
      </c>
      <c r="X237" s="279">
        <f t="shared" si="111"/>
        <v>5</v>
      </c>
      <c r="Y237" s="279">
        <f t="shared" si="112"/>
        <v>2.5</v>
      </c>
      <c r="Z237" s="279">
        <f t="shared" si="113"/>
        <v>24</v>
      </c>
      <c r="AA237" s="279">
        <f t="shared" si="114"/>
        <v>2</v>
      </c>
      <c r="AB237" s="584">
        <f t="shared" si="115"/>
        <v>0</v>
      </c>
      <c r="AC237" s="277"/>
    </row>
    <row r="238" spans="5:29">
      <c r="E238" s="241" t="s">
        <v>827</v>
      </c>
      <c r="F238" s="144">
        <v>1</v>
      </c>
      <c r="G238" s="252" t="s">
        <v>298</v>
      </c>
      <c r="H238" s="241">
        <v>20</v>
      </c>
      <c r="I238" s="241">
        <v>0</v>
      </c>
      <c r="J238" s="241">
        <v>0.5</v>
      </c>
      <c r="K238" s="241">
        <v>3</v>
      </c>
      <c r="L238" s="241">
        <v>0</v>
      </c>
      <c r="M238" s="665">
        <v>0</v>
      </c>
      <c r="N238" s="241"/>
      <c r="O238" s="241"/>
      <c r="Q238" s="288">
        <v>46050</v>
      </c>
      <c r="R238" s="276">
        <v>0.41666666666666669</v>
      </c>
      <c r="S238" s="277" t="s">
        <v>289</v>
      </c>
      <c r="T238" s="277" t="s">
        <v>815</v>
      </c>
      <c r="U238" s="278">
        <v>0.67</v>
      </c>
      <c r="V238" s="361" t="str">
        <f t="shared" si="109"/>
        <v>piece</v>
      </c>
      <c r="W238" s="279">
        <f t="shared" si="110"/>
        <v>80.400000000000006</v>
      </c>
      <c r="X238" s="279">
        <f t="shared" si="111"/>
        <v>1.34</v>
      </c>
      <c r="Y238" s="279">
        <f t="shared" si="112"/>
        <v>4.0200000000000005</v>
      </c>
      <c r="Z238" s="279">
        <f t="shared" si="113"/>
        <v>9.3800000000000008</v>
      </c>
      <c r="AA238" s="279">
        <f t="shared" si="114"/>
        <v>0.33500000000000002</v>
      </c>
      <c r="AB238" s="584">
        <f t="shared" si="115"/>
        <v>0</v>
      </c>
      <c r="AC238" s="277"/>
    </row>
    <row r="239" spans="5:29">
      <c r="E239" s="241" t="s">
        <v>828</v>
      </c>
      <c r="F239" s="144">
        <v>1</v>
      </c>
      <c r="G239" s="252" t="s">
        <v>298</v>
      </c>
      <c r="H239" s="241">
        <v>20</v>
      </c>
      <c r="I239" s="241">
        <v>0</v>
      </c>
      <c r="J239" s="241">
        <v>0.5</v>
      </c>
      <c r="K239" s="241">
        <v>3</v>
      </c>
      <c r="L239" s="241">
        <v>0</v>
      </c>
      <c r="M239" s="665">
        <v>0</v>
      </c>
      <c r="N239" s="241"/>
      <c r="O239" s="241"/>
      <c r="Q239" s="288">
        <v>46050</v>
      </c>
      <c r="R239" s="276">
        <v>0.5</v>
      </c>
      <c r="S239" s="277" t="s">
        <v>289</v>
      </c>
      <c r="T239" s="277" t="s">
        <v>277</v>
      </c>
      <c r="U239" s="278">
        <v>1</v>
      </c>
      <c r="V239" s="361" t="str">
        <f t="shared" si="109"/>
        <v>small bag</v>
      </c>
      <c r="W239" s="279">
        <f t="shared" si="110"/>
        <v>60</v>
      </c>
      <c r="X239" s="279">
        <f t="shared" si="111"/>
        <v>0</v>
      </c>
      <c r="Y239" s="279">
        <f t="shared" si="112"/>
        <v>2</v>
      </c>
      <c r="Z239" s="279">
        <f t="shared" si="113"/>
        <v>8</v>
      </c>
      <c r="AA239" s="279">
        <f t="shared" si="114"/>
        <v>0</v>
      </c>
      <c r="AB239" s="584">
        <f t="shared" si="115"/>
        <v>0</v>
      </c>
      <c r="AC239" s="277"/>
    </row>
    <row r="240" spans="5:29">
      <c r="E240" s="241" t="s">
        <v>830</v>
      </c>
      <c r="F240" s="144">
        <v>2</v>
      </c>
      <c r="G240" s="252" t="s">
        <v>281</v>
      </c>
      <c r="H240" s="241">
        <v>98</v>
      </c>
      <c r="I240" s="241">
        <v>0</v>
      </c>
      <c r="J240" s="241">
        <v>1</v>
      </c>
      <c r="K240" s="241">
        <v>22</v>
      </c>
      <c r="L240" s="241">
        <v>1</v>
      </c>
      <c r="M240" s="665">
        <v>0</v>
      </c>
      <c r="N240" s="241"/>
      <c r="O240" s="241"/>
      <c r="Q240" s="288">
        <v>46050</v>
      </c>
      <c r="R240" s="276">
        <v>0.5</v>
      </c>
      <c r="S240" s="277" t="s">
        <v>289</v>
      </c>
      <c r="T240" s="277" t="s">
        <v>277</v>
      </c>
      <c r="U240" s="278">
        <v>1</v>
      </c>
      <c r="V240" s="361" t="str">
        <f t="shared" si="109"/>
        <v>small bag</v>
      </c>
      <c r="W240" s="279">
        <f t="shared" si="110"/>
        <v>60</v>
      </c>
      <c r="X240" s="279">
        <f t="shared" si="111"/>
        <v>0</v>
      </c>
      <c r="Y240" s="279">
        <f t="shared" si="112"/>
        <v>2</v>
      </c>
      <c r="Z240" s="279">
        <f t="shared" si="113"/>
        <v>8</v>
      </c>
      <c r="AA240" s="279">
        <f t="shared" si="114"/>
        <v>0</v>
      </c>
      <c r="AB240" s="584">
        <f t="shared" si="115"/>
        <v>0</v>
      </c>
      <c r="AC240" s="277"/>
    </row>
    <row r="241" spans="5:29">
      <c r="E241" s="241" t="s">
        <v>831</v>
      </c>
      <c r="F241" s="144">
        <v>150</v>
      </c>
      <c r="G241" s="252" t="s">
        <v>177</v>
      </c>
      <c r="H241" s="241">
        <v>280</v>
      </c>
      <c r="I241" s="241">
        <v>5</v>
      </c>
      <c r="J241" s="241">
        <v>3.5</v>
      </c>
      <c r="K241" s="241">
        <v>57</v>
      </c>
      <c r="L241" s="241">
        <v>0</v>
      </c>
      <c r="M241" s="665">
        <v>0</v>
      </c>
      <c r="N241" s="241"/>
      <c r="O241" s="241"/>
      <c r="Q241" s="288">
        <v>46050</v>
      </c>
      <c r="R241" s="276">
        <v>0.5</v>
      </c>
      <c r="S241" s="277" t="s">
        <v>185</v>
      </c>
      <c r="T241" s="277" t="s">
        <v>176</v>
      </c>
      <c r="U241" s="278">
        <v>340</v>
      </c>
      <c r="V241" s="361" t="str">
        <f t="shared" si="109"/>
        <v>g</v>
      </c>
      <c r="W241" s="279">
        <f t="shared" si="110"/>
        <v>561</v>
      </c>
      <c r="X241" s="279">
        <f t="shared" si="111"/>
        <v>85</v>
      </c>
      <c r="Y241" s="279">
        <f t="shared" si="112"/>
        <v>12.24</v>
      </c>
      <c r="Z241" s="279">
        <f t="shared" si="113"/>
        <v>0</v>
      </c>
      <c r="AA241" s="279">
        <f t="shared" si="114"/>
        <v>0</v>
      </c>
      <c r="AB241" s="584">
        <f t="shared" si="115"/>
        <v>0</v>
      </c>
      <c r="AC241" s="277"/>
    </row>
    <row r="242" spans="5:29">
      <c r="E242" s="241" t="s">
        <v>832</v>
      </c>
      <c r="F242" s="144">
        <v>150</v>
      </c>
      <c r="G242" s="252" t="s">
        <v>177</v>
      </c>
      <c r="H242" s="241">
        <v>280</v>
      </c>
      <c r="I242" s="241">
        <v>18</v>
      </c>
      <c r="J242" s="241">
        <v>20</v>
      </c>
      <c r="K242" s="241">
        <v>8</v>
      </c>
      <c r="L242" s="241">
        <v>2</v>
      </c>
      <c r="M242" s="665">
        <v>0</v>
      </c>
      <c r="N242" s="241"/>
      <c r="O242" s="241"/>
      <c r="Q242" s="288">
        <v>46050</v>
      </c>
      <c r="R242" s="276">
        <v>0.5</v>
      </c>
      <c r="S242" s="277" t="s">
        <v>185</v>
      </c>
      <c r="T242" s="277" t="s">
        <v>753</v>
      </c>
      <c r="U242" s="278">
        <v>128</v>
      </c>
      <c r="V242" s="361" t="str">
        <f t="shared" si="109"/>
        <v>g</v>
      </c>
      <c r="W242" s="279">
        <f t="shared" si="110"/>
        <v>166.4</v>
      </c>
      <c r="X242" s="279">
        <f t="shared" si="111"/>
        <v>1.28</v>
      </c>
      <c r="Y242" s="279">
        <f t="shared" si="112"/>
        <v>0</v>
      </c>
      <c r="Z242" s="279">
        <f t="shared" si="113"/>
        <v>39.68</v>
      </c>
      <c r="AA242" s="279">
        <f t="shared" si="114"/>
        <v>3.84</v>
      </c>
      <c r="AB242" s="584">
        <f t="shared" si="115"/>
        <v>0</v>
      </c>
      <c r="AC242" s="277"/>
    </row>
    <row r="243" spans="5:29">
      <c r="E243" s="241" t="s">
        <v>833</v>
      </c>
      <c r="F243" s="144">
        <v>100</v>
      </c>
      <c r="G243" s="252" t="s">
        <v>177</v>
      </c>
      <c r="H243" s="241">
        <v>60</v>
      </c>
      <c r="I243" s="241">
        <v>2</v>
      </c>
      <c r="J243" s="241">
        <v>3</v>
      </c>
      <c r="K243" s="241">
        <v>7</v>
      </c>
      <c r="L243" s="241">
        <v>2</v>
      </c>
      <c r="M243" s="665">
        <v>5</v>
      </c>
      <c r="N243" s="241"/>
      <c r="O243" s="241"/>
      <c r="Q243" s="288">
        <v>46050</v>
      </c>
      <c r="R243" s="276">
        <v>0.58333333333333337</v>
      </c>
      <c r="S243" s="277" t="s">
        <v>289</v>
      </c>
      <c r="T243" s="277" t="s">
        <v>190</v>
      </c>
      <c r="U243" s="278">
        <v>3</v>
      </c>
      <c r="V243" s="361" t="str">
        <f t="shared" si="109"/>
        <v>medium</v>
      </c>
      <c r="W243" s="279">
        <f t="shared" si="110"/>
        <v>186</v>
      </c>
      <c r="X243" s="279">
        <f t="shared" si="111"/>
        <v>3.5999999999999996</v>
      </c>
      <c r="Y243" s="279">
        <f t="shared" si="112"/>
        <v>0.60000000000000009</v>
      </c>
      <c r="Z243" s="279">
        <f t="shared" si="113"/>
        <v>46.2</v>
      </c>
      <c r="AA243" s="279">
        <f t="shared" si="114"/>
        <v>9.3000000000000007</v>
      </c>
      <c r="AB243" s="584">
        <f t="shared" si="115"/>
        <v>0</v>
      </c>
      <c r="AC243" s="277"/>
    </row>
    <row r="244" spans="5:29">
      <c r="E244" s="241" t="s">
        <v>834</v>
      </c>
      <c r="F244" s="144">
        <v>100</v>
      </c>
      <c r="G244" s="252" t="s">
        <v>177</v>
      </c>
      <c r="H244" s="241">
        <v>180</v>
      </c>
      <c r="I244" s="241">
        <v>12</v>
      </c>
      <c r="J244" s="241">
        <v>12</v>
      </c>
      <c r="K244" s="241">
        <v>6</v>
      </c>
      <c r="L244" s="241">
        <v>1</v>
      </c>
      <c r="M244" s="665">
        <v>0</v>
      </c>
      <c r="N244" s="241"/>
      <c r="O244" s="241"/>
      <c r="Q244" s="288">
        <v>46050</v>
      </c>
      <c r="R244" s="276">
        <v>0.75</v>
      </c>
      <c r="S244" s="277" t="s">
        <v>289</v>
      </c>
      <c r="T244" s="277" t="s">
        <v>431</v>
      </c>
      <c r="U244" s="278">
        <v>1</v>
      </c>
      <c r="V244" s="361" t="str">
        <f t="shared" si="109"/>
        <v>piece</v>
      </c>
      <c r="W244" s="279">
        <f t="shared" si="110"/>
        <v>139</v>
      </c>
      <c r="X244" s="279">
        <f t="shared" si="111"/>
        <v>1.1000000000000001</v>
      </c>
      <c r="Y244" s="279">
        <f t="shared" si="112"/>
        <v>7.3</v>
      </c>
      <c r="Z244" s="279">
        <f t="shared" si="113"/>
        <v>17</v>
      </c>
      <c r="AA244" s="279">
        <f t="shared" si="114"/>
        <v>0.5</v>
      </c>
      <c r="AB244" s="584">
        <f t="shared" si="115"/>
        <v>0</v>
      </c>
      <c r="AC244" s="277"/>
    </row>
    <row r="245" spans="5:29">
      <c r="E245" s="241" t="s">
        <v>835</v>
      </c>
      <c r="F245" s="144">
        <v>1</v>
      </c>
      <c r="G245" s="252" t="s">
        <v>184</v>
      </c>
      <c r="H245" s="241">
        <v>420</v>
      </c>
      <c r="I245" s="241">
        <v>5</v>
      </c>
      <c r="J245" s="241">
        <v>24</v>
      </c>
      <c r="K245" s="241">
        <v>48</v>
      </c>
      <c r="L245" s="241">
        <v>2</v>
      </c>
      <c r="M245" s="665">
        <v>0</v>
      </c>
      <c r="N245" s="241"/>
      <c r="O245" s="241"/>
      <c r="Q245" s="288">
        <v>46050</v>
      </c>
      <c r="R245" s="276">
        <v>0.79166666666666663</v>
      </c>
      <c r="S245" s="277" t="s">
        <v>289</v>
      </c>
      <c r="T245" s="277" t="s">
        <v>214</v>
      </c>
      <c r="U245" s="278">
        <v>1</v>
      </c>
      <c r="V245" s="361" t="str">
        <f t="shared" si="109"/>
        <v>bar</v>
      </c>
      <c r="W245" s="279">
        <f t="shared" si="110"/>
        <v>67</v>
      </c>
      <c r="X245" s="279">
        <f t="shared" si="111"/>
        <v>1</v>
      </c>
      <c r="Y245" s="279">
        <f t="shared" si="112"/>
        <v>3.5</v>
      </c>
      <c r="Z245" s="279">
        <f t="shared" si="113"/>
        <v>22</v>
      </c>
      <c r="AA245" s="279">
        <f t="shared" si="114"/>
        <v>0.3</v>
      </c>
      <c r="AB245" s="584">
        <f t="shared" si="115"/>
        <v>0</v>
      </c>
      <c r="AC245" s="277"/>
    </row>
    <row r="246" spans="5:29">
      <c r="E246" s="241" t="s">
        <v>846</v>
      </c>
      <c r="F246" s="144">
        <v>1</v>
      </c>
      <c r="G246" s="252" t="s">
        <v>235</v>
      </c>
      <c r="H246" s="241">
        <v>0</v>
      </c>
      <c r="I246" s="241">
        <v>0</v>
      </c>
      <c r="J246" s="241">
        <v>0</v>
      </c>
      <c r="K246" s="241">
        <v>1</v>
      </c>
      <c r="L246" s="241">
        <v>0</v>
      </c>
      <c r="M246" s="665">
        <v>0</v>
      </c>
      <c r="N246" s="241"/>
      <c r="O246" s="241"/>
      <c r="Q246" s="288">
        <v>46050</v>
      </c>
      <c r="R246" s="276">
        <v>0.83333333333333304</v>
      </c>
      <c r="S246" s="277" t="s">
        <v>199</v>
      </c>
      <c r="T246" s="277" t="s">
        <v>181</v>
      </c>
      <c r="U246" s="278">
        <v>4</v>
      </c>
      <c r="V246" s="361" t="str">
        <f t="shared" si="109"/>
        <v>slice</v>
      </c>
      <c r="W246" s="279">
        <f t="shared" si="110"/>
        <v>280</v>
      </c>
      <c r="X246" s="279">
        <f t="shared" si="111"/>
        <v>10</v>
      </c>
      <c r="Y246" s="279">
        <f t="shared" si="112"/>
        <v>5</v>
      </c>
      <c r="Z246" s="279">
        <f t="shared" si="113"/>
        <v>48</v>
      </c>
      <c r="AA246" s="279">
        <f t="shared" si="114"/>
        <v>4</v>
      </c>
      <c r="AB246" s="584">
        <f t="shared" si="115"/>
        <v>0</v>
      </c>
      <c r="AC246" s="277"/>
    </row>
    <row r="247" spans="5:29">
      <c r="E247" s="241" t="s">
        <v>845</v>
      </c>
      <c r="F247" s="144">
        <v>1</v>
      </c>
      <c r="G247" s="252" t="s">
        <v>241</v>
      </c>
      <c r="H247" s="241">
        <v>90</v>
      </c>
      <c r="I247" s="241">
        <v>6</v>
      </c>
      <c r="J247" s="241">
        <v>7</v>
      </c>
      <c r="K247" s="241">
        <v>0</v>
      </c>
      <c r="L247" s="241">
        <v>0</v>
      </c>
      <c r="M247" s="665">
        <v>40</v>
      </c>
      <c r="N247" s="241"/>
      <c r="O247" s="241"/>
      <c r="Q247" s="288">
        <v>46050</v>
      </c>
      <c r="R247" s="276">
        <v>0.83333333333333304</v>
      </c>
      <c r="S247" s="277" t="s">
        <v>199</v>
      </c>
      <c r="T247" s="277" t="s">
        <v>212</v>
      </c>
      <c r="U247" s="278">
        <v>1</v>
      </c>
      <c r="V247" s="361" t="str">
        <f t="shared" si="109"/>
        <v>bottle</v>
      </c>
      <c r="W247" s="279">
        <f t="shared" si="110"/>
        <v>70</v>
      </c>
      <c r="X247" s="279">
        <f t="shared" si="111"/>
        <v>0</v>
      </c>
      <c r="Y247" s="279">
        <f t="shared" si="112"/>
        <v>0</v>
      </c>
      <c r="Z247" s="279">
        <f t="shared" si="113"/>
        <v>17</v>
      </c>
      <c r="AA247" s="279">
        <f t="shared" si="114"/>
        <v>1</v>
      </c>
      <c r="AB247" s="584">
        <f t="shared" si="115"/>
        <v>0</v>
      </c>
      <c r="AC247" s="277"/>
    </row>
    <row r="248" spans="5:29">
      <c r="E248" s="241" t="s">
        <v>847</v>
      </c>
      <c r="F248" s="144">
        <v>1</v>
      </c>
      <c r="G248" s="252" t="s">
        <v>235</v>
      </c>
      <c r="H248" s="241">
        <v>0</v>
      </c>
      <c r="I248" s="241">
        <v>0</v>
      </c>
      <c r="J248" s="241">
        <v>0</v>
      </c>
      <c r="K248" s="241">
        <v>0</v>
      </c>
      <c r="L248" s="241">
        <v>0</v>
      </c>
      <c r="M248" s="665">
        <v>0</v>
      </c>
      <c r="N248" s="241"/>
      <c r="O248" s="241"/>
      <c r="Q248" s="288">
        <v>46050</v>
      </c>
      <c r="R248" s="276">
        <v>0.83333333333333304</v>
      </c>
      <c r="S248" s="277" t="s">
        <v>199</v>
      </c>
      <c r="T248" s="277" t="s">
        <v>176</v>
      </c>
      <c r="U248" s="278">
        <v>181</v>
      </c>
      <c r="V248" s="361" t="str">
        <f t="shared" si="109"/>
        <v>g</v>
      </c>
      <c r="W248" s="279">
        <f t="shared" si="110"/>
        <v>298.65000000000003</v>
      </c>
      <c r="X248" s="279">
        <f t="shared" si="111"/>
        <v>45.25</v>
      </c>
      <c r="Y248" s="279">
        <f t="shared" si="112"/>
        <v>6.516</v>
      </c>
      <c r="Z248" s="279">
        <f t="shared" si="113"/>
        <v>0</v>
      </c>
      <c r="AA248" s="279">
        <f t="shared" si="114"/>
        <v>0</v>
      </c>
      <c r="AB248" s="584">
        <f t="shared" si="115"/>
        <v>0</v>
      </c>
      <c r="AC248" s="277"/>
    </row>
    <row r="249" spans="5:29">
      <c r="E249" s="241" t="s">
        <v>849</v>
      </c>
      <c r="F249" s="144">
        <v>1</v>
      </c>
      <c r="G249" s="252" t="s">
        <v>283</v>
      </c>
      <c r="H249" s="241">
        <v>320</v>
      </c>
      <c r="I249" s="241">
        <v>22</v>
      </c>
      <c r="J249" s="241">
        <v>8</v>
      </c>
      <c r="K249" s="241">
        <v>42</v>
      </c>
      <c r="L249" s="241">
        <v>4</v>
      </c>
      <c r="M249" s="665">
        <v>0</v>
      </c>
      <c r="N249" s="241"/>
      <c r="O249" s="241"/>
      <c r="Q249" s="288">
        <v>46050</v>
      </c>
      <c r="R249" s="276">
        <v>0.875</v>
      </c>
      <c r="S249" s="277" t="s">
        <v>289</v>
      </c>
      <c r="T249" s="277" t="s">
        <v>214</v>
      </c>
      <c r="U249" s="278">
        <v>1</v>
      </c>
      <c r="V249" s="361" t="str">
        <f t="shared" si="109"/>
        <v>bar</v>
      </c>
      <c r="W249" s="279">
        <f t="shared" si="110"/>
        <v>67</v>
      </c>
      <c r="X249" s="279">
        <f t="shared" si="111"/>
        <v>1</v>
      </c>
      <c r="Y249" s="279">
        <f t="shared" si="112"/>
        <v>3.5</v>
      </c>
      <c r="Z249" s="279">
        <f t="shared" si="113"/>
        <v>22</v>
      </c>
      <c r="AA249" s="279">
        <f t="shared" si="114"/>
        <v>0.3</v>
      </c>
      <c r="AB249" s="584">
        <f t="shared" si="115"/>
        <v>0</v>
      </c>
      <c r="AC249" s="277"/>
    </row>
    <row r="250" spans="5:29">
      <c r="E250" s="241" t="s">
        <v>850</v>
      </c>
      <c r="F250" s="144">
        <v>2</v>
      </c>
      <c r="G250" s="252" t="s">
        <v>203</v>
      </c>
      <c r="H250" s="241">
        <v>25</v>
      </c>
      <c r="I250" s="241">
        <v>1</v>
      </c>
      <c r="J250" s="241">
        <v>0</v>
      </c>
      <c r="K250" s="241">
        <v>6</v>
      </c>
      <c r="L250" s="241">
        <v>0</v>
      </c>
      <c r="M250" s="665">
        <v>0</v>
      </c>
      <c r="N250" s="241"/>
      <c r="O250" s="241"/>
      <c r="Q250" s="288">
        <v>46050</v>
      </c>
      <c r="R250" s="276">
        <v>0.875</v>
      </c>
      <c r="S250" s="277" t="s">
        <v>199</v>
      </c>
      <c r="T250" s="277" t="s">
        <v>209</v>
      </c>
      <c r="U250" s="278">
        <v>3</v>
      </c>
      <c r="V250" s="361" t="str">
        <f t="shared" si="109"/>
        <v>tbsp</v>
      </c>
      <c r="W250" s="279">
        <f t="shared" si="110"/>
        <v>60</v>
      </c>
      <c r="X250" s="279">
        <f t="shared" si="111"/>
        <v>0</v>
      </c>
      <c r="Y250" s="279">
        <f t="shared" si="112"/>
        <v>0</v>
      </c>
      <c r="Z250" s="279">
        <f t="shared" si="113"/>
        <v>15</v>
      </c>
      <c r="AA250" s="279">
        <f t="shared" si="114"/>
        <v>13.5</v>
      </c>
      <c r="AB250" s="584">
        <f t="shared" si="115"/>
        <v>0</v>
      </c>
      <c r="AC250" s="277"/>
    </row>
    <row r="251" spans="5:29">
      <c r="E251" s="241" t="s">
        <v>851</v>
      </c>
      <c r="F251" s="144">
        <v>1</v>
      </c>
      <c r="G251" s="252" t="s">
        <v>480</v>
      </c>
      <c r="H251" s="241">
        <v>350</v>
      </c>
      <c r="I251" s="241">
        <v>6</v>
      </c>
      <c r="J251" s="241">
        <v>12</v>
      </c>
      <c r="K251" s="241">
        <v>56</v>
      </c>
      <c r="L251" s="241">
        <v>2</v>
      </c>
      <c r="M251" s="665">
        <v>0</v>
      </c>
      <c r="N251" s="241"/>
      <c r="O251" s="241"/>
      <c r="Q251" s="288">
        <v>46050</v>
      </c>
      <c r="R251" s="276">
        <v>0.875</v>
      </c>
      <c r="S251" s="277" t="s">
        <v>289</v>
      </c>
      <c r="T251" s="277" t="s">
        <v>219</v>
      </c>
      <c r="U251" s="278">
        <v>1</v>
      </c>
      <c r="V251" s="361" t="str">
        <f t="shared" si="109"/>
        <v>bottle</v>
      </c>
      <c r="W251" s="279">
        <f t="shared" si="110"/>
        <v>0</v>
      </c>
      <c r="X251" s="279">
        <f t="shared" si="111"/>
        <v>0</v>
      </c>
      <c r="Y251" s="279">
        <f t="shared" si="112"/>
        <v>0</v>
      </c>
      <c r="Z251" s="279">
        <f t="shared" si="113"/>
        <v>0</v>
      </c>
      <c r="AA251" s="279">
        <f t="shared" si="114"/>
        <v>0</v>
      </c>
      <c r="AB251" s="684">
        <f t="shared" si="115"/>
        <v>0</v>
      </c>
      <c r="AC251" s="277"/>
    </row>
    <row r="252" spans="5:29">
      <c r="E252" s="241" t="s">
        <v>852</v>
      </c>
      <c r="F252" s="144">
        <v>1</v>
      </c>
      <c r="G252" s="252" t="s">
        <v>346</v>
      </c>
      <c r="H252" s="241">
        <v>460</v>
      </c>
      <c r="I252" s="241">
        <v>9</v>
      </c>
      <c r="J252" s="241">
        <v>22</v>
      </c>
      <c r="K252" s="241">
        <v>58</v>
      </c>
      <c r="L252" s="241">
        <v>1</v>
      </c>
      <c r="M252" s="665">
        <v>0</v>
      </c>
      <c r="N252" s="241"/>
      <c r="O252" s="241"/>
      <c r="Q252" s="280"/>
      <c r="R252" s="281" t="s">
        <v>217</v>
      </c>
      <c r="S252" s="294"/>
      <c r="T252" s="282"/>
      <c r="U252" s="282"/>
      <c r="V252" s="364"/>
      <c r="W252" s="283">
        <f t="shared" ref="W252:AB252" si="116">SUM(W235:W251)</f>
        <v>2645.4500000000003</v>
      </c>
      <c r="X252" s="283">
        <f t="shared" si="116"/>
        <v>189.57</v>
      </c>
      <c r="Y252" s="283">
        <f t="shared" si="116"/>
        <v>55.175999999999995</v>
      </c>
      <c r="Z252" s="283">
        <f t="shared" si="116"/>
        <v>331.26</v>
      </c>
      <c r="AA252" s="683">
        <f t="shared" si="116"/>
        <v>40.075000000000003</v>
      </c>
      <c r="AB252" s="691">
        <f t="shared" si="116"/>
        <v>0</v>
      </c>
      <c r="AC252" s="281"/>
    </row>
    <row r="253" spans="5:29">
      <c r="E253" s="241" t="s">
        <v>853</v>
      </c>
      <c r="F253" s="144">
        <v>2</v>
      </c>
      <c r="G253" s="252" t="s">
        <v>281</v>
      </c>
      <c r="H253" s="241">
        <v>140</v>
      </c>
      <c r="I253" s="241">
        <v>2</v>
      </c>
      <c r="J253" s="241">
        <v>9</v>
      </c>
      <c r="K253" s="241">
        <v>13</v>
      </c>
      <c r="L253" s="241">
        <v>0</v>
      </c>
      <c r="M253" s="665">
        <v>0</v>
      </c>
      <c r="N253" s="241"/>
      <c r="O253" s="241"/>
      <c r="Q253" s="280"/>
      <c r="R253" s="281" t="s">
        <v>220</v>
      </c>
      <c r="S253" s="294"/>
      <c r="T253" s="282"/>
      <c r="U253" s="282"/>
      <c r="V253" s="364"/>
      <c r="W253" s="284">
        <f>$B$27</f>
        <v>2834.5625</v>
      </c>
      <c r="X253" s="284">
        <f>$B$29</f>
        <v>154</v>
      </c>
      <c r="Y253" s="284">
        <f>$B$30</f>
        <v>63.91</v>
      </c>
      <c r="Z253" s="284">
        <f>$B$31</f>
        <v>410.84312499999999</v>
      </c>
      <c r="AA253" s="690">
        <f>$B$32</f>
        <v>39.683875</v>
      </c>
      <c r="AB253" s="695">
        <f>$B$39</f>
        <v>500</v>
      </c>
      <c r="AC253" s="281"/>
    </row>
    <row r="254" spans="5:29">
      <c r="E254" s="241" t="s">
        <v>854</v>
      </c>
      <c r="F254" s="144">
        <v>0.5</v>
      </c>
      <c r="G254" s="252" t="s">
        <v>340</v>
      </c>
      <c r="H254" s="241">
        <v>120</v>
      </c>
      <c r="I254" s="241">
        <v>2</v>
      </c>
      <c r="J254" s="241">
        <v>4.5</v>
      </c>
      <c r="K254" s="241">
        <v>17</v>
      </c>
      <c r="L254" s="241">
        <v>0</v>
      </c>
      <c r="M254" s="665">
        <v>0</v>
      </c>
      <c r="N254" s="241"/>
      <c r="O254" s="241"/>
      <c r="Q254" s="280"/>
      <c r="R254" s="281" t="s">
        <v>222</v>
      </c>
      <c r="S254" s="294"/>
      <c r="T254" s="282"/>
      <c r="U254" s="282"/>
      <c r="V254" s="364"/>
      <c r="W254" s="284">
        <f t="shared" ref="W254:AB254" si="117">W252-W253</f>
        <v>-189.11249999999973</v>
      </c>
      <c r="X254" s="284">
        <f t="shared" si="117"/>
        <v>35.569999999999993</v>
      </c>
      <c r="Y254" s="284">
        <f t="shared" si="117"/>
        <v>-8.7340000000000018</v>
      </c>
      <c r="Z254" s="284">
        <f t="shared" si="117"/>
        <v>-79.583124999999995</v>
      </c>
      <c r="AA254" s="690">
        <f t="shared" si="117"/>
        <v>0.39112500000000239</v>
      </c>
      <c r="AB254" s="689">
        <f t="shared" si="117"/>
        <v>-500</v>
      </c>
      <c r="AC254" s="281"/>
    </row>
    <row r="255" spans="5:29">
      <c r="E255" s="241" t="s">
        <v>855</v>
      </c>
      <c r="F255" s="144">
        <v>100</v>
      </c>
      <c r="G255" s="252" t="s">
        <v>177</v>
      </c>
      <c r="H255" s="241">
        <v>60</v>
      </c>
      <c r="I255" s="241">
        <v>1</v>
      </c>
      <c r="J255" s="241">
        <v>0</v>
      </c>
      <c r="K255" s="241">
        <v>15</v>
      </c>
      <c r="L255" s="241">
        <v>2</v>
      </c>
      <c r="M255" s="665">
        <v>0</v>
      </c>
      <c r="N255" s="241"/>
      <c r="O255" s="241"/>
      <c r="Q255" s="288">
        <v>46051</v>
      </c>
      <c r="R255" s="276">
        <v>0.33333333333333331</v>
      </c>
      <c r="S255" s="277" t="s">
        <v>178</v>
      </c>
      <c r="T255" s="277" t="s">
        <v>814</v>
      </c>
      <c r="U255" s="278">
        <v>1</v>
      </c>
      <c r="V255" s="361" t="str">
        <f t="shared" ref="V255:V268" si="118">IFERROR(VLOOKUP(T255, $E$5:$L$818, 3, FALSE), "")</f>
        <v>bottle</v>
      </c>
      <c r="W255" s="279">
        <f t="shared" ref="W255:W268" si="119">IFERROR(VLOOKUP(T255, $E$5:$L$818, 4, FALSE) * (U255 / VLOOKUP(T255, $E$5:$L$818, 2, FALSE)), "")</f>
        <v>260</v>
      </c>
      <c r="X255" s="279">
        <f t="shared" ref="X255:X268" si="120">IFERROR(VLOOKUP(T255, $E$5:$L$818, 5, FALSE) * (U255 / VLOOKUP(T255, $E$5:$L$818, 2, FALSE)), "")</f>
        <v>33</v>
      </c>
      <c r="Y255" s="279">
        <f t="shared" ref="Y255:Y268" si="121">IFERROR(VLOOKUP(T255, $E$5:$L$818, 6, FALSE) * (U255 / VLOOKUP(T255, $E$5:$L$818, 2, FALSE)), "")</f>
        <v>6</v>
      </c>
      <c r="Z255" s="279">
        <f t="shared" ref="Z255:Z268" si="122">IFERROR(VLOOKUP(T255, $E$5:$L$818, 7, FALSE) * (U255 / VLOOKUP(T255, $E$5:$L$818, 2, FALSE)), "")</f>
        <v>20</v>
      </c>
      <c r="AA255" s="279">
        <f t="shared" ref="AA255:AA268" si="123">IFERROR(VLOOKUP(T255, $E$5:$L$818, 8, FALSE) * (U255 / VLOOKUP(T255, $E$5:$L$818, 2, FALSE)), "")</f>
        <v>0</v>
      </c>
      <c r="AB255" s="674">
        <f t="shared" ref="AB255:AB268" si="124">IFERROR(VLOOKUP(T255, $E$5:$O$818, 9, FALSE) * (U255 / VLOOKUP(T255, $E$5:$O$818, 2, FALSE)), "")</f>
        <v>0</v>
      </c>
      <c r="AC255" s="277"/>
    </row>
    <row r="256" spans="5:29">
      <c r="E256" s="241" t="s">
        <v>856</v>
      </c>
      <c r="F256" s="144">
        <v>100</v>
      </c>
      <c r="G256" s="252" t="s">
        <v>177</v>
      </c>
      <c r="H256" s="241">
        <v>60</v>
      </c>
      <c r="I256" s="241">
        <v>1</v>
      </c>
      <c r="J256" s="241">
        <v>0</v>
      </c>
      <c r="K256" s="241">
        <v>15</v>
      </c>
      <c r="L256" s="241">
        <v>2</v>
      </c>
      <c r="M256" s="665">
        <v>0</v>
      </c>
      <c r="N256" s="241"/>
      <c r="O256" s="241"/>
      <c r="Q256" s="288">
        <v>46051</v>
      </c>
      <c r="R256" s="276">
        <v>0.33333333333333331</v>
      </c>
      <c r="S256" s="277" t="s">
        <v>178</v>
      </c>
      <c r="T256" s="277" t="s">
        <v>374</v>
      </c>
      <c r="U256" s="278">
        <v>2</v>
      </c>
      <c r="V256" s="361" t="str">
        <f t="shared" si="118"/>
        <v>egg</v>
      </c>
      <c r="W256" s="279">
        <f t="shared" si="119"/>
        <v>160</v>
      </c>
      <c r="X256" s="279">
        <f t="shared" si="120"/>
        <v>14</v>
      </c>
      <c r="Y256" s="279">
        <f t="shared" si="121"/>
        <v>12</v>
      </c>
      <c r="Z256" s="279">
        <f t="shared" si="122"/>
        <v>0</v>
      </c>
      <c r="AA256" s="279">
        <f t="shared" si="123"/>
        <v>0</v>
      </c>
      <c r="AB256" s="584">
        <f t="shared" si="124"/>
        <v>80</v>
      </c>
      <c r="AC256" s="277"/>
    </row>
    <row r="257" spans="5:29">
      <c r="E257" s="445" t="s">
        <v>861</v>
      </c>
      <c r="F257" s="144">
        <v>150</v>
      </c>
      <c r="G257" s="252" t="s">
        <v>177</v>
      </c>
      <c r="H257" s="241">
        <v>320</v>
      </c>
      <c r="I257" s="241">
        <v>25</v>
      </c>
      <c r="J257" s="241">
        <v>22</v>
      </c>
      <c r="K257" s="241">
        <v>8</v>
      </c>
      <c r="L257" s="241">
        <v>1</v>
      </c>
      <c r="M257" s="665">
        <v>250</v>
      </c>
      <c r="N257" s="241"/>
      <c r="O257" s="241"/>
      <c r="Q257" s="288">
        <v>46051</v>
      </c>
      <c r="R257" s="276">
        <v>0.33333333333333331</v>
      </c>
      <c r="S257" s="277" t="s">
        <v>178</v>
      </c>
      <c r="T257" s="277" t="s">
        <v>418</v>
      </c>
      <c r="U257" s="278">
        <v>1</v>
      </c>
      <c r="V257" s="361" t="str">
        <f t="shared" si="118"/>
        <v>potato</v>
      </c>
      <c r="W257" s="279">
        <f t="shared" si="119"/>
        <v>150</v>
      </c>
      <c r="X257" s="279">
        <f t="shared" si="120"/>
        <v>2</v>
      </c>
      <c r="Y257" s="279">
        <f t="shared" si="121"/>
        <v>0</v>
      </c>
      <c r="Z257" s="279">
        <f t="shared" si="122"/>
        <v>35</v>
      </c>
      <c r="AA257" s="279">
        <f t="shared" si="123"/>
        <v>5</v>
      </c>
      <c r="AB257" s="584">
        <f t="shared" si="124"/>
        <v>0</v>
      </c>
      <c r="AC257" s="277"/>
    </row>
    <row r="258" spans="5:29">
      <c r="E258" s="241" t="s">
        <v>866</v>
      </c>
      <c r="F258" s="144">
        <v>1</v>
      </c>
      <c r="G258" s="252" t="s">
        <v>447</v>
      </c>
      <c r="H258" s="241">
        <v>380</v>
      </c>
      <c r="I258" s="241">
        <v>18</v>
      </c>
      <c r="J258" s="241">
        <v>12</v>
      </c>
      <c r="K258" s="241">
        <v>52</v>
      </c>
      <c r="L258" s="241">
        <v>3</v>
      </c>
      <c r="M258" s="665">
        <v>0</v>
      </c>
      <c r="N258" s="241"/>
      <c r="O258" s="241"/>
      <c r="Q258" s="288">
        <v>46051</v>
      </c>
      <c r="R258" s="276">
        <v>0.5</v>
      </c>
      <c r="S258" s="277" t="s">
        <v>185</v>
      </c>
      <c r="T258" s="277" t="s">
        <v>454</v>
      </c>
      <c r="U258" s="278">
        <v>1</v>
      </c>
      <c r="V258" s="361" t="str">
        <f t="shared" si="118"/>
        <v>box</v>
      </c>
      <c r="W258" s="279">
        <f t="shared" si="119"/>
        <v>520</v>
      </c>
      <c r="X258" s="279">
        <f t="shared" si="120"/>
        <v>20</v>
      </c>
      <c r="Y258" s="279">
        <f t="shared" si="121"/>
        <v>22</v>
      </c>
      <c r="Z258" s="279">
        <f t="shared" si="122"/>
        <v>58</v>
      </c>
      <c r="AA258" s="279">
        <f t="shared" si="123"/>
        <v>3</v>
      </c>
      <c r="AB258" s="584">
        <f t="shared" si="124"/>
        <v>0</v>
      </c>
      <c r="AC258" s="277"/>
    </row>
    <row r="259" spans="5:29">
      <c r="E259" s="241" t="s">
        <v>867</v>
      </c>
      <c r="F259" s="144">
        <v>1</v>
      </c>
      <c r="G259" s="252" t="s">
        <v>340</v>
      </c>
      <c r="H259" s="241">
        <v>80</v>
      </c>
      <c r="I259" s="241">
        <v>1</v>
      </c>
      <c r="J259" s="241">
        <v>4</v>
      </c>
      <c r="K259" s="241">
        <v>11</v>
      </c>
      <c r="L259" s="241">
        <v>0</v>
      </c>
      <c r="M259" s="665">
        <v>15</v>
      </c>
      <c r="N259" s="241"/>
      <c r="O259" s="241"/>
      <c r="Q259" s="288">
        <v>46051</v>
      </c>
      <c r="R259" s="276">
        <v>0.5</v>
      </c>
      <c r="S259" s="277" t="s">
        <v>185</v>
      </c>
      <c r="T259" s="277" t="s">
        <v>176</v>
      </c>
      <c r="U259" s="278">
        <v>288</v>
      </c>
      <c r="V259" s="361" t="str">
        <f t="shared" si="118"/>
        <v>g</v>
      </c>
      <c r="W259" s="279">
        <f t="shared" si="119"/>
        <v>475.2</v>
      </c>
      <c r="X259" s="279">
        <f t="shared" si="120"/>
        <v>72</v>
      </c>
      <c r="Y259" s="279">
        <f t="shared" si="121"/>
        <v>10.368</v>
      </c>
      <c r="Z259" s="279">
        <f t="shared" si="122"/>
        <v>0</v>
      </c>
      <c r="AA259" s="279">
        <f t="shared" si="123"/>
        <v>0</v>
      </c>
      <c r="AB259" s="584">
        <f t="shared" si="124"/>
        <v>0</v>
      </c>
      <c r="AC259" s="277"/>
    </row>
    <row r="260" spans="5:29">
      <c r="E260" s="241" t="s">
        <v>868</v>
      </c>
      <c r="F260" s="144">
        <v>1</v>
      </c>
      <c r="G260" s="252" t="s">
        <v>283</v>
      </c>
      <c r="H260" s="241">
        <v>120</v>
      </c>
      <c r="I260" s="241">
        <v>8</v>
      </c>
      <c r="J260" s="241">
        <v>3</v>
      </c>
      <c r="K260" s="241">
        <v>16</v>
      </c>
      <c r="L260" s="241">
        <v>3</v>
      </c>
      <c r="M260" s="665">
        <v>0</v>
      </c>
      <c r="N260" s="241"/>
      <c r="O260" s="241"/>
      <c r="Q260" s="288">
        <v>46051</v>
      </c>
      <c r="R260" s="276">
        <v>0.54166666666666663</v>
      </c>
      <c r="S260" s="277" t="s">
        <v>289</v>
      </c>
      <c r="T260" s="277" t="s">
        <v>453</v>
      </c>
      <c r="U260" s="278">
        <v>1</v>
      </c>
      <c r="V260" s="361" t="str">
        <f t="shared" si="118"/>
        <v>piece</v>
      </c>
      <c r="W260" s="279">
        <f t="shared" si="119"/>
        <v>73</v>
      </c>
      <c r="X260" s="279">
        <f t="shared" si="120"/>
        <v>1</v>
      </c>
      <c r="Y260" s="279">
        <f t="shared" si="121"/>
        <v>5.3</v>
      </c>
      <c r="Z260" s="279">
        <f t="shared" si="122"/>
        <v>5.3</v>
      </c>
      <c r="AA260" s="279">
        <f t="shared" si="123"/>
        <v>0.3</v>
      </c>
      <c r="AB260" s="584">
        <f t="shared" si="124"/>
        <v>0</v>
      </c>
      <c r="AC260" s="277"/>
    </row>
    <row r="261" spans="5:29">
      <c r="E261" s="241" t="s">
        <v>869</v>
      </c>
      <c r="F261" s="144">
        <v>1</v>
      </c>
      <c r="G261" s="252" t="s">
        <v>340</v>
      </c>
      <c r="H261" s="241">
        <v>170</v>
      </c>
      <c r="I261" s="241">
        <v>1</v>
      </c>
      <c r="J261" s="241">
        <v>10</v>
      </c>
      <c r="K261" s="241">
        <v>18</v>
      </c>
      <c r="L261" s="241">
        <v>0</v>
      </c>
      <c r="M261" s="665">
        <v>0</v>
      </c>
      <c r="N261" s="241"/>
      <c r="O261" s="241"/>
      <c r="Q261" s="288">
        <v>46051</v>
      </c>
      <c r="R261" s="276">
        <v>0.54166666666666663</v>
      </c>
      <c r="S261" s="277" t="s">
        <v>289</v>
      </c>
      <c r="T261" s="277" t="s">
        <v>268</v>
      </c>
      <c r="U261" s="278">
        <v>0.5</v>
      </c>
      <c r="V261" s="361" t="str">
        <f t="shared" si="118"/>
        <v>scoop</v>
      </c>
      <c r="W261" s="279">
        <f t="shared" si="119"/>
        <v>80</v>
      </c>
      <c r="X261" s="279">
        <f t="shared" si="120"/>
        <v>1.25</v>
      </c>
      <c r="Y261" s="279">
        <f t="shared" si="121"/>
        <v>4.25</v>
      </c>
      <c r="Z261" s="279">
        <f t="shared" si="122"/>
        <v>9.75</v>
      </c>
      <c r="AA261" s="279">
        <f t="shared" si="123"/>
        <v>0</v>
      </c>
      <c r="AB261" s="584">
        <f t="shared" si="124"/>
        <v>0</v>
      </c>
      <c r="AC261" s="277"/>
    </row>
    <row r="262" spans="5:29">
      <c r="E262" s="241" t="s">
        <v>876</v>
      </c>
      <c r="F262" s="144">
        <v>1</v>
      </c>
      <c r="G262" s="252" t="s">
        <v>809</v>
      </c>
      <c r="H262" s="241">
        <v>140</v>
      </c>
      <c r="I262" s="241">
        <v>0</v>
      </c>
      <c r="J262" s="241">
        <v>0</v>
      </c>
      <c r="K262" s="241">
        <v>33</v>
      </c>
      <c r="L262" s="241">
        <v>2</v>
      </c>
      <c r="M262" s="665">
        <v>0</v>
      </c>
      <c r="N262" s="241"/>
      <c r="O262" s="241"/>
      <c r="Q262" s="288">
        <v>46051</v>
      </c>
      <c r="R262" s="276">
        <v>0.79166666666666663</v>
      </c>
      <c r="S262" s="277" t="s">
        <v>289</v>
      </c>
      <c r="T262" s="277" t="s">
        <v>190</v>
      </c>
      <c r="U262" s="278">
        <v>5</v>
      </c>
      <c r="V262" s="361" t="str">
        <f t="shared" si="118"/>
        <v>medium</v>
      </c>
      <c r="W262" s="279">
        <f t="shared" si="119"/>
        <v>310</v>
      </c>
      <c r="X262" s="279">
        <f t="shared" si="120"/>
        <v>6</v>
      </c>
      <c r="Y262" s="279">
        <f t="shared" si="121"/>
        <v>1</v>
      </c>
      <c r="Z262" s="279">
        <f t="shared" si="122"/>
        <v>77</v>
      </c>
      <c r="AA262" s="279">
        <f t="shared" si="123"/>
        <v>15.5</v>
      </c>
      <c r="AB262" s="584">
        <f t="shared" si="124"/>
        <v>0</v>
      </c>
      <c r="AC262" s="277"/>
    </row>
    <row r="263" spans="5:29">
      <c r="E263" s="241" t="s">
        <v>870</v>
      </c>
      <c r="F263" s="144">
        <v>1</v>
      </c>
      <c r="G263" s="252" t="s">
        <v>340</v>
      </c>
      <c r="H263" s="241">
        <v>70</v>
      </c>
      <c r="I263" s="241">
        <v>0</v>
      </c>
      <c r="J263" s="241">
        <v>0</v>
      </c>
      <c r="K263" s="241">
        <v>17</v>
      </c>
      <c r="L263" s="241">
        <v>0</v>
      </c>
      <c r="M263" s="665">
        <v>0</v>
      </c>
      <c r="N263" s="241"/>
      <c r="O263" s="241"/>
      <c r="Q263" s="288">
        <v>46051</v>
      </c>
      <c r="R263" s="276">
        <v>0.875</v>
      </c>
      <c r="S263" s="277" t="s">
        <v>289</v>
      </c>
      <c r="T263" s="277" t="s">
        <v>214</v>
      </c>
      <c r="U263" s="278">
        <v>1</v>
      </c>
      <c r="V263" s="361" t="str">
        <f t="shared" si="118"/>
        <v>bar</v>
      </c>
      <c r="W263" s="279">
        <f t="shared" si="119"/>
        <v>67</v>
      </c>
      <c r="X263" s="279">
        <f t="shared" si="120"/>
        <v>1</v>
      </c>
      <c r="Y263" s="279">
        <f t="shared" si="121"/>
        <v>3.5</v>
      </c>
      <c r="Z263" s="279">
        <f t="shared" si="122"/>
        <v>22</v>
      </c>
      <c r="AA263" s="279">
        <f t="shared" si="123"/>
        <v>0.3</v>
      </c>
      <c r="AB263" s="584">
        <f t="shared" si="124"/>
        <v>0</v>
      </c>
      <c r="AC263" s="277"/>
    </row>
    <row r="264" spans="5:29">
      <c r="E264" s="241" t="s">
        <v>877</v>
      </c>
      <c r="F264" s="144">
        <v>1</v>
      </c>
      <c r="G264" s="252" t="s">
        <v>213</v>
      </c>
      <c r="H264" s="241">
        <v>230</v>
      </c>
      <c r="I264" s="241">
        <v>40</v>
      </c>
      <c r="J264" s="241">
        <v>2.5</v>
      </c>
      <c r="K264" s="241">
        <v>13</v>
      </c>
      <c r="L264" s="241">
        <v>0</v>
      </c>
      <c r="M264" s="665">
        <v>0</v>
      </c>
      <c r="N264" s="241"/>
      <c r="O264" s="241"/>
      <c r="Q264" s="288">
        <v>46051</v>
      </c>
      <c r="R264" s="276">
        <v>0.875</v>
      </c>
      <c r="S264" s="277" t="s">
        <v>289</v>
      </c>
      <c r="T264" s="277" t="s">
        <v>431</v>
      </c>
      <c r="U264" s="278">
        <v>1</v>
      </c>
      <c r="V264" s="361" t="str">
        <f t="shared" si="118"/>
        <v>piece</v>
      </c>
      <c r="W264" s="279">
        <f t="shared" si="119"/>
        <v>139</v>
      </c>
      <c r="X264" s="279">
        <f t="shared" si="120"/>
        <v>1.1000000000000001</v>
      </c>
      <c r="Y264" s="279">
        <f t="shared" si="121"/>
        <v>7.3</v>
      </c>
      <c r="Z264" s="279">
        <f t="shared" si="122"/>
        <v>17</v>
      </c>
      <c r="AA264" s="279">
        <f t="shared" si="123"/>
        <v>0.5</v>
      </c>
      <c r="AB264" s="584">
        <f t="shared" si="124"/>
        <v>0</v>
      </c>
      <c r="AC264" s="277"/>
    </row>
    <row r="265" spans="5:29">
      <c r="E265" s="241" t="s">
        <v>871</v>
      </c>
      <c r="F265" s="144">
        <v>1</v>
      </c>
      <c r="G265" s="252" t="s">
        <v>872</v>
      </c>
      <c r="H265" s="241">
        <v>180</v>
      </c>
      <c r="I265" s="241">
        <v>6</v>
      </c>
      <c r="J265" s="241">
        <v>3</v>
      </c>
      <c r="K265" s="241">
        <v>32</v>
      </c>
      <c r="L265" s="241">
        <v>2</v>
      </c>
      <c r="M265" s="665">
        <v>0</v>
      </c>
      <c r="N265" s="241"/>
      <c r="O265" s="241"/>
      <c r="Q265" s="288">
        <v>46051</v>
      </c>
      <c r="R265" s="276">
        <v>0.91666666666666663</v>
      </c>
      <c r="S265" s="277" t="s">
        <v>199</v>
      </c>
      <c r="T265" s="277" t="s">
        <v>212</v>
      </c>
      <c r="U265" s="278">
        <v>1</v>
      </c>
      <c r="V265" s="361" t="str">
        <f t="shared" si="118"/>
        <v>bottle</v>
      </c>
      <c r="W265" s="279">
        <f t="shared" si="119"/>
        <v>70</v>
      </c>
      <c r="X265" s="279">
        <f t="shared" si="120"/>
        <v>0</v>
      </c>
      <c r="Y265" s="279">
        <f t="shared" si="121"/>
        <v>0</v>
      </c>
      <c r="Z265" s="279">
        <f t="shared" si="122"/>
        <v>17</v>
      </c>
      <c r="AA265" s="279">
        <f t="shared" si="123"/>
        <v>1</v>
      </c>
      <c r="AB265" s="584">
        <f t="shared" si="124"/>
        <v>0</v>
      </c>
      <c r="AC265" s="277"/>
    </row>
    <row r="266" spans="5:29">
      <c r="E266" s="241" t="s">
        <v>873</v>
      </c>
      <c r="F266" s="144">
        <v>1</v>
      </c>
      <c r="G266" s="252" t="s">
        <v>340</v>
      </c>
      <c r="H266" s="241">
        <v>70</v>
      </c>
      <c r="I266" s="241">
        <v>1</v>
      </c>
      <c r="J266" s="241">
        <v>3</v>
      </c>
      <c r="K266" s="241">
        <v>10</v>
      </c>
      <c r="L266" s="241">
        <v>0</v>
      </c>
      <c r="M266" s="665">
        <v>0</v>
      </c>
      <c r="N266" s="241"/>
      <c r="O266" s="241"/>
      <c r="Q266" s="288">
        <v>46051</v>
      </c>
      <c r="R266" s="276">
        <v>0.91666666666666663</v>
      </c>
      <c r="S266" s="277" t="s">
        <v>199</v>
      </c>
      <c r="T266" s="277" t="s">
        <v>209</v>
      </c>
      <c r="U266" s="278">
        <v>3</v>
      </c>
      <c r="V266" s="361" t="str">
        <f t="shared" si="118"/>
        <v>tbsp</v>
      </c>
      <c r="W266" s="279">
        <f t="shared" si="119"/>
        <v>60</v>
      </c>
      <c r="X266" s="279">
        <f t="shared" si="120"/>
        <v>0</v>
      </c>
      <c r="Y266" s="279">
        <f t="shared" si="121"/>
        <v>0</v>
      </c>
      <c r="Z266" s="279">
        <f t="shared" si="122"/>
        <v>15</v>
      </c>
      <c r="AA266" s="279">
        <f t="shared" si="123"/>
        <v>13.5</v>
      </c>
      <c r="AB266" s="584">
        <f t="shared" si="124"/>
        <v>0</v>
      </c>
      <c r="AC266" s="277"/>
    </row>
    <row r="267" spans="5:29">
      <c r="E267" s="241" t="s">
        <v>874</v>
      </c>
      <c r="F267" s="144">
        <v>1</v>
      </c>
      <c r="G267" s="252" t="s">
        <v>340</v>
      </c>
      <c r="H267" s="241">
        <v>80</v>
      </c>
      <c r="I267" s="241">
        <v>1</v>
      </c>
      <c r="J267" s="241">
        <v>4</v>
      </c>
      <c r="K267" s="241">
        <v>10</v>
      </c>
      <c r="L267" s="241">
        <v>0</v>
      </c>
      <c r="M267" s="665">
        <v>10</v>
      </c>
      <c r="N267" s="241"/>
      <c r="O267" s="241"/>
      <c r="Q267" s="288">
        <v>46051</v>
      </c>
      <c r="R267" s="276">
        <v>0.95833333333333304</v>
      </c>
      <c r="S267" s="277" t="s">
        <v>199</v>
      </c>
      <c r="T267" s="277" t="s">
        <v>753</v>
      </c>
      <c r="U267" s="278">
        <v>259</v>
      </c>
      <c r="V267" s="361" t="str">
        <f t="shared" si="118"/>
        <v>g</v>
      </c>
      <c r="W267" s="279">
        <f t="shared" si="119"/>
        <v>336.7</v>
      </c>
      <c r="X267" s="279">
        <f t="shared" si="120"/>
        <v>2.59</v>
      </c>
      <c r="Y267" s="279">
        <f t="shared" si="121"/>
        <v>0</v>
      </c>
      <c r="Z267" s="279">
        <f t="shared" si="122"/>
        <v>80.289999999999992</v>
      </c>
      <c r="AA267" s="279">
        <f t="shared" si="123"/>
        <v>7.77</v>
      </c>
      <c r="AB267" s="584">
        <f t="shared" si="124"/>
        <v>0</v>
      </c>
      <c r="AC267" s="277"/>
    </row>
    <row r="268" spans="5:29">
      <c r="E268" s="241" t="s">
        <v>878</v>
      </c>
      <c r="F268" s="144">
        <v>1</v>
      </c>
      <c r="G268" s="252" t="s">
        <v>213</v>
      </c>
      <c r="H268" s="241">
        <v>60</v>
      </c>
      <c r="I268" s="241">
        <v>0</v>
      </c>
      <c r="J268" s="241">
        <v>0</v>
      </c>
      <c r="K268" s="241">
        <v>16</v>
      </c>
      <c r="L268" s="241">
        <v>0</v>
      </c>
      <c r="M268" s="665">
        <v>0</v>
      </c>
      <c r="N268" s="241"/>
      <c r="O268" s="241"/>
      <c r="Q268" s="288">
        <v>46051</v>
      </c>
      <c r="R268" s="276">
        <v>0.95833333333333304</v>
      </c>
      <c r="S268" s="277" t="s">
        <v>199</v>
      </c>
      <c r="T268" s="277" t="s">
        <v>214</v>
      </c>
      <c r="U268" s="278">
        <v>1</v>
      </c>
      <c r="V268" s="361" t="str">
        <f t="shared" si="118"/>
        <v>bar</v>
      </c>
      <c r="W268" s="279">
        <f t="shared" si="119"/>
        <v>67</v>
      </c>
      <c r="X268" s="279">
        <f t="shared" si="120"/>
        <v>1</v>
      </c>
      <c r="Y268" s="279">
        <f t="shared" si="121"/>
        <v>3.5</v>
      </c>
      <c r="Z268" s="279">
        <f t="shared" si="122"/>
        <v>22</v>
      </c>
      <c r="AA268" s="279">
        <f t="shared" si="123"/>
        <v>0.3</v>
      </c>
      <c r="AB268" s="684">
        <f t="shared" si="124"/>
        <v>0</v>
      </c>
      <c r="AC268" s="277"/>
    </row>
    <row r="269" spans="5:29">
      <c r="E269" s="241" t="s">
        <v>875</v>
      </c>
      <c r="F269" s="144">
        <v>1</v>
      </c>
      <c r="G269" s="252" t="s">
        <v>340</v>
      </c>
      <c r="H269" s="241">
        <v>80</v>
      </c>
      <c r="I269" s="241">
        <v>1</v>
      </c>
      <c r="J269" s="241">
        <v>4</v>
      </c>
      <c r="K269" s="241">
        <v>11</v>
      </c>
      <c r="L269" s="241">
        <v>0</v>
      </c>
      <c r="M269" s="665">
        <v>5</v>
      </c>
      <c r="N269" s="241"/>
      <c r="O269" s="241"/>
      <c r="Q269" s="280"/>
      <c r="R269" s="281" t="s">
        <v>217</v>
      </c>
      <c r="S269" s="294"/>
      <c r="T269" s="282"/>
      <c r="U269" s="282"/>
      <c r="V269" s="364"/>
      <c r="W269" s="283">
        <f t="shared" ref="W269:AB269" si="125">SUM(W255:W268)</f>
        <v>2767.8999999999996</v>
      </c>
      <c r="X269" s="283">
        <f t="shared" si="125"/>
        <v>154.94</v>
      </c>
      <c r="Y269" s="283">
        <f t="shared" si="125"/>
        <v>75.218000000000004</v>
      </c>
      <c r="Z269" s="283">
        <f t="shared" si="125"/>
        <v>378.34000000000003</v>
      </c>
      <c r="AA269" s="683">
        <f t="shared" si="125"/>
        <v>47.17</v>
      </c>
      <c r="AB269" s="691">
        <f t="shared" si="125"/>
        <v>80</v>
      </c>
      <c r="AC269" s="281"/>
    </row>
    <row r="270" spans="5:29">
      <c r="E270" s="241" t="s">
        <v>879</v>
      </c>
      <c r="F270" s="144">
        <v>1</v>
      </c>
      <c r="G270" s="252" t="s">
        <v>276</v>
      </c>
      <c r="H270" s="241">
        <v>108</v>
      </c>
      <c r="I270" s="241">
        <v>1.2</v>
      </c>
      <c r="J270" s="241">
        <v>4.7</v>
      </c>
      <c r="K270" s="241">
        <v>15.2</v>
      </c>
      <c r="L270" s="241">
        <v>0</v>
      </c>
      <c r="M270" s="665">
        <v>0</v>
      </c>
      <c r="N270" s="241"/>
      <c r="O270" s="241"/>
      <c r="Q270" s="280"/>
      <c r="R270" s="281" t="s">
        <v>220</v>
      </c>
      <c r="S270" s="294"/>
      <c r="T270" s="282"/>
      <c r="U270" s="282"/>
      <c r="V270" s="364"/>
      <c r="W270" s="284">
        <f>$B$27</f>
        <v>2834.5625</v>
      </c>
      <c r="X270" s="284">
        <f>$B$29</f>
        <v>154</v>
      </c>
      <c r="Y270" s="284">
        <f>$B$30</f>
        <v>63.91</v>
      </c>
      <c r="Z270" s="284">
        <f>$B$31</f>
        <v>410.84312499999999</v>
      </c>
      <c r="AA270" s="690">
        <f>$B$32</f>
        <v>39.683875</v>
      </c>
      <c r="AB270" s="695">
        <f>$B$39</f>
        <v>500</v>
      </c>
      <c r="AC270" s="281"/>
    </row>
    <row r="271" spans="5:29">
      <c r="E271" s="241" t="s">
        <v>891</v>
      </c>
      <c r="F271" s="144">
        <v>1</v>
      </c>
      <c r="G271" s="252" t="s">
        <v>283</v>
      </c>
      <c r="H271" s="241">
        <v>280</v>
      </c>
      <c r="I271" s="241">
        <v>22</v>
      </c>
      <c r="J271" s="241">
        <v>8</v>
      </c>
      <c r="K271" s="241">
        <v>32</v>
      </c>
      <c r="L271" s="241">
        <v>2</v>
      </c>
      <c r="M271" s="665">
        <v>0</v>
      </c>
      <c r="N271" s="241"/>
      <c r="O271" s="241"/>
      <c r="Q271" s="280"/>
      <c r="R271" s="281" t="s">
        <v>222</v>
      </c>
      <c r="S271" s="294"/>
      <c r="T271" s="282"/>
      <c r="U271" s="282"/>
      <c r="V271" s="364"/>
      <c r="W271" s="284">
        <f t="shared" ref="W271:AB271" si="126">W269-W270</f>
        <v>-66.662500000000364</v>
      </c>
      <c r="X271" s="284">
        <f t="shared" si="126"/>
        <v>0.93999999999999773</v>
      </c>
      <c r="Y271" s="284">
        <f t="shared" si="126"/>
        <v>11.308000000000007</v>
      </c>
      <c r="Z271" s="284">
        <f t="shared" si="126"/>
        <v>-32.503124999999955</v>
      </c>
      <c r="AA271" s="690">
        <f t="shared" si="126"/>
        <v>7.4861250000000013</v>
      </c>
      <c r="AB271" s="689">
        <f t="shared" si="126"/>
        <v>-420</v>
      </c>
      <c r="AC271" s="281"/>
    </row>
    <row r="272" spans="5:29">
      <c r="E272" s="241" t="s">
        <v>892</v>
      </c>
      <c r="F272" s="144">
        <v>1</v>
      </c>
      <c r="G272" s="252" t="s">
        <v>276</v>
      </c>
      <c r="H272" s="241">
        <v>320</v>
      </c>
      <c r="I272" s="241">
        <v>12</v>
      </c>
      <c r="J272" s="241">
        <v>18</v>
      </c>
      <c r="K272" s="241">
        <v>28</v>
      </c>
      <c r="L272" s="241">
        <v>1</v>
      </c>
      <c r="M272" s="665">
        <v>0</v>
      </c>
      <c r="N272" s="241"/>
      <c r="O272" s="241"/>
      <c r="Q272" s="288">
        <v>46052</v>
      </c>
      <c r="R272" s="276">
        <v>0.33333333333333331</v>
      </c>
      <c r="S272" s="277" t="s">
        <v>178</v>
      </c>
      <c r="T272" s="277" t="s">
        <v>176</v>
      </c>
      <c r="U272" s="278">
        <v>50</v>
      </c>
      <c r="V272" s="361" t="str">
        <f t="shared" ref="V272:V288" si="127">IFERROR(VLOOKUP(T272, $E$5:$L$818, 3, FALSE), "")</f>
        <v>g</v>
      </c>
      <c r="W272" s="279">
        <f t="shared" ref="W272:W288" si="128">IFERROR(VLOOKUP(T272, $E$5:$L$818, 4, FALSE) * (U272 / VLOOKUP(T272, $E$5:$L$818, 2, FALSE)), "")</f>
        <v>82.5</v>
      </c>
      <c r="X272" s="279">
        <f t="shared" ref="X272:X288" si="129">IFERROR(VLOOKUP(T272, $E$5:$L$818, 5, FALSE) * (U272 / VLOOKUP(T272, $E$5:$L$818, 2, FALSE)), "")</f>
        <v>12.5</v>
      </c>
      <c r="Y272" s="279">
        <f t="shared" ref="Y272:Y288" si="130">IFERROR(VLOOKUP(T272, $E$5:$L$818, 6, FALSE) * (U272 / VLOOKUP(T272, $E$5:$L$818, 2, FALSE)), "")</f>
        <v>1.8</v>
      </c>
      <c r="Z272" s="279">
        <f t="shared" ref="Z272:Z288" si="131">IFERROR(VLOOKUP(T272, $E$5:$L$818, 7, FALSE) * (U272 / VLOOKUP(T272, $E$5:$L$818, 2, FALSE)), "")</f>
        <v>0</v>
      </c>
      <c r="AA272" s="279">
        <f t="shared" ref="AA272:AA288" si="132">IFERROR(VLOOKUP(T272, $E$5:$L$818, 8, FALSE) * (U272 / VLOOKUP(T272, $E$5:$L$818, 2, FALSE)), "")</f>
        <v>0</v>
      </c>
      <c r="AB272" s="674">
        <f t="shared" ref="AB272:AB288" si="133">IFERROR(VLOOKUP(T272, $E$5:$O$818, 9, FALSE) * (U272 / VLOOKUP(T272, $E$5:$O$818, 2, FALSE)), "")</f>
        <v>0</v>
      </c>
      <c r="AC272" s="277"/>
    </row>
    <row r="273" spans="5:29">
      <c r="E273" s="241" t="s">
        <v>893</v>
      </c>
      <c r="F273" s="144">
        <v>50</v>
      </c>
      <c r="G273" s="252" t="s">
        <v>177</v>
      </c>
      <c r="H273" s="241">
        <v>10</v>
      </c>
      <c r="I273" s="241">
        <v>1</v>
      </c>
      <c r="J273" s="241">
        <v>0</v>
      </c>
      <c r="K273" s="241">
        <v>2</v>
      </c>
      <c r="L273" s="241">
        <v>1</v>
      </c>
      <c r="M273" s="665">
        <v>0</v>
      </c>
      <c r="N273" s="241"/>
      <c r="O273" s="241"/>
      <c r="Q273" s="288">
        <v>46052</v>
      </c>
      <c r="R273" s="276">
        <v>0.33333333333333331</v>
      </c>
      <c r="S273" s="277" t="s">
        <v>178</v>
      </c>
      <c r="T273" s="277" t="s">
        <v>180</v>
      </c>
      <c r="U273" s="278">
        <v>100</v>
      </c>
      <c r="V273" s="361" t="str">
        <f t="shared" si="127"/>
        <v>g</v>
      </c>
      <c r="W273" s="279">
        <f t="shared" si="128"/>
        <v>130</v>
      </c>
      <c r="X273" s="279">
        <f t="shared" si="129"/>
        <v>2.7</v>
      </c>
      <c r="Y273" s="279">
        <f t="shared" si="130"/>
        <v>0.3</v>
      </c>
      <c r="Z273" s="279">
        <f t="shared" si="131"/>
        <v>28</v>
      </c>
      <c r="AA273" s="279">
        <f t="shared" si="132"/>
        <v>0.4</v>
      </c>
      <c r="AB273" s="584">
        <f t="shared" si="133"/>
        <v>0</v>
      </c>
      <c r="AC273" s="277"/>
    </row>
    <row r="274" spans="5:29">
      <c r="E274" s="241" t="s">
        <v>894</v>
      </c>
      <c r="F274" s="144">
        <v>3</v>
      </c>
      <c r="G274" s="252" t="s">
        <v>895</v>
      </c>
      <c r="H274" s="241">
        <v>51</v>
      </c>
      <c r="I274" s="241">
        <v>11</v>
      </c>
      <c r="J274" s="241">
        <v>0</v>
      </c>
      <c r="K274" s="241">
        <v>1</v>
      </c>
      <c r="L274" s="241">
        <v>0</v>
      </c>
      <c r="M274" s="665">
        <v>0</v>
      </c>
      <c r="N274" s="241"/>
      <c r="O274" s="241"/>
      <c r="Q274" s="288">
        <v>46052</v>
      </c>
      <c r="R274" s="276">
        <v>0.33333333333333331</v>
      </c>
      <c r="S274" s="277" t="s">
        <v>178</v>
      </c>
      <c r="T274" s="277" t="s">
        <v>374</v>
      </c>
      <c r="U274" s="278">
        <v>2</v>
      </c>
      <c r="V274" s="361" t="str">
        <f t="shared" si="127"/>
        <v>egg</v>
      </c>
      <c r="W274" s="279">
        <f t="shared" si="128"/>
        <v>160</v>
      </c>
      <c r="X274" s="279">
        <f t="shared" si="129"/>
        <v>14</v>
      </c>
      <c r="Y274" s="279">
        <f t="shared" si="130"/>
        <v>12</v>
      </c>
      <c r="Z274" s="279">
        <f t="shared" si="131"/>
        <v>0</v>
      </c>
      <c r="AA274" s="279">
        <f t="shared" si="132"/>
        <v>0</v>
      </c>
      <c r="AB274" s="584">
        <f t="shared" si="133"/>
        <v>80</v>
      </c>
      <c r="AC274" s="277"/>
    </row>
    <row r="275" spans="5:29">
      <c r="E275" s="241" t="s">
        <v>896</v>
      </c>
      <c r="F275" s="144">
        <v>10</v>
      </c>
      <c r="G275" s="252" t="s">
        <v>281</v>
      </c>
      <c r="H275" s="241">
        <v>30</v>
      </c>
      <c r="I275" s="241">
        <v>1</v>
      </c>
      <c r="J275" s="241">
        <v>0</v>
      </c>
      <c r="K275" s="241">
        <v>6</v>
      </c>
      <c r="L275" s="241">
        <v>2</v>
      </c>
      <c r="M275" s="665">
        <v>0</v>
      </c>
      <c r="N275" s="241"/>
      <c r="O275" s="241"/>
      <c r="Q275" s="288">
        <v>46052</v>
      </c>
      <c r="R275" s="276">
        <v>0.33333333333333331</v>
      </c>
      <c r="S275" s="277" t="s">
        <v>178</v>
      </c>
      <c r="T275" s="277" t="s">
        <v>418</v>
      </c>
      <c r="U275" s="278">
        <v>0.5</v>
      </c>
      <c r="V275" s="361" t="str">
        <f t="shared" si="127"/>
        <v>potato</v>
      </c>
      <c r="W275" s="279">
        <f t="shared" si="128"/>
        <v>75</v>
      </c>
      <c r="X275" s="279">
        <f t="shared" si="129"/>
        <v>1</v>
      </c>
      <c r="Y275" s="279">
        <f t="shared" si="130"/>
        <v>0</v>
      </c>
      <c r="Z275" s="279">
        <f t="shared" si="131"/>
        <v>17.5</v>
      </c>
      <c r="AA275" s="279">
        <f t="shared" si="132"/>
        <v>2.5</v>
      </c>
      <c r="AB275" s="584">
        <f t="shared" si="133"/>
        <v>0</v>
      </c>
      <c r="AC275" s="277"/>
    </row>
    <row r="276" spans="5:29">
      <c r="E276" s="241" t="s">
        <v>897</v>
      </c>
      <c r="F276" s="144">
        <v>1</v>
      </c>
      <c r="G276" s="252" t="s">
        <v>809</v>
      </c>
      <c r="H276" s="241">
        <v>50</v>
      </c>
      <c r="I276" s="241">
        <v>1</v>
      </c>
      <c r="J276" s="241">
        <v>2</v>
      </c>
      <c r="K276" s="241">
        <v>7</v>
      </c>
      <c r="L276" s="241">
        <v>0</v>
      </c>
      <c r="M276" s="665">
        <v>0</v>
      </c>
      <c r="N276" s="241"/>
      <c r="O276" s="241"/>
      <c r="Q276" s="288">
        <v>46052</v>
      </c>
      <c r="R276" s="276">
        <v>0.375</v>
      </c>
      <c r="S276" s="277" t="s">
        <v>178</v>
      </c>
      <c r="T276" s="277" t="s">
        <v>814</v>
      </c>
      <c r="U276" s="278">
        <v>1</v>
      </c>
      <c r="V276" s="361" t="str">
        <f t="shared" si="127"/>
        <v>bottle</v>
      </c>
      <c r="W276" s="279">
        <f t="shared" si="128"/>
        <v>260</v>
      </c>
      <c r="X276" s="279">
        <f t="shared" si="129"/>
        <v>33</v>
      </c>
      <c r="Y276" s="279">
        <f t="shared" si="130"/>
        <v>6</v>
      </c>
      <c r="Z276" s="279">
        <f t="shared" si="131"/>
        <v>20</v>
      </c>
      <c r="AA276" s="279">
        <f t="shared" si="132"/>
        <v>0</v>
      </c>
      <c r="AB276" s="584">
        <f t="shared" si="133"/>
        <v>0</v>
      </c>
      <c r="AC276" s="277"/>
    </row>
    <row r="277" spans="5:29">
      <c r="E277" s="241" t="s">
        <v>898</v>
      </c>
      <c r="F277" s="144">
        <v>153</v>
      </c>
      <c r="G277" s="252" t="s">
        <v>177</v>
      </c>
      <c r="H277" s="241">
        <v>382</v>
      </c>
      <c r="I277" s="241">
        <v>47</v>
      </c>
      <c r="J277" s="241">
        <v>20</v>
      </c>
      <c r="K277" s="241">
        <v>0</v>
      </c>
      <c r="L277" s="241">
        <v>0</v>
      </c>
      <c r="M277" s="665">
        <v>0</v>
      </c>
      <c r="N277" s="241"/>
      <c r="O277" s="241"/>
      <c r="Q277" s="288">
        <v>46052</v>
      </c>
      <c r="R277" s="276">
        <v>0.375</v>
      </c>
      <c r="S277" s="277" t="s">
        <v>178</v>
      </c>
      <c r="T277" s="277" t="s">
        <v>374</v>
      </c>
      <c r="U277" s="278">
        <v>1</v>
      </c>
      <c r="V277" s="361" t="str">
        <f t="shared" si="127"/>
        <v>egg</v>
      </c>
      <c r="W277" s="279">
        <f t="shared" si="128"/>
        <v>80</v>
      </c>
      <c r="X277" s="279">
        <f t="shared" si="129"/>
        <v>7</v>
      </c>
      <c r="Y277" s="279">
        <f t="shared" si="130"/>
        <v>6</v>
      </c>
      <c r="Z277" s="279">
        <f t="shared" si="131"/>
        <v>0</v>
      </c>
      <c r="AA277" s="279">
        <f t="shared" si="132"/>
        <v>0</v>
      </c>
      <c r="AB277" s="584">
        <f t="shared" si="133"/>
        <v>40</v>
      </c>
      <c r="AC277" s="277"/>
    </row>
    <row r="278" spans="5:29">
      <c r="E278" s="241" t="s">
        <v>899</v>
      </c>
      <c r="F278" s="144">
        <v>50</v>
      </c>
      <c r="G278" s="252" t="s">
        <v>177</v>
      </c>
      <c r="H278" s="241">
        <v>210</v>
      </c>
      <c r="I278" s="241">
        <v>6</v>
      </c>
      <c r="J278" s="241">
        <v>5</v>
      </c>
      <c r="K278" s="241">
        <v>35</v>
      </c>
      <c r="L278" s="241">
        <v>4</v>
      </c>
      <c r="M278" s="665">
        <v>0</v>
      </c>
      <c r="N278" s="241"/>
      <c r="O278" s="241"/>
      <c r="Q278" s="288">
        <v>46052</v>
      </c>
      <c r="R278" s="276">
        <v>0.45833333333333331</v>
      </c>
      <c r="S278" s="277" t="s">
        <v>289</v>
      </c>
      <c r="T278" s="277" t="s">
        <v>455</v>
      </c>
      <c r="U278" s="278">
        <v>1</v>
      </c>
      <c r="V278" s="361" t="str">
        <f t="shared" si="127"/>
        <v/>
      </c>
      <c r="W278" s="279" t="str">
        <f t="shared" si="128"/>
        <v/>
      </c>
      <c r="X278" s="279" t="str">
        <f t="shared" si="129"/>
        <v/>
      </c>
      <c r="Y278" s="279" t="str">
        <f t="shared" si="130"/>
        <v/>
      </c>
      <c r="Z278" s="279" t="str">
        <f t="shared" si="131"/>
        <v/>
      </c>
      <c r="AA278" s="279" t="str">
        <f t="shared" si="132"/>
        <v/>
      </c>
      <c r="AB278" s="584" t="str">
        <f t="shared" si="133"/>
        <v/>
      </c>
      <c r="AC278" s="277"/>
    </row>
    <row r="279" spans="5:29">
      <c r="E279" s="241" t="s">
        <v>900</v>
      </c>
      <c r="F279" s="144">
        <v>15</v>
      </c>
      <c r="G279" s="252" t="s">
        <v>177</v>
      </c>
      <c r="H279" s="241">
        <v>90</v>
      </c>
      <c r="I279" s="241">
        <v>4</v>
      </c>
      <c r="J279" s="241">
        <v>8</v>
      </c>
      <c r="K279" s="241">
        <v>3</v>
      </c>
      <c r="L279" s="241">
        <v>0</v>
      </c>
      <c r="M279" s="665">
        <v>0</v>
      </c>
      <c r="N279" s="241"/>
      <c r="O279" s="241"/>
      <c r="Q279" s="288">
        <v>46052</v>
      </c>
      <c r="R279" s="276">
        <v>0.5</v>
      </c>
      <c r="S279" s="277" t="s">
        <v>185</v>
      </c>
      <c r="T279" s="277" t="s">
        <v>247</v>
      </c>
      <c r="U279" s="278">
        <v>2</v>
      </c>
      <c r="V279" s="361" t="str">
        <f t="shared" si="127"/>
        <v>large bowl</v>
      </c>
      <c r="W279" s="279">
        <f t="shared" si="128"/>
        <v>800</v>
      </c>
      <c r="X279" s="279">
        <f t="shared" si="129"/>
        <v>40</v>
      </c>
      <c r="Y279" s="279">
        <f t="shared" si="130"/>
        <v>20</v>
      </c>
      <c r="Z279" s="279">
        <f t="shared" si="131"/>
        <v>110</v>
      </c>
      <c r="AA279" s="279">
        <f t="shared" si="132"/>
        <v>6</v>
      </c>
      <c r="AB279" s="584">
        <f t="shared" si="133"/>
        <v>0</v>
      </c>
      <c r="AC279" s="277"/>
    </row>
    <row r="280" spans="5:29">
      <c r="E280" s="241" t="s">
        <v>901</v>
      </c>
      <c r="F280" s="144">
        <v>130</v>
      </c>
      <c r="G280" s="252" t="s">
        <v>177</v>
      </c>
      <c r="H280" s="241">
        <v>416</v>
      </c>
      <c r="I280" s="241">
        <v>0</v>
      </c>
      <c r="J280" s="241">
        <v>0</v>
      </c>
      <c r="K280" s="241">
        <v>104</v>
      </c>
      <c r="L280" s="241">
        <v>0</v>
      </c>
      <c r="M280" s="665">
        <v>0</v>
      </c>
      <c r="N280" s="241"/>
      <c r="O280" s="241"/>
      <c r="Q280" s="288">
        <v>46052</v>
      </c>
      <c r="R280" s="276">
        <v>0.5</v>
      </c>
      <c r="S280" s="277" t="s">
        <v>289</v>
      </c>
      <c r="T280" s="277" t="s">
        <v>214</v>
      </c>
      <c r="U280" s="278">
        <v>0.67</v>
      </c>
      <c r="V280" s="361" t="str">
        <f t="shared" si="127"/>
        <v>bar</v>
      </c>
      <c r="W280" s="279">
        <f t="shared" si="128"/>
        <v>44.89</v>
      </c>
      <c r="X280" s="279">
        <f t="shared" si="129"/>
        <v>0.67</v>
      </c>
      <c r="Y280" s="279">
        <f t="shared" si="130"/>
        <v>2.3450000000000002</v>
      </c>
      <c r="Z280" s="279">
        <f t="shared" si="131"/>
        <v>14.74</v>
      </c>
      <c r="AA280" s="279">
        <f t="shared" si="132"/>
        <v>0.20100000000000001</v>
      </c>
      <c r="AB280" s="584">
        <f t="shared" si="133"/>
        <v>0</v>
      </c>
      <c r="AC280" s="277"/>
    </row>
    <row r="281" spans="5:29">
      <c r="E281" s="241" t="s">
        <v>902</v>
      </c>
      <c r="F281" s="144">
        <v>1</v>
      </c>
      <c r="G281" s="252" t="s">
        <v>340</v>
      </c>
      <c r="H281" s="241">
        <v>70</v>
      </c>
      <c r="I281" s="241">
        <v>1</v>
      </c>
      <c r="J281" s="241">
        <v>4.5</v>
      </c>
      <c r="K281" s="241">
        <v>7</v>
      </c>
      <c r="L281" s="241">
        <v>0</v>
      </c>
      <c r="M281" s="665">
        <v>0</v>
      </c>
      <c r="N281" s="241"/>
      <c r="O281" s="241"/>
      <c r="Q281" s="288">
        <v>46052</v>
      </c>
      <c r="R281" s="276">
        <v>0.5</v>
      </c>
      <c r="S281" s="277" t="s">
        <v>289</v>
      </c>
      <c r="T281" s="277" t="s">
        <v>219</v>
      </c>
      <c r="U281" s="278">
        <v>1</v>
      </c>
      <c r="V281" s="361" t="str">
        <f t="shared" si="127"/>
        <v>bottle</v>
      </c>
      <c r="W281" s="279">
        <f t="shared" si="128"/>
        <v>0</v>
      </c>
      <c r="X281" s="279">
        <f t="shared" si="129"/>
        <v>0</v>
      </c>
      <c r="Y281" s="279">
        <f t="shared" si="130"/>
        <v>0</v>
      </c>
      <c r="Z281" s="279">
        <f t="shared" si="131"/>
        <v>0</v>
      </c>
      <c r="AA281" s="279">
        <f t="shared" si="132"/>
        <v>0</v>
      </c>
      <c r="AB281" s="584">
        <f t="shared" si="133"/>
        <v>0</v>
      </c>
      <c r="AC281" s="277"/>
    </row>
    <row r="282" spans="5:29">
      <c r="E282" s="241" t="s">
        <v>907</v>
      </c>
      <c r="F282" s="144">
        <v>6</v>
      </c>
      <c r="G282" s="252" t="s">
        <v>281</v>
      </c>
      <c r="H282" s="241">
        <v>390</v>
      </c>
      <c r="I282" s="241">
        <v>42</v>
      </c>
      <c r="J282" s="241">
        <v>20</v>
      </c>
      <c r="K282" s="241">
        <v>12</v>
      </c>
      <c r="L282" s="241">
        <v>0</v>
      </c>
      <c r="M282" s="665">
        <v>0</v>
      </c>
      <c r="N282" s="241"/>
      <c r="O282" s="241"/>
      <c r="Q282" s="288">
        <v>46052</v>
      </c>
      <c r="R282" s="276">
        <v>0.625</v>
      </c>
      <c r="S282" s="277" t="s">
        <v>289</v>
      </c>
      <c r="T282" s="277" t="s">
        <v>190</v>
      </c>
      <c r="U282" s="278">
        <v>2</v>
      </c>
      <c r="V282" s="361" t="str">
        <f t="shared" si="127"/>
        <v>medium</v>
      </c>
      <c r="W282" s="279">
        <f t="shared" si="128"/>
        <v>124</v>
      </c>
      <c r="X282" s="279">
        <f t="shared" si="129"/>
        <v>2.4</v>
      </c>
      <c r="Y282" s="279">
        <f t="shared" si="130"/>
        <v>0.4</v>
      </c>
      <c r="Z282" s="279">
        <f t="shared" si="131"/>
        <v>30.8</v>
      </c>
      <c r="AA282" s="279">
        <f t="shared" si="132"/>
        <v>6.2</v>
      </c>
      <c r="AB282" s="584">
        <f t="shared" si="133"/>
        <v>0</v>
      </c>
      <c r="AC282" s="277"/>
    </row>
    <row r="283" spans="5:29">
      <c r="E283" s="241" t="s">
        <v>912</v>
      </c>
      <c r="F283" s="144">
        <v>1</v>
      </c>
      <c r="G283" s="252" t="s">
        <v>276</v>
      </c>
      <c r="H283" s="241">
        <v>320</v>
      </c>
      <c r="I283" s="241">
        <v>18</v>
      </c>
      <c r="J283" s="241">
        <v>10</v>
      </c>
      <c r="K283" s="241">
        <v>38</v>
      </c>
      <c r="L283" s="241">
        <v>2</v>
      </c>
      <c r="M283" s="665">
        <v>0</v>
      </c>
      <c r="N283" s="241"/>
      <c r="O283" s="241"/>
      <c r="Q283" s="288">
        <v>46052</v>
      </c>
      <c r="R283" s="276">
        <v>0.66666666666666663</v>
      </c>
      <c r="S283" s="277" t="s">
        <v>289</v>
      </c>
      <c r="T283" s="277" t="s">
        <v>190</v>
      </c>
      <c r="U283" s="278">
        <v>1</v>
      </c>
      <c r="V283" s="361" t="str">
        <f t="shared" si="127"/>
        <v>medium</v>
      </c>
      <c r="W283" s="279">
        <f t="shared" si="128"/>
        <v>62</v>
      </c>
      <c r="X283" s="279">
        <f t="shared" si="129"/>
        <v>1.2</v>
      </c>
      <c r="Y283" s="279">
        <f t="shared" si="130"/>
        <v>0.2</v>
      </c>
      <c r="Z283" s="279">
        <f t="shared" si="131"/>
        <v>15.4</v>
      </c>
      <c r="AA283" s="279">
        <f t="shared" si="132"/>
        <v>3.1</v>
      </c>
      <c r="AB283" s="584">
        <f t="shared" si="133"/>
        <v>0</v>
      </c>
      <c r="AC283" s="277"/>
    </row>
    <row r="284" spans="5:29">
      <c r="E284" s="241" t="s">
        <v>913</v>
      </c>
      <c r="F284" s="144">
        <v>1</v>
      </c>
      <c r="G284" s="252" t="s">
        <v>340</v>
      </c>
      <c r="H284" s="241">
        <v>130</v>
      </c>
      <c r="I284" s="241">
        <v>2</v>
      </c>
      <c r="J284" s="241">
        <v>7</v>
      </c>
      <c r="K284" s="241">
        <v>15</v>
      </c>
      <c r="L284" s="241">
        <v>1</v>
      </c>
      <c r="M284" s="665">
        <v>0</v>
      </c>
      <c r="N284" s="241"/>
      <c r="O284" s="241"/>
      <c r="Q284" s="288">
        <v>46052</v>
      </c>
      <c r="R284" s="276">
        <v>0.70833333333333304</v>
      </c>
      <c r="S284" s="277" t="s">
        <v>289</v>
      </c>
      <c r="T284" s="277" t="s">
        <v>815</v>
      </c>
      <c r="U284" s="278">
        <v>0.33</v>
      </c>
      <c r="V284" s="361" t="str">
        <f t="shared" si="127"/>
        <v>piece</v>
      </c>
      <c r="W284" s="279">
        <f t="shared" si="128"/>
        <v>39.6</v>
      </c>
      <c r="X284" s="279">
        <f t="shared" si="129"/>
        <v>0.66</v>
      </c>
      <c r="Y284" s="279">
        <f t="shared" si="130"/>
        <v>1.98</v>
      </c>
      <c r="Z284" s="279">
        <f t="shared" si="131"/>
        <v>4.62</v>
      </c>
      <c r="AA284" s="279">
        <f t="shared" si="132"/>
        <v>0.16500000000000001</v>
      </c>
      <c r="AB284" s="584">
        <f t="shared" si="133"/>
        <v>0</v>
      </c>
      <c r="AC284" s="277"/>
    </row>
    <row r="285" spans="5:29">
      <c r="E285" s="241" t="s">
        <v>914</v>
      </c>
      <c r="F285" s="144">
        <v>1</v>
      </c>
      <c r="G285" s="252" t="s">
        <v>276</v>
      </c>
      <c r="H285" s="241">
        <v>270</v>
      </c>
      <c r="I285" s="241">
        <v>4</v>
      </c>
      <c r="J285" s="241">
        <v>14</v>
      </c>
      <c r="K285" s="241">
        <v>33</v>
      </c>
      <c r="L285" s="241">
        <v>1</v>
      </c>
      <c r="M285" s="665">
        <v>0</v>
      </c>
      <c r="N285" s="241"/>
      <c r="O285" s="241"/>
      <c r="Q285" s="288">
        <v>46052</v>
      </c>
      <c r="R285" s="276">
        <v>0.79166666666666663</v>
      </c>
      <c r="S285" s="277" t="s">
        <v>289</v>
      </c>
      <c r="T285" s="277" t="s">
        <v>374</v>
      </c>
      <c r="U285" s="278">
        <v>1</v>
      </c>
      <c r="V285" s="361" t="str">
        <f t="shared" si="127"/>
        <v>egg</v>
      </c>
      <c r="W285" s="279">
        <f t="shared" si="128"/>
        <v>80</v>
      </c>
      <c r="X285" s="279">
        <f t="shared" si="129"/>
        <v>7</v>
      </c>
      <c r="Y285" s="279">
        <f t="shared" si="130"/>
        <v>6</v>
      </c>
      <c r="Z285" s="279">
        <f t="shared" si="131"/>
        <v>0</v>
      </c>
      <c r="AA285" s="279">
        <f t="shared" si="132"/>
        <v>0</v>
      </c>
      <c r="AB285" s="584">
        <f t="shared" si="133"/>
        <v>40</v>
      </c>
      <c r="AC285" s="277"/>
    </row>
    <row r="286" spans="5:29">
      <c r="E286" s="241" t="s">
        <v>908</v>
      </c>
      <c r="F286" s="144">
        <v>80</v>
      </c>
      <c r="G286" s="252" t="s">
        <v>177</v>
      </c>
      <c r="H286" s="241">
        <v>130</v>
      </c>
      <c r="I286" s="241">
        <v>4</v>
      </c>
      <c r="J286" s="241">
        <v>4</v>
      </c>
      <c r="K286" s="241">
        <v>19</v>
      </c>
      <c r="L286" s="241">
        <v>2</v>
      </c>
      <c r="M286" s="665">
        <v>0</v>
      </c>
      <c r="N286" s="241"/>
      <c r="O286" s="241"/>
      <c r="Q286" s="288">
        <v>46052</v>
      </c>
      <c r="R286" s="276">
        <v>0.79166666666666663</v>
      </c>
      <c r="S286" s="277" t="s">
        <v>199</v>
      </c>
      <c r="T286" s="277" t="s">
        <v>176</v>
      </c>
      <c r="U286" s="278">
        <v>258</v>
      </c>
      <c r="V286" s="361" t="str">
        <f t="shared" si="127"/>
        <v>g</v>
      </c>
      <c r="W286" s="279">
        <f t="shared" si="128"/>
        <v>425.7</v>
      </c>
      <c r="X286" s="279">
        <f t="shared" si="129"/>
        <v>64.5</v>
      </c>
      <c r="Y286" s="279">
        <f t="shared" si="130"/>
        <v>9.2880000000000003</v>
      </c>
      <c r="Z286" s="279">
        <f t="shared" si="131"/>
        <v>0</v>
      </c>
      <c r="AA286" s="279">
        <f t="shared" si="132"/>
        <v>0</v>
      </c>
      <c r="AB286" s="584">
        <f t="shared" si="133"/>
        <v>0</v>
      </c>
      <c r="AC286" s="277"/>
    </row>
    <row r="287" spans="5:29">
      <c r="E287" s="241" t="s">
        <v>915</v>
      </c>
      <c r="F287" s="144">
        <v>1</v>
      </c>
      <c r="G287" s="252" t="s">
        <v>276</v>
      </c>
      <c r="H287" s="241">
        <v>245</v>
      </c>
      <c r="I287" s="241">
        <v>9</v>
      </c>
      <c r="J287" s="241">
        <v>2</v>
      </c>
      <c r="K287" s="241">
        <v>48</v>
      </c>
      <c r="L287" s="241">
        <v>2</v>
      </c>
      <c r="M287" s="665">
        <v>0</v>
      </c>
      <c r="N287" s="241"/>
      <c r="O287" s="241"/>
      <c r="Q287" s="288">
        <v>46052</v>
      </c>
      <c r="R287" s="276">
        <v>0.79166666666666663</v>
      </c>
      <c r="S287" s="277" t="s">
        <v>199</v>
      </c>
      <c r="T287" s="277" t="s">
        <v>209</v>
      </c>
      <c r="U287" s="278">
        <v>3</v>
      </c>
      <c r="V287" s="361" t="str">
        <f t="shared" si="127"/>
        <v>tbsp</v>
      </c>
      <c r="W287" s="279">
        <f t="shared" si="128"/>
        <v>60</v>
      </c>
      <c r="X287" s="279">
        <f t="shared" si="129"/>
        <v>0</v>
      </c>
      <c r="Y287" s="279">
        <f t="shared" si="130"/>
        <v>0</v>
      </c>
      <c r="Z287" s="279">
        <f t="shared" si="131"/>
        <v>15</v>
      </c>
      <c r="AA287" s="279">
        <f t="shared" si="132"/>
        <v>13.5</v>
      </c>
      <c r="AB287" s="584">
        <f t="shared" si="133"/>
        <v>0</v>
      </c>
      <c r="AC287" s="277"/>
    </row>
    <row r="288" spans="5:29">
      <c r="E288" s="241" t="s">
        <v>909</v>
      </c>
      <c r="F288" s="144">
        <v>100</v>
      </c>
      <c r="G288" s="252" t="s">
        <v>910</v>
      </c>
      <c r="H288" s="241">
        <v>97</v>
      </c>
      <c r="I288" s="241">
        <v>0</v>
      </c>
      <c r="J288" s="241">
        <v>0</v>
      </c>
      <c r="K288" s="241">
        <v>0</v>
      </c>
      <c r="L288" s="241">
        <v>0</v>
      </c>
      <c r="M288" s="665">
        <v>0</v>
      </c>
      <c r="N288" s="241"/>
      <c r="O288" s="241"/>
      <c r="Q288" s="288">
        <v>46052</v>
      </c>
      <c r="R288" s="276">
        <v>0.83333333333333337</v>
      </c>
      <c r="S288" s="277" t="s">
        <v>289</v>
      </c>
      <c r="T288" s="277" t="s">
        <v>457</v>
      </c>
      <c r="U288" s="278">
        <v>1</v>
      </c>
      <c r="V288" s="361" t="str">
        <f t="shared" si="127"/>
        <v>cup</v>
      </c>
      <c r="W288" s="279">
        <f t="shared" si="128"/>
        <v>700</v>
      </c>
      <c r="X288" s="279">
        <f t="shared" si="129"/>
        <v>11</v>
      </c>
      <c r="Y288" s="279">
        <f t="shared" si="130"/>
        <v>91</v>
      </c>
      <c r="Z288" s="279">
        <f t="shared" si="131"/>
        <v>36</v>
      </c>
      <c r="AA288" s="279">
        <f t="shared" si="132"/>
        <v>0</v>
      </c>
      <c r="AB288" s="684">
        <f t="shared" si="133"/>
        <v>0</v>
      </c>
      <c r="AC288" s="277"/>
    </row>
    <row r="289" spans="5:29">
      <c r="E289" s="241" t="s">
        <v>911</v>
      </c>
      <c r="F289" s="144">
        <v>4</v>
      </c>
      <c r="G289" s="252" t="s">
        <v>281</v>
      </c>
      <c r="H289" s="241">
        <v>90</v>
      </c>
      <c r="I289" s="241">
        <v>1</v>
      </c>
      <c r="J289" s="241">
        <v>5</v>
      </c>
      <c r="K289" s="241">
        <v>10</v>
      </c>
      <c r="L289" s="241">
        <v>0</v>
      </c>
      <c r="M289" s="665">
        <v>0</v>
      </c>
      <c r="N289" s="241"/>
      <c r="O289" s="241"/>
      <c r="Q289" s="280"/>
      <c r="R289" s="281" t="s">
        <v>217</v>
      </c>
      <c r="S289" s="294"/>
      <c r="T289" s="282"/>
      <c r="U289" s="282"/>
      <c r="V289" s="364"/>
      <c r="W289" s="283">
        <f t="shared" ref="W289:AB289" si="134">SUM(W272:W288)</f>
        <v>3123.69</v>
      </c>
      <c r="X289" s="283">
        <f t="shared" si="134"/>
        <v>197.63</v>
      </c>
      <c r="Y289" s="283">
        <f t="shared" si="134"/>
        <v>157.31299999999999</v>
      </c>
      <c r="Z289" s="283">
        <f t="shared" si="134"/>
        <v>292.06000000000006</v>
      </c>
      <c r="AA289" s="683">
        <f t="shared" si="134"/>
        <v>32.066000000000003</v>
      </c>
      <c r="AB289" s="691">
        <f t="shared" si="134"/>
        <v>160</v>
      </c>
      <c r="AC289" s="281"/>
    </row>
    <row r="290" spans="5:29">
      <c r="E290" s="241" t="s">
        <v>916</v>
      </c>
      <c r="F290" s="144">
        <v>1</v>
      </c>
      <c r="G290" s="252" t="s">
        <v>361</v>
      </c>
      <c r="H290" s="241">
        <v>45</v>
      </c>
      <c r="I290" s="241">
        <v>2</v>
      </c>
      <c r="J290" s="241">
        <v>0</v>
      </c>
      <c r="K290" s="241">
        <v>9</v>
      </c>
      <c r="L290" s="241">
        <v>3</v>
      </c>
      <c r="M290" s="665">
        <v>0</v>
      </c>
      <c r="N290" s="241"/>
      <c r="O290" s="241"/>
      <c r="Q290" s="280"/>
      <c r="R290" s="281" t="s">
        <v>220</v>
      </c>
      <c r="S290" s="294"/>
      <c r="T290" s="282"/>
      <c r="U290" s="282"/>
      <c r="V290" s="364"/>
      <c r="W290" s="284">
        <f>$B$27</f>
        <v>2834.5625</v>
      </c>
      <c r="X290" s="284">
        <f>$B$29</f>
        <v>154</v>
      </c>
      <c r="Y290" s="284">
        <f>$B$30</f>
        <v>63.91</v>
      </c>
      <c r="Z290" s="284">
        <f>$B$31</f>
        <v>410.84312499999999</v>
      </c>
      <c r="AA290" s="690">
        <f>$B$32</f>
        <v>39.683875</v>
      </c>
      <c r="AB290" s="695">
        <f>$B$39</f>
        <v>500</v>
      </c>
      <c r="AC290" s="281"/>
    </row>
    <row r="291" spans="5:29">
      <c r="E291" s="241" t="s">
        <v>917</v>
      </c>
      <c r="F291" s="144">
        <v>1</v>
      </c>
      <c r="G291" s="252" t="s">
        <v>235</v>
      </c>
      <c r="H291" s="241">
        <v>0</v>
      </c>
      <c r="I291" s="241">
        <v>0</v>
      </c>
      <c r="J291" s="241">
        <v>0</v>
      </c>
      <c r="K291" s="241">
        <v>0</v>
      </c>
      <c r="L291" s="241">
        <v>0</v>
      </c>
      <c r="M291" s="665">
        <v>0</v>
      </c>
      <c r="N291" s="241"/>
      <c r="O291" s="241"/>
      <c r="Q291" s="280"/>
      <c r="R291" s="281" t="s">
        <v>222</v>
      </c>
      <c r="S291" s="294"/>
      <c r="T291" s="282"/>
      <c r="U291" s="282"/>
      <c r="V291" s="364"/>
      <c r="W291" s="284">
        <f t="shared" ref="W291:AB291" si="135">W289-W290</f>
        <v>289.12750000000005</v>
      </c>
      <c r="X291" s="284">
        <f t="shared" si="135"/>
        <v>43.629999999999995</v>
      </c>
      <c r="Y291" s="284">
        <f t="shared" si="135"/>
        <v>93.402999999999992</v>
      </c>
      <c r="Z291" s="284">
        <f t="shared" si="135"/>
        <v>-118.78312499999993</v>
      </c>
      <c r="AA291" s="690">
        <f t="shared" si="135"/>
        <v>-7.617874999999998</v>
      </c>
      <c r="AB291" s="689">
        <f t="shared" si="135"/>
        <v>-340</v>
      </c>
      <c r="AC291" s="281"/>
    </row>
    <row r="292" spans="5:29">
      <c r="E292" s="241" t="s">
        <v>918</v>
      </c>
      <c r="F292" s="144">
        <v>150</v>
      </c>
      <c r="G292" s="252" t="s">
        <v>177</v>
      </c>
      <c r="H292" s="241">
        <v>160</v>
      </c>
      <c r="I292" s="241">
        <v>7</v>
      </c>
      <c r="J292" s="241">
        <v>11</v>
      </c>
      <c r="K292" s="241">
        <v>8</v>
      </c>
      <c r="L292" s="241">
        <v>0</v>
      </c>
      <c r="M292" s="665">
        <v>0</v>
      </c>
      <c r="N292" s="241"/>
      <c r="O292" s="241"/>
      <c r="Q292" s="288">
        <v>46053</v>
      </c>
      <c r="R292" s="276">
        <v>0.45833333333333331</v>
      </c>
      <c r="S292" s="277" t="s">
        <v>178</v>
      </c>
      <c r="T292" s="277" t="s">
        <v>456</v>
      </c>
      <c r="U292" s="278">
        <v>1</v>
      </c>
      <c r="V292" s="361" t="str">
        <f t="shared" ref="V292:V303" si="136">IFERROR(VLOOKUP(T292, $E$5:$L$818, 3, FALSE), "")</f>
        <v>box</v>
      </c>
      <c r="W292" s="279">
        <f t="shared" ref="W292:W303" si="137">IFERROR(VLOOKUP(T292, $E$5:$L$818, 4, FALSE) * (U292 / VLOOKUP(T292, $E$5:$L$818, 2, FALSE)), "")</f>
        <v>720</v>
      </c>
      <c r="X292" s="279">
        <f t="shared" ref="X292:X303" si="138">IFERROR(VLOOKUP(T292, $E$5:$L$818, 5, FALSE) * (U292 / VLOOKUP(T292, $E$5:$L$818, 2, FALSE)), "")</f>
        <v>38</v>
      </c>
      <c r="Y292" s="279">
        <f t="shared" ref="Y292:Y303" si="139">IFERROR(VLOOKUP(T292, $E$5:$L$818, 6, FALSE) * (U292 / VLOOKUP(T292, $E$5:$L$818, 2, FALSE)), "")</f>
        <v>32</v>
      </c>
      <c r="Z292" s="279">
        <f t="shared" ref="Z292:Z303" si="140">IFERROR(VLOOKUP(T292, $E$5:$L$818, 7, FALSE) * (U292 / VLOOKUP(T292, $E$5:$L$818, 2, FALSE)), "")</f>
        <v>72</v>
      </c>
      <c r="AA292" s="279">
        <f t="shared" ref="AA292:AA303" si="141">IFERROR(VLOOKUP(T292, $E$5:$L$818, 8, FALSE) * (U292 / VLOOKUP(T292, $E$5:$L$818, 2, FALSE)), "")</f>
        <v>2</v>
      </c>
      <c r="AB292" s="674">
        <f t="shared" ref="AB292:AB303" si="142">IFERROR(VLOOKUP(T292, $E$5:$O$818, 9, FALSE) * (U292 / VLOOKUP(T292, $E$5:$O$818, 2, FALSE)), "")</f>
        <v>200</v>
      </c>
      <c r="AC292" s="277"/>
    </row>
    <row r="293" spans="5:29">
      <c r="E293" s="241" t="s">
        <v>1027</v>
      </c>
      <c r="F293" s="144">
        <v>0.5</v>
      </c>
      <c r="G293" s="252" t="s">
        <v>340</v>
      </c>
      <c r="H293" s="241">
        <v>170</v>
      </c>
      <c r="I293" s="241">
        <v>1</v>
      </c>
      <c r="J293" s="241">
        <v>11</v>
      </c>
      <c r="K293" s="241">
        <v>17</v>
      </c>
      <c r="L293" s="241">
        <v>0</v>
      </c>
      <c r="M293" s="665">
        <v>0</v>
      </c>
      <c r="N293" s="241"/>
      <c r="O293" s="241"/>
      <c r="Q293" s="288">
        <v>46053</v>
      </c>
      <c r="R293" s="276">
        <v>0.5</v>
      </c>
      <c r="S293" s="277" t="s">
        <v>185</v>
      </c>
      <c r="T293" s="277" t="s">
        <v>176</v>
      </c>
      <c r="U293" s="278">
        <v>198</v>
      </c>
      <c r="V293" s="361" t="str">
        <f t="shared" si="136"/>
        <v>g</v>
      </c>
      <c r="W293" s="279">
        <f t="shared" si="137"/>
        <v>326.7</v>
      </c>
      <c r="X293" s="279">
        <f t="shared" si="138"/>
        <v>49.5</v>
      </c>
      <c r="Y293" s="279">
        <f t="shared" si="139"/>
        <v>7.1280000000000001</v>
      </c>
      <c r="Z293" s="279">
        <f t="shared" si="140"/>
        <v>0</v>
      </c>
      <c r="AA293" s="279">
        <f t="shared" si="141"/>
        <v>0</v>
      </c>
      <c r="AB293" s="584">
        <f t="shared" si="142"/>
        <v>0</v>
      </c>
      <c r="AC293" s="277"/>
    </row>
    <row r="294" spans="5:29">
      <c r="E294" s="241" t="s">
        <v>1075</v>
      </c>
      <c r="F294" s="144">
        <v>35</v>
      </c>
      <c r="G294" s="252" t="s">
        <v>177</v>
      </c>
      <c r="H294" s="241">
        <v>130</v>
      </c>
      <c r="I294" s="241">
        <v>3</v>
      </c>
      <c r="J294" s="241">
        <v>2</v>
      </c>
      <c r="K294" s="241">
        <v>26</v>
      </c>
      <c r="L294" s="241">
        <v>3</v>
      </c>
      <c r="M294" s="665">
        <v>0</v>
      </c>
      <c r="N294" s="241"/>
      <c r="O294" s="241"/>
      <c r="Q294" s="288">
        <v>46053</v>
      </c>
      <c r="R294" s="276">
        <v>0.54166666666666663</v>
      </c>
      <c r="S294" s="277" t="s">
        <v>289</v>
      </c>
      <c r="T294" s="277" t="s">
        <v>190</v>
      </c>
      <c r="U294" s="278">
        <v>4</v>
      </c>
      <c r="V294" s="361" t="str">
        <f t="shared" si="136"/>
        <v>medium</v>
      </c>
      <c r="W294" s="279">
        <f t="shared" si="137"/>
        <v>248</v>
      </c>
      <c r="X294" s="279">
        <f t="shared" si="138"/>
        <v>4.8</v>
      </c>
      <c r="Y294" s="279">
        <f t="shared" si="139"/>
        <v>0.8</v>
      </c>
      <c r="Z294" s="279">
        <f t="shared" si="140"/>
        <v>61.6</v>
      </c>
      <c r="AA294" s="279">
        <f t="shared" si="141"/>
        <v>12.4</v>
      </c>
      <c r="AB294" s="584">
        <f t="shared" si="142"/>
        <v>0</v>
      </c>
      <c r="AC294" s="277"/>
    </row>
    <row r="295" spans="5:29">
      <c r="E295" s="241" t="s">
        <v>1105</v>
      </c>
      <c r="F295" s="144">
        <v>1</v>
      </c>
      <c r="G295" s="252" t="s">
        <v>1077</v>
      </c>
      <c r="H295" s="241">
        <v>10</v>
      </c>
      <c r="I295" s="241">
        <v>0</v>
      </c>
      <c r="J295" s="241">
        <v>0</v>
      </c>
      <c r="K295" s="241">
        <v>2</v>
      </c>
      <c r="L295" s="241">
        <v>0</v>
      </c>
      <c r="M295" s="665">
        <v>0</v>
      </c>
      <c r="N295" s="241"/>
      <c r="O295" s="241"/>
      <c r="Q295" s="288">
        <v>46053</v>
      </c>
      <c r="R295" s="276">
        <v>0.58333333333333304</v>
      </c>
      <c r="S295" s="277" t="s">
        <v>289</v>
      </c>
      <c r="T295" s="277" t="s">
        <v>431</v>
      </c>
      <c r="U295" s="278">
        <v>1</v>
      </c>
      <c r="V295" s="361" t="str">
        <f t="shared" si="136"/>
        <v>piece</v>
      </c>
      <c r="W295" s="279">
        <f t="shared" si="137"/>
        <v>139</v>
      </c>
      <c r="X295" s="279">
        <f t="shared" si="138"/>
        <v>1.1000000000000001</v>
      </c>
      <c r="Y295" s="279">
        <f t="shared" si="139"/>
        <v>7.3</v>
      </c>
      <c r="Z295" s="279">
        <f t="shared" si="140"/>
        <v>17</v>
      </c>
      <c r="AA295" s="279">
        <f t="shared" si="141"/>
        <v>0.5</v>
      </c>
      <c r="AB295" s="584">
        <f t="shared" si="142"/>
        <v>0</v>
      </c>
      <c r="AC295" s="277"/>
    </row>
    <row r="296" spans="5:29">
      <c r="E296" s="241" t="s">
        <v>1078</v>
      </c>
      <c r="F296" s="144">
        <v>1</v>
      </c>
      <c r="G296" s="252" t="s">
        <v>195</v>
      </c>
      <c r="H296" s="241">
        <v>320</v>
      </c>
      <c r="I296" s="241">
        <v>12</v>
      </c>
      <c r="J296" s="241">
        <v>8</v>
      </c>
      <c r="K296" s="241">
        <v>48</v>
      </c>
      <c r="L296" s="241">
        <v>2</v>
      </c>
      <c r="M296" s="665">
        <v>20</v>
      </c>
      <c r="N296" s="241"/>
      <c r="O296" s="241"/>
      <c r="Q296" s="288">
        <v>46053</v>
      </c>
      <c r="R296" s="276">
        <v>0.625</v>
      </c>
      <c r="S296" s="277" t="s">
        <v>185</v>
      </c>
      <c r="T296" s="277" t="s">
        <v>418</v>
      </c>
      <c r="U296" s="278">
        <v>2</v>
      </c>
      <c r="V296" s="361" t="str">
        <f t="shared" si="136"/>
        <v>potato</v>
      </c>
      <c r="W296" s="279">
        <f t="shared" si="137"/>
        <v>300</v>
      </c>
      <c r="X296" s="279">
        <f t="shared" si="138"/>
        <v>4</v>
      </c>
      <c r="Y296" s="279">
        <f t="shared" si="139"/>
        <v>0</v>
      </c>
      <c r="Z296" s="279">
        <f t="shared" si="140"/>
        <v>70</v>
      </c>
      <c r="AA296" s="279">
        <f t="shared" si="141"/>
        <v>10</v>
      </c>
      <c r="AB296" s="584">
        <f t="shared" si="142"/>
        <v>0</v>
      </c>
      <c r="AC296" s="277"/>
    </row>
    <row r="297" spans="5:29">
      <c r="E297" s="241" t="s">
        <v>1079</v>
      </c>
      <c r="F297" s="144">
        <v>400</v>
      </c>
      <c r="G297" s="252" t="s">
        <v>910</v>
      </c>
      <c r="H297" s="241">
        <v>40</v>
      </c>
      <c r="I297" s="241">
        <v>0</v>
      </c>
      <c r="J297" s="241">
        <v>0</v>
      </c>
      <c r="K297" s="241">
        <v>16</v>
      </c>
      <c r="L297" s="241">
        <v>5</v>
      </c>
      <c r="M297" s="665">
        <v>0</v>
      </c>
      <c r="N297" s="241"/>
      <c r="O297" s="241"/>
      <c r="Q297" s="288">
        <v>46053</v>
      </c>
      <c r="R297" s="276">
        <v>0.70833333333333337</v>
      </c>
      <c r="S297" s="277" t="s">
        <v>199</v>
      </c>
      <c r="T297" s="277" t="s">
        <v>814</v>
      </c>
      <c r="U297" s="278">
        <v>1</v>
      </c>
      <c r="V297" s="361" t="str">
        <f t="shared" si="136"/>
        <v>bottle</v>
      </c>
      <c r="W297" s="279">
        <f t="shared" si="137"/>
        <v>260</v>
      </c>
      <c r="X297" s="279">
        <f t="shared" si="138"/>
        <v>33</v>
      </c>
      <c r="Y297" s="279">
        <f t="shared" si="139"/>
        <v>6</v>
      </c>
      <c r="Z297" s="279">
        <f t="shared" si="140"/>
        <v>20</v>
      </c>
      <c r="AA297" s="279">
        <f t="shared" si="141"/>
        <v>0</v>
      </c>
      <c r="AB297" s="584">
        <f t="shared" si="142"/>
        <v>0</v>
      </c>
      <c r="AC297" s="277"/>
    </row>
    <row r="298" spans="5:29">
      <c r="E298" s="241" t="s">
        <v>1080</v>
      </c>
      <c r="F298" s="144">
        <v>30.1</v>
      </c>
      <c r="G298" s="252" t="s">
        <v>177</v>
      </c>
      <c r="H298" s="241">
        <v>95</v>
      </c>
      <c r="I298" s="241">
        <v>0</v>
      </c>
      <c r="J298" s="241">
        <v>0</v>
      </c>
      <c r="K298" s="241">
        <v>24</v>
      </c>
      <c r="L298" s="241">
        <v>0</v>
      </c>
      <c r="M298" s="665">
        <v>0</v>
      </c>
      <c r="N298" s="241"/>
      <c r="O298" s="241"/>
      <c r="Q298" s="288">
        <v>46053</v>
      </c>
      <c r="R298" s="276">
        <v>0.875</v>
      </c>
      <c r="S298" s="277" t="s">
        <v>199</v>
      </c>
      <c r="T298" s="277" t="s">
        <v>753</v>
      </c>
      <c r="U298" s="278">
        <v>167</v>
      </c>
      <c r="V298" s="361" t="str">
        <f t="shared" si="136"/>
        <v>g</v>
      </c>
      <c r="W298" s="279">
        <f t="shared" si="137"/>
        <v>217.1</v>
      </c>
      <c r="X298" s="279">
        <f t="shared" si="138"/>
        <v>1.67</v>
      </c>
      <c r="Y298" s="279">
        <f t="shared" si="139"/>
        <v>0</v>
      </c>
      <c r="Z298" s="279">
        <f t="shared" si="140"/>
        <v>51.769999999999996</v>
      </c>
      <c r="AA298" s="279">
        <f t="shared" si="141"/>
        <v>5.01</v>
      </c>
      <c r="AB298" s="584">
        <f t="shared" si="142"/>
        <v>0</v>
      </c>
      <c r="AC298" s="277"/>
    </row>
    <row r="299" spans="5:29">
      <c r="E299" s="598" t="s">
        <v>1081</v>
      </c>
      <c r="F299" s="144">
        <v>5</v>
      </c>
      <c r="G299" s="252" t="s">
        <v>177</v>
      </c>
      <c r="H299" s="241">
        <v>10</v>
      </c>
      <c r="I299" s="241">
        <v>0</v>
      </c>
      <c r="J299" s="241">
        <v>0</v>
      </c>
      <c r="K299" s="241">
        <v>4</v>
      </c>
      <c r="L299" s="241">
        <v>4</v>
      </c>
      <c r="M299" s="665">
        <v>0</v>
      </c>
      <c r="N299" s="241"/>
      <c r="O299" s="241"/>
      <c r="Q299" s="288">
        <v>46053</v>
      </c>
      <c r="R299" s="276">
        <v>0.875</v>
      </c>
      <c r="S299" s="277" t="s">
        <v>289</v>
      </c>
      <c r="T299" s="277" t="s">
        <v>214</v>
      </c>
      <c r="U299" s="278">
        <v>1</v>
      </c>
      <c r="V299" s="361" t="str">
        <f t="shared" si="136"/>
        <v>bar</v>
      </c>
      <c r="W299" s="279">
        <f t="shared" si="137"/>
        <v>67</v>
      </c>
      <c r="X299" s="279">
        <f t="shared" si="138"/>
        <v>1</v>
      </c>
      <c r="Y299" s="279">
        <f t="shared" si="139"/>
        <v>3.5</v>
      </c>
      <c r="Z299" s="279">
        <f t="shared" si="140"/>
        <v>22</v>
      </c>
      <c r="AA299" s="279">
        <f t="shared" si="141"/>
        <v>0.3</v>
      </c>
      <c r="AB299" s="584">
        <f t="shared" si="142"/>
        <v>0</v>
      </c>
      <c r="AC299" s="277"/>
    </row>
    <row r="300" spans="5:29">
      <c r="E300" s="598" t="s">
        <v>1104</v>
      </c>
      <c r="F300" s="144">
        <v>5</v>
      </c>
      <c r="G300" s="252" t="s">
        <v>177</v>
      </c>
      <c r="H300" s="241">
        <v>24</v>
      </c>
      <c r="I300" s="241">
        <v>1</v>
      </c>
      <c r="J300" s="241">
        <v>2</v>
      </c>
      <c r="K300" s="241">
        <v>2</v>
      </c>
      <c r="L300" s="241">
        <v>2</v>
      </c>
      <c r="M300" s="241">
        <v>0</v>
      </c>
      <c r="N300" s="241">
        <v>0</v>
      </c>
      <c r="O300" s="241">
        <v>32</v>
      </c>
      <c r="Q300" s="288">
        <v>46053</v>
      </c>
      <c r="R300" s="276">
        <v>0</v>
      </c>
      <c r="S300" s="277" t="s">
        <v>199</v>
      </c>
      <c r="T300" s="277" t="s">
        <v>753</v>
      </c>
      <c r="U300" s="278">
        <v>244</v>
      </c>
      <c r="V300" s="361" t="str">
        <f t="shared" si="136"/>
        <v>g</v>
      </c>
      <c r="W300" s="279">
        <f t="shared" si="137"/>
        <v>317.2</v>
      </c>
      <c r="X300" s="279">
        <f t="shared" si="138"/>
        <v>2.44</v>
      </c>
      <c r="Y300" s="279">
        <f t="shared" si="139"/>
        <v>0</v>
      </c>
      <c r="Z300" s="279">
        <f t="shared" si="140"/>
        <v>75.64</v>
      </c>
      <c r="AA300" s="279">
        <f t="shared" si="141"/>
        <v>7.32</v>
      </c>
      <c r="AB300" s="584">
        <f t="shared" si="142"/>
        <v>0</v>
      </c>
      <c r="AC300" s="277"/>
    </row>
    <row r="301" spans="5:29">
      <c r="E301" s="241" t="s">
        <v>1076</v>
      </c>
      <c r="F301" s="144">
        <v>1</v>
      </c>
      <c r="G301" s="252" t="s">
        <v>1077</v>
      </c>
      <c r="H301" s="241">
        <v>45</v>
      </c>
      <c r="I301" s="241">
        <v>0</v>
      </c>
      <c r="J301" s="241">
        <v>0</v>
      </c>
      <c r="K301" s="241">
        <v>11</v>
      </c>
      <c r="L301" s="241">
        <v>0</v>
      </c>
      <c r="M301" s="665">
        <v>0</v>
      </c>
      <c r="N301" s="241"/>
      <c r="O301" s="241"/>
      <c r="Q301" s="288">
        <v>46053</v>
      </c>
      <c r="R301" s="276">
        <v>0</v>
      </c>
      <c r="S301" s="277" t="s">
        <v>199</v>
      </c>
      <c r="T301" s="277" t="s">
        <v>176</v>
      </c>
      <c r="U301" s="278">
        <v>199</v>
      </c>
      <c r="V301" s="361" t="str">
        <f t="shared" si="136"/>
        <v>g</v>
      </c>
      <c r="W301" s="279">
        <f t="shared" si="137"/>
        <v>328.35</v>
      </c>
      <c r="X301" s="279">
        <f t="shared" si="138"/>
        <v>49.75</v>
      </c>
      <c r="Y301" s="279">
        <f t="shared" si="139"/>
        <v>7.1639999999999997</v>
      </c>
      <c r="Z301" s="279">
        <f t="shared" si="140"/>
        <v>0</v>
      </c>
      <c r="AA301" s="279">
        <f t="shared" si="141"/>
        <v>0</v>
      </c>
      <c r="AB301" s="584">
        <f t="shared" si="142"/>
        <v>0</v>
      </c>
      <c r="AC301" s="277"/>
    </row>
    <row r="302" spans="5:29">
      <c r="E302" s="598" t="s">
        <v>1106</v>
      </c>
      <c r="F302" s="144">
        <v>1</v>
      </c>
      <c r="G302" s="252" t="s">
        <v>447</v>
      </c>
      <c r="H302" s="241">
        <v>420</v>
      </c>
      <c r="I302" s="241">
        <v>18</v>
      </c>
      <c r="J302" s="241">
        <v>12</v>
      </c>
      <c r="K302" s="241">
        <v>58</v>
      </c>
      <c r="L302" s="241">
        <v>4</v>
      </c>
      <c r="M302" s="241"/>
      <c r="N302" s="241"/>
      <c r="O302" s="241"/>
      <c r="Q302" s="288">
        <v>46053</v>
      </c>
      <c r="R302" s="276">
        <v>0</v>
      </c>
      <c r="S302" s="277" t="s">
        <v>199</v>
      </c>
      <c r="T302" s="277" t="s">
        <v>219</v>
      </c>
      <c r="U302" s="278">
        <v>1</v>
      </c>
      <c r="V302" s="361" t="str">
        <f t="shared" si="136"/>
        <v>bottle</v>
      </c>
      <c r="W302" s="279">
        <f t="shared" si="137"/>
        <v>0</v>
      </c>
      <c r="X302" s="279">
        <f t="shared" si="138"/>
        <v>0</v>
      </c>
      <c r="Y302" s="279">
        <f t="shared" si="139"/>
        <v>0</v>
      </c>
      <c r="Z302" s="279">
        <f t="shared" si="140"/>
        <v>0</v>
      </c>
      <c r="AA302" s="279">
        <f t="shared" si="141"/>
        <v>0</v>
      </c>
      <c r="AB302" s="584">
        <f t="shared" si="142"/>
        <v>0</v>
      </c>
      <c r="AC302" s="277"/>
    </row>
    <row r="303" spans="5:29">
      <c r="E303" s="598" t="s">
        <v>1107</v>
      </c>
      <c r="F303" s="144">
        <v>1</v>
      </c>
      <c r="G303" s="252" t="s">
        <v>195</v>
      </c>
      <c r="H303" s="241">
        <v>120</v>
      </c>
      <c r="I303" s="241">
        <v>1</v>
      </c>
      <c r="J303" s="241">
        <v>0</v>
      </c>
      <c r="K303" s="241">
        <v>28</v>
      </c>
      <c r="L303" s="241">
        <v>0</v>
      </c>
      <c r="M303" s="241"/>
      <c r="N303" s="241"/>
      <c r="O303" s="241"/>
      <c r="Q303" s="288">
        <v>46053</v>
      </c>
      <c r="R303" s="276">
        <v>0</v>
      </c>
      <c r="S303" s="277" t="s">
        <v>199</v>
      </c>
      <c r="T303" s="277" t="s">
        <v>209</v>
      </c>
      <c r="U303" s="278">
        <v>1</v>
      </c>
      <c r="V303" s="361" t="str">
        <f t="shared" si="136"/>
        <v>tbsp</v>
      </c>
      <c r="W303" s="279">
        <f t="shared" si="137"/>
        <v>20</v>
      </c>
      <c r="X303" s="279">
        <f t="shared" si="138"/>
        <v>0</v>
      </c>
      <c r="Y303" s="279">
        <f t="shared" si="139"/>
        <v>0</v>
      </c>
      <c r="Z303" s="279">
        <f t="shared" si="140"/>
        <v>5</v>
      </c>
      <c r="AA303" s="279">
        <f t="shared" si="141"/>
        <v>4.5</v>
      </c>
      <c r="AB303" s="684">
        <f t="shared" si="142"/>
        <v>0</v>
      </c>
      <c r="AC303" s="277"/>
    </row>
    <row r="304" spans="5:29">
      <c r="E304" s="598" t="s">
        <v>1108</v>
      </c>
      <c r="F304" s="144">
        <v>0.5</v>
      </c>
      <c r="G304" s="252" t="s">
        <v>213</v>
      </c>
      <c r="H304" s="241">
        <v>60</v>
      </c>
      <c r="I304" s="241">
        <v>14</v>
      </c>
      <c r="J304" s="241">
        <v>0</v>
      </c>
      <c r="K304" s="241">
        <v>0</v>
      </c>
      <c r="L304" s="241">
        <v>0</v>
      </c>
      <c r="M304" s="241"/>
      <c r="N304" s="241"/>
      <c r="O304" s="241"/>
      <c r="Q304" s="280"/>
      <c r="R304" s="281" t="s">
        <v>217</v>
      </c>
      <c r="S304" s="294"/>
      <c r="T304" s="282"/>
      <c r="U304" s="282"/>
      <c r="V304" s="364"/>
      <c r="W304" s="283">
        <f t="shared" ref="W304:AB304" si="143">SUM(W292:W303)</f>
        <v>2943.35</v>
      </c>
      <c r="X304" s="283">
        <f t="shared" si="143"/>
        <v>185.25999999999996</v>
      </c>
      <c r="Y304" s="283">
        <f t="shared" si="143"/>
        <v>63.891999999999996</v>
      </c>
      <c r="Z304" s="283">
        <f t="shared" si="143"/>
        <v>395.01</v>
      </c>
      <c r="AA304" s="683">
        <f t="shared" si="143"/>
        <v>42.03</v>
      </c>
      <c r="AB304" s="691">
        <f t="shared" si="143"/>
        <v>200</v>
      </c>
      <c r="AC304" s="281"/>
    </row>
    <row r="305" spans="5:29">
      <c r="E305" s="598" t="s">
        <v>1109</v>
      </c>
      <c r="F305" s="144">
        <v>100</v>
      </c>
      <c r="G305" s="252" t="s">
        <v>177</v>
      </c>
      <c r="H305" s="241">
        <v>38</v>
      </c>
      <c r="I305" s="241">
        <v>1</v>
      </c>
      <c r="J305" s="241">
        <v>0</v>
      </c>
      <c r="K305" s="241">
        <v>10</v>
      </c>
      <c r="L305" s="241">
        <v>1</v>
      </c>
      <c r="M305" s="241"/>
      <c r="N305" s="241"/>
      <c r="O305" s="241"/>
      <c r="Q305" s="280"/>
      <c r="R305" s="281" t="s">
        <v>220</v>
      </c>
      <c r="S305" s="294"/>
      <c r="T305" s="282"/>
      <c r="U305" s="282"/>
      <c r="V305" s="364"/>
      <c r="W305" s="284">
        <f>$B$27</f>
        <v>2834.5625</v>
      </c>
      <c r="X305" s="284">
        <f>$B$29</f>
        <v>154</v>
      </c>
      <c r="Y305" s="284">
        <f>$B$30</f>
        <v>63.91</v>
      </c>
      <c r="Z305" s="284">
        <f>$B$31</f>
        <v>410.84312499999999</v>
      </c>
      <c r="AA305" s="690">
        <f>$B$32</f>
        <v>39.683875</v>
      </c>
      <c r="AB305" s="695">
        <f>$B$39</f>
        <v>500</v>
      </c>
      <c r="AC305" s="281"/>
    </row>
    <row r="306" spans="5:29">
      <c r="E306" s="581" t="s">
        <v>1114</v>
      </c>
      <c r="F306" s="696">
        <v>0.5</v>
      </c>
      <c r="G306" s="583" t="s">
        <v>213</v>
      </c>
      <c r="H306" s="697">
        <v>190</v>
      </c>
      <c r="I306" s="581">
        <v>36</v>
      </c>
      <c r="J306" s="697">
        <v>1.5</v>
      </c>
      <c r="K306" s="697">
        <v>6</v>
      </c>
      <c r="L306" s="698">
        <v>1</v>
      </c>
      <c r="M306" s="665">
        <v>0</v>
      </c>
      <c r="N306" s="241"/>
      <c r="O306" s="241"/>
      <c r="Q306" s="280"/>
      <c r="R306" s="281" t="s">
        <v>222</v>
      </c>
      <c r="S306" s="294"/>
      <c r="T306" s="282"/>
      <c r="U306" s="282"/>
      <c r="V306" s="364"/>
      <c r="W306" s="284">
        <f t="shared" ref="W306:AB306" si="144">W304-W305</f>
        <v>108.78749999999991</v>
      </c>
      <c r="X306" s="284">
        <f t="shared" si="144"/>
        <v>31.259999999999962</v>
      </c>
      <c r="Y306" s="284">
        <f t="shared" si="144"/>
        <v>-1.8000000000000682E-2</v>
      </c>
      <c r="Z306" s="284">
        <f t="shared" si="144"/>
        <v>-15.833124999999995</v>
      </c>
      <c r="AA306" s="690">
        <f t="shared" si="144"/>
        <v>2.3461250000000007</v>
      </c>
      <c r="AB306" s="689">
        <f t="shared" si="144"/>
        <v>-300</v>
      </c>
      <c r="AC306" s="281"/>
    </row>
    <row r="307" spans="5:29">
      <c r="E307" s="241" t="s">
        <v>1115</v>
      </c>
      <c r="F307" s="144">
        <v>1</v>
      </c>
      <c r="G307" s="252" t="s">
        <v>235</v>
      </c>
      <c r="H307" s="241">
        <v>0</v>
      </c>
      <c r="I307" s="241">
        <v>0</v>
      </c>
      <c r="J307" s="241">
        <v>0</v>
      </c>
      <c r="K307" s="241">
        <v>0</v>
      </c>
      <c r="L307" s="241">
        <v>0</v>
      </c>
      <c r="M307" s="241"/>
      <c r="N307" s="241"/>
      <c r="O307" s="241"/>
      <c r="Q307" s="288">
        <v>46054</v>
      </c>
      <c r="R307" s="276">
        <v>0.375</v>
      </c>
      <c r="S307" s="277" t="s">
        <v>178</v>
      </c>
      <c r="T307" s="277" t="s">
        <v>814</v>
      </c>
      <c r="U307" s="278">
        <v>1</v>
      </c>
      <c r="V307" s="361" t="str">
        <f t="shared" ref="V307:V319" si="145">IFERROR(VLOOKUP(T307, $E$5:$L$818, 3, FALSE), "")</f>
        <v>bottle</v>
      </c>
      <c r="W307" s="279">
        <f t="shared" ref="W307:W319" si="146">IFERROR(VLOOKUP(T307, $E$5:$L$818, 4, FALSE) * (U307 / VLOOKUP(T307, $E$5:$L$818, 2, FALSE)), "")</f>
        <v>260</v>
      </c>
      <c r="X307" s="279">
        <f t="shared" ref="X307:X319" si="147">IFERROR(VLOOKUP(T307, $E$5:$L$818, 5, FALSE) * (U307 / VLOOKUP(T307, $E$5:$L$818, 2, FALSE)), "")</f>
        <v>33</v>
      </c>
      <c r="Y307" s="279">
        <f t="shared" ref="Y307:Y319" si="148">IFERROR(VLOOKUP(T307, $E$5:$L$818, 6, FALSE) * (U307 / VLOOKUP(T307, $E$5:$L$818, 2, FALSE)), "")</f>
        <v>6</v>
      </c>
      <c r="Z307" s="279">
        <f t="shared" ref="Z307:Z319" si="149">IFERROR(VLOOKUP(T307, $E$5:$L$818, 7, FALSE) * (U307 / VLOOKUP(T307, $E$5:$L$818, 2, FALSE)), "")</f>
        <v>20</v>
      </c>
      <c r="AA307" s="279">
        <f t="shared" ref="AA307:AA319" si="150">IFERROR(VLOOKUP(T307, $E$5:$L$818, 8, FALSE) * (U307 / VLOOKUP(T307, $E$5:$L$818, 2, FALSE)), "")</f>
        <v>0</v>
      </c>
      <c r="AB307" s="674">
        <f t="shared" ref="AB307:AB319" si="151">IFERROR(VLOOKUP(T307, $E$5:$O$818, 9, FALSE) * (U307 / VLOOKUP(T307, $E$5:$O$818, 2, FALSE)), "")</f>
        <v>0</v>
      </c>
      <c r="AC307" s="277"/>
    </row>
    <row r="308" spans="5:29">
      <c r="E308" s="241" t="s">
        <v>1117</v>
      </c>
      <c r="F308" s="144">
        <v>100</v>
      </c>
      <c r="G308" s="252" t="s">
        <v>177</v>
      </c>
      <c r="H308" s="241">
        <v>94</v>
      </c>
      <c r="I308" s="241">
        <v>14.6</v>
      </c>
      <c r="J308" s="241">
        <v>1.5</v>
      </c>
      <c r="K308" s="241">
        <v>4.5</v>
      </c>
      <c r="L308" s="241">
        <v>0.9</v>
      </c>
      <c r="M308" s="241"/>
      <c r="N308" s="241"/>
      <c r="O308" s="241"/>
      <c r="Q308" s="288">
        <v>46054</v>
      </c>
      <c r="R308" s="276">
        <v>0.5</v>
      </c>
      <c r="S308" s="277" t="s">
        <v>289</v>
      </c>
      <c r="T308" s="277" t="s">
        <v>214</v>
      </c>
      <c r="U308" s="278">
        <v>1</v>
      </c>
      <c r="V308" s="361" t="str">
        <f t="shared" si="145"/>
        <v>bar</v>
      </c>
      <c r="W308" s="279">
        <f t="shared" si="146"/>
        <v>67</v>
      </c>
      <c r="X308" s="279">
        <f t="shared" si="147"/>
        <v>1</v>
      </c>
      <c r="Y308" s="279">
        <f t="shared" si="148"/>
        <v>3.5</v>
      </c>
      <c r="Z308" s="279">
        <f t="shared" si="149"/>
        <v>22</v>
      </c>
      <c r="AA308" s="279">
        <f t="shared" si="150"/>
        <v>0.3</v>
      </c>
      <c r="AB308" s="584">
        <f t="shared" si="151"/>
        <v>0</v>
      </c>
      <c r="AC308" s="277"/>
    </row>
    <row r="309" spans="5:29">
      <c r="E309" s="241" t="s">
        <v>1116</v>
      </c>
      <c r="F309" s="144">
        <v>100</v>
      </c>
      <c r="G309" s="252" t="s">
        <v>177</v>
      </c>
      <c r="H309" s="241">
        <v>97</v>
      </c>
      <c r="I309" s="241">
        <v>17.399999999999999</v>
      </c>
      <c r="J309" s="241">
        <v>1</v>
      </c>
      <c r="K309" s="241">
        <v>3.4</v>
      </c>
      <c r="L309" s="241">
        <v>0.9</v>
      </c>
      <c r="M309" s="241"/>
      <c r="N309" s="241"/>
      <c r="O309" s="241"/>
      <c r="Q309" s="288">
        <v>46054</v>
      </c>
      <c r="R309" s="276">
        <v>0.5</v>
      </c>
      <c r="S309" s="277" t="s">
        <v>289</v>
      </c>
      <c r="T309" s="277" t="s">
        <v>323</v>
      </c>
      <c r="U309" s="278">
        <v>1</v>
      </c>
      <c r="V309" s="361" t="str">
        <f t="shared" si="145"/>
        <v>double bars</v>
      </c>
      <c r="W309" s="279">
        <f t="shared" si="146"/>
        <v>180</v>
      </c>
      <c r="X309" s="279">
        <f t="shared" si="147"/>
        <v>2</v>
      </c>
      <c r="Y309" s="279">
        <f t="shared" si="148"/>
        <v>9</v>
      </c>
      <c r="Z309" s="279">
        <f t="shared" si="149"/>
        <v>24</v>
      </c>
      <c r="AA309" s="279">
        <f t="shared" si="150"/>
        <v>0</v>
      </c>
      <c r="AB309" s="584">
        <f t="shared" si="151"/>
        <v>0</v>
      </c>
      <c r="AC309" s="277"/>
    </row>
    <row r="310" spans="5:29">
      <c r="E310" s="598" t="s">
        <v>1118</v>
      </c>
      <c r="F310" s="699">
        <v>0.5</v>
      </c>
      <c r="G310" s="700" t="s">
        <v>213</v>
      </c>
      <c r="H310" s="598">
        <v>70</v>
      </c>
      <c r="I310" s="598">
        <v>0</v>
      </c>
      <c r="J310" s="598">
        <v>0</v>
      </c>
      <c r="K310" s="598">
        <v>18</v>
      </c>
      <c r="L310" s="598">
        <v>0</v>
      </c>
      <c r="Q310" s="288">
        <v>46054</v>
      </c>
      <c r="R310" s="276">
        <v>0.58333333333333337</v>
      </c>
      <c r="S310" s="277" t="s">
        <v>185</v>
      </c>
      <c r="T310" s="277" t="s">
        <v>176</v>
      </c>
      <c r="U310" s="278">
        <v>267</v>
      </c>
      <c r="V310" s="361" t="str">
        <f t="shared" si="145"/>
        <v>g</v>
      </c>
      <c r="W310" s="279">
        <f t="shared" si="146"/>
        <v>440.55</v>
      </c>
      <c r="X310" s="279">
        <f t="shared" si="147"/>
        <v>66.75</v>
      </c>
      <c r="Y310" s="279">
        <f t="shared" si="148"/>
        <v>9.6120000000000001</v>
      </c>
      <c r="Z310" s="279">
        <f t="shared" si="149"/>
        <v>0</v>
      </c>
      <c r="AA310" s="279">
        <f t="shared" si="150"/>
        <v>0</v>
      </c>
      <c r="AB310" s="584">
        <f t="shared" si="151"/>
        <v>0</v>
      </c>
      <c r="AC310" s="277"/>
    </row>
    <row r="311" spans="5:29">
      <c r="E311" s="598" t="s">
        <v>1119</v>
      </c>
      <c r="F311" s="699">
        <v>1</v>
      </c>
      <c r="G311" s="700" t="s">
        <v>340</v>
      </c>
      <c r="H311" s="598">
        <v>70</v>
      </c>
      <c r="I311" s="598">
        <v>1</v>
      </c>
      <c r="J311" s="598">
        <v>4</v>
      </c>
      <c r="K311" s="598">
        <v>7</v>
      </c>
      <c r="L311" s="598">
        <v>1</v>
      </c>
      <c r="Q311" s="288">
        <v>46054</v>
      </c>
      <c r="R311" s="276">
        <v>0.58333333333333337</v>
      </c>
      <c r="S311" s="277" t="s">
        <v>185</v>
      </c>
      <c r="T311" s="277" t="s">
        <v>374</v>
      </c>
      <c r="U311" s="278">
        <v>3</v>
      </c>
      <c r="V311" s="361" t="str">
        <f t="shared" si="145"/>
        <v>egg</v>
      </c>
      <c r="W311" s="279">
        <f t="shared" si="146"/>
        <v>240</v>
      </c>
      <c r="X311" s="279">
        <f t="shared" si="147"/>
        <v>21</v>
      </c>
      <c r="Y311" s="279">
        <f t="shared" si="148"/>
        <v>18</v>
      </c>
      <c r="Z311" s="279">
        <f t="shared" si="149"/>
        <v>0</v>
      </c>
      <c r="AA311" s="279">
        <f t="shared" si="150"/>
        <v>0</v>
      </c>
      <c r="AB311" s="584">
        <f t="shared" si="151"/>
        <v>120</v>
      </c>
      <c r="AC311" s="277"/>
    </row>
    <row r="312" spans="5:29">
      <c r="E312" s="598"/>
      <c r="F312" s="699"/>
      <c r="G312" s="700"/>
      <c r="H312" s="598"/>
      <c r="I312" s="598"/>
      <c r="J312" s="598"/>
      <c r="K312" s="598"/>
      <c r="L312" s="598"/>
      <c r="Q312" s="288">
        <v>46054</v>
      </c>
      <c r="R312" s="276">
        <v>0.625</v>
      </c>
      <c r="S312" s="277" t="s">
        <v>289</v>
      </c>
      <c r="T312" s="277" t="s">
        <v>214</v>
      </c>
      <c r="U312" s="278">
        <v>1</v>
      </c>
      <c r="V312" s="361" t="str">
        <f t="shared" si="145"/>
        <v>bar</v>
      </c>
      <c r="W312" s="279">
        <f t="shared" si="146"/>
        <v>67</v>
      </c>
      <c r="X312" s="279">
        <f t="shared" si="147"/>
        <v>1</v>
      </c>
      <c r="Y312" s="279">
        <f t="shared" si="148"/>
        <v>3.5</v>
      </c>
      <c r="Z312" s="279">
        <f t="shared" si="149"/>
        <v>22</v>
      </c>
      <c r="AA312" s="279">
        <f t="shared" si="150"/>
        <v>0.3</v>
      </c>
      <c r="AB312" s="584">
        <f t="shared" si="151"/>
        <v>0</v>
      </c>
      <c r="AC312" s="277"/>
    </row>
    <row r="313" spans="5:29">
      <c r="E313" s="598"/>
      <c r="F313" s="699"/>
      <c r="G313" s="700"/>
      <c r="H313" s="598"/>
      <c r="I313" s="598"/>
      <c r="J313" s="598"/>
      <c r="K313" s="598"/>
      <c r="L313" s="598"/>
      <c r="Q313" s="288">
        <v>46054</v>
      </c>
      <c r="R313" s="276">
        <v>0.625</v>
      </c>
      <c r="S313" s="277" t="s">
        <v>289</v>
      </c>
      <c r="T313" s="277" t="s">
        <v>190</v>
      </c>
      <c r="U313" s="278">
        <v>3</v>
      </c>
      <c r="V313" s="361" t="str">
        <f t="shared" si="145"/>
        <v>medium</v>
      </c>
      <c r="W313" s="279">
        <f t="shared" si="146"/>
        <v>186</v>
      </c>
      <c r="X313" s="279">
        <f t="shared" si="147"/>
        <v>3.5999999999999996</v>
      </c>
      <c r="Y313" s="279">
        <f t="shared" si="148"/>
        <v>0.60000000000000009</v>
      </c>
      <c r="Z313" s="279">
        <f t="shared" si="149"/>
        <v>46.2</v>
      </c>
      <c r="AA313" s="279">
        <f t="shared" si="150"/>
        <v>9.3000000000000007</v>
      </c>
      <c r="AB313" s="584">
        <f t="shared" si="151"/>
        <v>0</v>
      </c>
      <c r="AC313" s="277"/>
    </row>
    <row r="314" spans="5:29">
      <c r="E314" s="598"/>
      <c r="F314" s="699"/>
      <c r="G314" s="700"/>
      <c r="H314" s="598"/>
      <c r="I314" s="598"/>
      <c r="J314" s="598"/>
      <c r="K314" s="598"/>
      <c r="L314" s="598"/>
      <c r="Q314" s="288">
        <v>46054</v>
      </c>
      <c r="R314" s="276">
        <v>0.70833333333333337</v>
      </c>
      <c r="S314" s="277" t="s">
        <v>289</v>
      </c>
      <c r="T314" s="277" t="s">
        <v>431</v>
      </c>
      <c r="U314" s="278">
        <v>1</v>
      </c>
      <c r="V314" s="361" t="str">
        <f t="shared" si="145"/>
        <v>piece</v>
      </c>
      <c r="W314" s="279">
        <f t="shared" si="146"/>
        <v>139</v>
      </c>
      <c r="X314" s="279">
        <f t="shared" si="147"/>
        <v>1.1000000000000001</v>
      </c>
      <c r="Y314" s="279">
        <f t="shared" si="148"/>
        <v>7.3</v>
      </c>
      <c r="Z314" s="279">
        <f t="shared" si="149"/>
        <v>17</v>
      </c>
      <c r="AA314" s="279">
        <f t="shared" si="150"/>
        <v>0.5</v>
      </c>
      <c r="AB314" s="584">
        <f t="shared" si="151"/>
        <v>0</v>
      </c>
      <c r="AC314" s="277"/>
    </row>
    <row r="315" spans="5:29">
      <c r="E315" s="598"/>
      <c r="F315" s="699"/>
      <c r="G315" s="700"/>
      <c r="H315" s="598"/>
      <c r="I315" s="598"/>
      <c r="J315" s="598"/>
      <c r="K315" s="598"/>
      <c r="L315" s="598"/>
      <c r="Q315" s="288">
        <v>46054</v>
      </c>
      <c r="R315" s="276">
        <v>0.79166666666666663</v>
      </c>
      <c r="S315" s="277" t="s">
        <v>289</v>
      </c>
      <c r="T315" s="277" t="s">
        <v>176</v>
      </c>
      <c r="U315" s="278">
        <v>267</v>
      </c>
      <c r="V315" s="361" t="str">
        <f t="shared" si="145"/>
        <v>g</v>
      </c>
      <c r="W315" s="279">
        <f t="shared" si="146"/>
        <v>440.55</v>
      </c>
      <c r="X315" s="279">
        <f t="shared" si="147"/>
        <v>66.75</v>
      </c>
      <c r="Y315" s="279">
        <f t="shared" si="148"/>
        <v>9.6120000000000001</v>
      </c>
      <c r="Z315" s="279">
        <f t="shared" si="149"/>
        <v>0</v>
      </c>
      <c r="AA315" s="279">
        <f t="shared" si="150"/>
        <v>0</v>
      </c>
      <c r="AB315" s="584">
        <f t="shared" si="151"/>
        <v>0</v>
      </c>
      <c r="AC315" s="277"/>
    </row>
    <row r="316" spans="5:29">
      <c r="E316" s="598"/>
      <c r="F316" s="699"/>
      <c r="G316" s="700"/>
      <c r="H316" s="598"/>
      <c r="I316" s="598"/>
      <c r="J316" s="598"/>
      <c r="K316" s="598"/>
      <c r="L316" s="598"/>
      <c r="Q316" s="288">
        <v>46054</v>
      </c>
      <c r="R316" s="276">
        <v>0.83333333333333337</v>
      </c>
      <c r="S316" s="277" t="s">
        <v>289</v>
      </c>
      <c r="T316" s="277" t="s">
        <v>753</v>
      </c>
      <c r="U316" s="278">
        <v>167</v>
      </c>
      <c r="V316" s="361" t="str">
        <f t="shared" si="145"/>
        <v>g</v>
      </c>
      <c r="W316" s="279">
        <f t="shared" si="146"/>
        <v>217.1</v>
      </c>
      <c r="X316" s="279">
        <f t="shared" si="147"/>
        <v>1.67</v>
      </c>
      <c r="Y316" s="279">
        <f t="shared" si="148"/>
        <v>0</v>
      </c>
      <c r="Z316" s="279">
        <f t="shared" si="149"/>
        <v>51.769999999999996</v>
      </c>
      <c r="AA316" s="279">
        <f t="shared" si="150"/>
        <v>5.01</v>
      </c>
      <c r="AB316" s="584">
        <f t="shared" si="151"/>
        <v>0</v>
      </c>
      <c r="AC316" s="277"/>
    </row>
    <row r="317" spans="5:29">
      <c r="E317" s="598"/>
      <c r="F317" s="699"/>
      <c r="G317" s="700"/>
      <c r="H317" s="598"/>
      <c r="I317" s="598"/>
      <c r="J317" s="598"/>
      <c r="K317" s="598"/>
      <c r="L317" s="598"/>
      <c r="Q317" s="288">
        <v>46054</v>
      </c>
      <c r="R317" s="276">
        <v>0.83333333333333337</v>
      </c>
      <c r="S317" s="277" t="s">
        <v>289</v>
      </c>
      <c r="T317" s="277" t="s">
        <v>292</v>
      </c>
      <c r="U317" s="278">
        <v>1</v>
      </c>
      <c r="V317" s="361" t="str">
        <f t="shared" si="145"/>
        <v>bar</v>
      </c>
      <c r="W317" s="279">
        <f t="shared" si="146"/>
        <v>250</v>
      </c>
      <c r="X317" s="279">
        <f t="shared" si="147"/>
        <v>3</v>
      </c>
      <c r="Y317" s="279">
        <f t="shared" si="148"/>
        <v>15</v>
      </c>
      <c r="Z317" s="279">
        <f t="shared" si="149"/>
        <v>26</v>
      </c>
      <c r="AA317" s="279">
        <f t="shared" si="150"/>
        <v>0</v>
      </c>
      <c r="AB317" s="584">
        <f t="shared" si="151"/>
        <v>0</v>
      </c>
      <c r="AC317" s="277"/>
    </row>
    <row r="318" spans="5:29">
      <c r="E318" s="598"/>
      <c r="F318" s="699"/>
      <c r="G318" s="700"/>
      <c r="H318" s="598"/>
      <c r="I318" s="598"/>
      <c r="J318" s="598"/>
      <c r="K318" s="598"/>
      <c r="L318" s="598"/>
      <c r="Q318" s="288">
        <v>46054</v>
      </c>
      <c r="R318" s="276">
        <v>0.83333333333333337</v>
      </c>
      <c r="S318" s="277" t="s">
        <v>289</v>
      </c>
      <c r="T318" s="277" t="s">
        <v>209</v>
      </c>
      <c r="U318" s="278">
        <v>3</v>
      </c>
      <c r="V318" s="361" t="str">
        <f t="shared" si="145"/>
        <v>tbsp</v>
      </c>
      <c r="W318" s="279">
        <f t="shared" si="146"/>
        <v>60</v>
      </c>
      <c r="X318" s="279">
        <f t="shared" si="147"/>
        <v>0</v>
      </c>
      <c r="Y318" s="279">
        <f t="shared" si="148"/>
        <v>0</v>
      </c>
      <c r="Z318" s="279">
        <f t="shared" si="149"/>
        <v>15</v>
      </c>
      <c r="AA318" s="279">
        <f t="shared" si="150"/>
        <v>13.5</v>
      </c>
      <c r="AB318" s="584">
        <f t="shared" si="151"/>
        <v>0</v>
      </c>
      <c r="AC318" s="277"/>
    </row>
    <row r="319" spans="5:29">
      <c r="E319" s="598"/>
      <c r="F319" s="699"/>
      <c r="G319" s="700"/>
      <c r="H319" s="598"/>
      <c r="I319" s="598"/>
      <c r="J319" s="598"/>
      <c r="K319" s="598"/>
      <c r="L319" s="598"/>
      <c r="Q319" s="288">
        <v>46054</v>
      </c>
      <c r="R319" s="276">
        <v>0.83333333333333337</v>
      </c>
      <c r="S319" s="277" t="s">
        <v>289</v>
      </c>
      <c r="T319" s="277" t="s">
        <v>212</v>
      </c>
      <c r="U319" s="278">
        <v>1</v>
      </c>
      <c r="V319" s="361" t="str">
        <f t="shared" si="145"/>
        <v>bottle</v>
      </c>
      <c r="W319" s="279">
        <f t="shared" si="146"/>
        <v>70</v>
      </c>
      <c r="X319" s="279">
        <f t="shared" si="147"/>
        <v>0</v>
      </c>
      <c r="Y319" s="279">
        <f t="shared" si="148"/>
        <v>0</v>
      </c>
      <c r="Z319" s="279">
        <f t="shared" si="149"/>
        <v>17</v>
      </c>
      <c r="AA319" s="279">
        <f t="shared" si="150"/>
        <v>1</v>
      </c>
      <c r="AB319" s="684">
        <f t="shared" si="151"/>
        <v>0</v>
      </c>
      <c r="AC319" s="277"/>
    </row>
    <row r="320" spans="5:29">
      <c r="E320" s="598"/>
      <c r="F320" s="699"/>
      <c r="G320" s="700"/>
      <c r="H320" s="598"/>
      <c r="I320" s="598"/>
      <c r="J320" s="598"/>
      <c r="K320" s="598"/>
      <c r="L320" s="598"/>
      <c r="Q320" s="280"/>
      <c r="R320" s="281" t="s">
        <v>217</v>
      </c>
      <c r="S320" s="294"/>
      <c r="T320" s="282"/>
      <c r="U320" s="282"/>
      <c r="V320" s="364"/>
      <c r="W320" s="283">
        <f t="shared" ref="W320:AB320" si="152">SUM(W307:W319)</f>
        <v>2617.1999999999998</v>
      </c>
      <c r="X320" s="283">
        <f t="shared" si="152"/>
        <v>200.86999999999998</v>
      </c>
      <c r="Y320" s="283">
        <f t="shared" si="152"/>
        <v>82.123999999999995</v>
      </c>
      <c r="Z320" s="283">
        <f t="shared" si="152"/>
        <v>260.96999999999997</v>
      </c>
      <c r="AA320" s="683">
        <f t="shared" si="152"/>
        <v>29.91</v>
      </c>
      <c r="AB320" s="691">
        <f t="shared" si="152"/>
        <v>120</v>
      </c>
      <c r="AC320" s="281"/>
    </row>
    <row r="321" spans="5:29">
      <c r="E321" s="598"/>
      <c r="F321" s="699"/>
      <c r="G321" s="700"/>
      <c r="H321" s="598"/>
      <c r="I321" s="598"/>
      <c r="J321" s="598"/>
      <c r="K321" s="598"/>
      <c r="L321" s="598"/>
      <c r="Q321" s="280"/>
      <c r="R321" s="281" t="s">
        <v>220</v>
      </c>
      <c r="S321" s="294"/>
      <c r="T321" s="282"/>
      <c r="U321" s="282"/>
      <c r="V321" s="364"/>
      <c r="W321" s="284">
        <f>$B$27</f>
        <v>2834.5625</v>
      </c>
      <c r="X321" s="284">
        <f>$B$29</f>
        <v>154</v>
      </c>
      <c r="Y321" s="284">
        <f>$B$30</f>
        <v>63.91</v>
      </c>
      <c r="Z321" s="284">
        <f>$B$31</f>
        <v>410.84312499999999</v>
      </c>
      <c r="AA321" s="690">
        <f>$B$32</f>
        <v>39.683875</v>
      </c>
      <c r="AB321" s="695">
        <f>$B$39</f>
        <v>500</v>
      </c>
      <c r="AC321" s="281"/>
    </row>
    <row r="322" spans="5:29">
      <c r="E322" s="598"/>
      <c r="F322" s="699"/>
      <c r="G322" s="700"/>
      <c r="H322" s="598"/>
      <c r="I322" s="598"/>
      <c r="J322" s="598"/>
      <c r="K322" s="598"/>
      <c r="L322" s="598"/>
      <c r="Q322" s="280"/>
      <c r="R322" s="281" t="s">
        <v>222</v>
      </c>
      <c r="S322" s="294"/>
      <c r="T322" s="282"/>
      <c r="U322" s="282"/>
      <c r="V322" s="364"/>
      <c r="W322" s="284">
        <f t="shared" ref="W322:AB322" si="153">W320-W321</f>
        <v>-217.36250000000018</v>
      </c>
      <c r="X322" s="284">
        <f t="shared" si="153"/>
        <v>46.869999999999976</v>
      </c>
      <c r="Y322" s="284">
        <f t="shared" si="153"/>
        <v>18.213999999999999</v>
      </c>
      <c r="Z322" s="284">
        <f t="shared" si="153"/>
        <v>-149.87312500000002</v>
      </c>
      <c r="AA322" s="690">
        <f t="shared" si="153"/>
        <v>-9.7738750000000003</v>
      </c>
      <c r="AB322" s="689">
        <f t="shared" si="153"/>
        <v>-380</v>
      </c>
      <c r="AC322" s="281"/>
    </row>
    <row r="323" spans="5:29">
      <c r="E323" s="598"/>
      <c r="F323" s="699"/>
      <c r="G323" s="700"/>
      <c r="H323" s="598"/>
      <c r="I323" s="598"/>
      <c r="J323" s="598"/>
      <c r="K323" s="598"/>
      <c r="L323" s="598"/>
      <c r="Q323" s="288">
        <v>46055</v>
      </c>
      <c r="R323" s="276">
        <v>0.33333333333333331</v>
      </c>
      <c r="S323" s="277" t="s">
        <v>178</v>
      </c>
      <c r="T323" s="277" t="s">
        <v>814</v>
      </c>
      <c r="U323" s="278">
        <v>1</v>
      </c>
      <c r="V323" s="361" t="str">
        <f t="shared" ref="V323:V337" si="154">IFERROR(VLOOKUP(T323, $E$5:$L$818, 3, FALSE), "")</f>
        <v>bottle</v>
      </c>
      <c r="W323" s="279">
        <f t="shared" ref="W323:W337" si="155">IFERROR(VLOOKUP(T323, $E$5:$L$818, 4, FALSE) * (U323 / VLOOKUP(T323, $E$5:$L$818, 2, FALSE)), "")</f>
        <v>260</v>
      </c>
      <c r="X323" s="279">
        <f t="shared" ref="X323:X337" si="156">IFERROR(VLOOKUP(T323, $E$5:$L$818, 5, FALSE) * (U323 / VLOOKUP(T323, $E$5:$L$818, 2, FALSE)), "")</f>
        <v>33</v>
      </c>
      <c r="Y323" s="279">
        <f t="shared" ref="Y323:Y337" si="157">IFERROR(VLOOKUP(T323, $E$5:$L$818, 6, FALSE) * (U323 / VLOOKUP(T323, $E$5:$L$818, 2, FALSE)), "")</f>
        <v>6</v>
      </c>
      <c r="Z323" s="279">
        <f t="shared" ref="Z323:Z337" si="158">IFERROR(VLOOKUP(T323, $E$5:$L$818, 7, FALSE) * (U323 / VLOOKUP(T323, $E$5:$L$818, 2, FALSE)), "")</f>
        <v>20</v>
      </c>
      <c r="AA323" s="279">
        <f t="shared" ref="AA323:AA337" si="159">IFERROR(VLOOKUP(T323, $E$5:$L$818, 8, FALSE) * (U323 / VLOOKUP(T323, $E$5:$L$818, 2, FALSE)), "")</f>
        <v>0</v>
      </c>
      <c r="AB323" s="674">
        <f t="shared" ref="AB323:AB337" si="160">IFERROR(VLOOKUP(T323, $E$5:$O$818, 9, FALSE) * (U323 / VLOOKUP(T323, $E$5:$O$818, 2, FALSE)), "")</f>
        <v>0</v>
      </c>
      <c r="AC323" s="277"/>
    </row>
    <row r="324" spans="5:29">
      <c r="E324" s="598"/>
      <c r="F324" s="699"/>
      <c r="G324" s="700"/>
      <c r="H324" s="598"/>
      <c r="I324" s="598"/>
      <c r="J324" s="598"/>
      <c r="K324" s="598"/>
      <c r="L324" s="598"/>
      <c r="Q324" s="288">
        <v>46055</v>
      </c>
      <c r="R324" s="276">
        <v>0.375</v>
      </c>
      <c r="S324" s="277" t="s">
        <v>178</v>
      </c>
      <c r="T324" s="277" t="s">
        <v>374</v>
      </c>
      <c r="U324" s="278">
        <v>2</v>
      </c>
      <c r="V324" s="361" t="str">
        <f t="shared" si="154"/>
        <v>egg</v>
      </c>
      <c r="W324" s="279">
        <f t="shared" si="155"/>
        <v>160</v>
      </c>
      <c r="X324" s="279">
        <f t="shared" si="156"/>
        <v>14</v>
      </c>
      <c r="Y324" s="279">
        <f t="shared" si="157"/>
        <v>12</v>
      </c>
      <c r="Z324" s="279">
        <f t="shared" si="158"/>
        <v>0</v>
      </c>
      <c r="AA324" s="279">
        <f t="shared" si="159"/>
        <v>0</v>
      </c>
      <c r="AB324" s="584">
        <f t="shared" si="160"/>
        <v>80</v>
      </c>
      <c r="AC324" s="277"/>
    </row>
    <row r="325" spans="5:29">
      <c r="E325" s="598"/>
      <c r="F325" s="699"/>
      <c r="G325" s="700"/>
      <c r="H325" s="598"/>
      <c r="I325" s="598"/>
      <c r="J325" s="598"/>
      <c r="K325" s="598"/>
      <c r="L325" s="598"/>
      <c r="Q325" s="288">
        <v>46055</v>
      </c>
      <c r="R325" s="276">
        <v>0.45833333333333331</v>
      </c>
      <c r="S325" s="277" t="s">
        <v>289</v>
      </c>
      <c r="T325" s="277" t="s">
        <v>190</v>
      </c>
      <c r="U325" s="278">
        <v>1</v>
      </c>
      <c r="V325" s="361" t="str">
        <f t="shared" si="154"/>
        <v>medium</v>
      </c>
      <c r="W325" s="279">
        <f t="shared" si="155"/>
        <v>62</v>
      </c>
      <c r="X325" s="279">
        <f t="shared" si="156"/>
        <v>1.2</v>
      </c>
      <c r="Y325" s="279">
        <f t="shared" si="157"/>
        <v>0.2</v>
      </c>
      <c r="Z325" s="279">
        <f t="shared" si="158"/>
        <v>15.4</v>
      </c>
      <c r="AA325" s="279">
        <f t="shared" si="159"/>
        <v>3.1</v>
      </c>
      <c r="AB325" s="584">
        <f t="shared" si="160"/>
        <v>0</v>
      </c>
      <c r="AC325" s="277"/>
    </row>
    <row r="326" spans="5:29">
      <c r="E326" s="598"/>
      <c r="F326" s="699"/>
      <c r="G326" s="700"/>
      <c r="H326" s="598"/>
      <c r="I326" s="598"/>
      <c r="J326" s="598"/>
      <c r="K326" s="598"/>
      <c r="L326" s="598"/>
      <c r="Q326" s="288">
        <v>46055</v>
      </c>
      <c r="R326" s="276">
        <v>0.5</v>
      </c>
      <c r="S326" s="277" t="s">
        <v>289</v>
      </c>
      <c r="T326" s="277" t="s">
        <v>815</v>
      </c>
      <c r="U326" s="278">
        <v>0.67</v>
      </c>
      <c r="V326" s="361" t="str">
        <f t="shared" si="154"/>
        <v>piece</v>
      </c>
      <c r="W326" s="279">
        <f t="shared" si="155"/>
        <v>80.400000000000006</v>
      </c>
      <c r="X326" s="279">
        <f t="shared" si="156"/>
        <v>1.34</v>
      </c>
      <c r="Y326" s="279">
        <f t="shared" si="157"/>
        <v>4.0200000000000005</v>
      </c>
      <c r="Z326" s="279">
        <f t="shared" si="158"/>
        <v>9.3800000000000008</v>
      </c>
      <c r="AA326" s="279">
        <f t="shared" si="159"/>
        <v>0.33500000000000002</v>
      </c>
      <c r="AB326" s="584">
        <f t="shared" si="160"/>
        <v>0</v>
      </c>
      <c r="AC326" s="277"/>
    </row>
    <row r="327" spans="5:29">
      <c r="E327" s="598"/>
      <c r="F327" s="699"/>
      <c r="G327" s="700"/>
      <c r="H327" s="598"/>
      <c r="I327" s="598"/>
      <c r="J327" s="598"/>
      <c r="K327" s="598"/>
      <c r="L327" s="598"/>
      <c r="Q327" s="288">
        <v>46055</v>
      </c>
      <c r="R327" s="276">
        <v>0.5</v>
      </c>
      <c r="S327" s="277" t="s">
        <v>185</v>
      </c>
      <c r="T327" s="277" t="s">
        <v>176</v>
      </c>
      <c r="U327" s="278">
        <v>300</v>
      </c>
      <c r="V327" s="361" t="str">
        <f t="shared" si="154"/>
        <v>g</v>
      </c>
      <c r="W327" s="279">
        <f t="shared" si="155"/>
        <v>495</v>
      </c>
      <c r="X327" s="279">
        <f t="shared" si="156"/>
        <v>75</v>
      </c>
      <c r="Y327" s="279">
        <f t="shared" si="157"/>
        <v>10.8</v>
      </c>
      <c r="Z327" s="279">
        <f t="shared" si="158"/>
        <v>0</v>
      </c>
      <c r="AA327" s="279">
        <f t="shared" si="159"/>
        <v>0</v>
      </c>
      <c r="AB327" s="584">
        <f t="shared" si="160"/>
        <v>0</v>
      </c>
      <c r="AC327" s="277"/>
    </row>
    <row r="328" spans="5:29">
      <c r="E328" s="598"/>
      <c r="F328" s="699"/>
      <c r="G328" s="700"/>
      <c r="H328" s="598"/>
      <c r="I328" s="598"/>
      <c r="J328" s="598"/>
      <c r="K328" s="598"/>
      <c r="L328" s="598"/>
      <c r="Q328" s="288">
        <v>46055</v>
      </c>
      <c r="R328" s="276">
        <v>0.5</v>
      </c>
      <c r="S328" s="277" t="s">
        <v>185</v>
      </c>
      <c r="T328" s="277" t="s">
        <v>753</v>
      </c>
      <c r="U328" s="278">
        <v>420</v>
      </c>
      <c r="V328" s="361" t="str">
        <f t="shared" si="154"/>
        <v>g</v>
      </c>
      <c r="W328" s="279">
        <f t="shared" si="155"/>
        <v>546</v>
      </c>
      <c r="X328" s="279">
        <f t="shared" si="156"/>
        <v>4.2</v>
      </c>
      <c r="Y328" s="279">
        <f t="shared" si="157"/>
        <v>0</v>
      </c>
      <c r="Z328" s="279">
        <f t="shared" si="158"/>
        <v>130.20000000000002</v>
      </c>
      <c r="AA328" s="279">
        <f t="shared" si="159"/>
        <v>12.600000000000001</v>
      </c>
      <c r="AB328" s="584">
        <f t="shared" si="160"/>
        <v>0</v>
      </c>
      <c r="AC328" s="277"/>
    </row>
    <row r="329" spans="5:29">
      <c r="E329" s="598"/>
      <c r="F329" s="699"/>
      <c r="G329" s="700"/>
      <c r="H329" s="598"/>
      <c r="I329" s="598"/>
      <c r="J329" s="598"/>
      <c r="K329" s="598"/>
      <c r="L329" s="598"/>
      <c r="Q329" s="288">
        <v>46055</v>
      </c>
      <c r="R329" s="276">
        <v>0.5</v>
      </c>
      <c r="S329" s="277" t="s">
        <v>185</v>
      </c>
      <c r="T329" s="277" t="s">
        <v>374</v>
      </c>
      <c r="U329" s="278">
        <v>2</v>
      </c>
      <c r="V329" s="361" t="str">
        <f t="shared" si="154"/>
        <v>egg</v>
      </c>
      <c r="W329" s="279">
        <f t="shared" si="155"/>
        <v>160</v>
      </c>
      <c r="X329" s="279">
        <f t="shared" si="156"/>
        <v>14</v>
      </c>
      <c r="Y329" s="279">
        <f t="shared" si="157"/>
        <v>12</v>
      </c>
      <c r="Z329" s="279">
        <f t="shared" si="158"/>
        <v>0</v>
      </c>
      <c r="AA329" s="279">
        <f t="shared" si="159"/>
        <v>0</v>
      </c>
      <c r="AB329" s="584">
        <f t="shared" si="160"/>
        <v>80</v>
      </c>
      <c r="AC329" s="277"/>
    </row>
    <row r="330" spans="5:29">
      <c r="E330" s="598"/>
      <c r="F330" s="699"/>
      <c r="G330" s="700"/>
      <c r="H330" s="598"/>
      <c r="I330" s="598"/>
      <c r="J330" s="598"/>
      <c r="K330" s="598"/>
      <c r="L330" s="598"/>
      <c r="Q330" s="288">
        <v>46055</v>
      </c>
      <c r="R330" s="276">
        <v>0.54166666666666663</v>
      </c>
      <c r="S330" s="277" t="s">
        <v>289</v>
      </c>
      <c r="T330" s="277" t="s">
        <v>190</v>
      </c>
      <c r="U330" s="278">
        <v>1</v>
      </c>
      <c r="V330" s="361" t="str">
        <f t="shared" si="154"/>
        <v>medium</v>
      </c>
      <c r="W330" s="279">
        <f t="shared" si="155"/>
        <v>62</v>
      </c>
      <c r="X330" s="279">
        <f t="shared" si="156"/>
        <v>1.2</v>
      </c>
      <c r="Y330" s="279">
        <f t="shared" si="157"/>
        <v>0.2</v>
      </c>
      <c r="Z330" s="279">
        <f t="shared" si="158"/>
        <v>15.4</v>
      </c>
      <c r="AA330" s="279">
        <f t="shared" si="159"/>
        <v>3.1</v>
      </c>
      <c r="AB330" s="584">
        <f t="shared" si="160"/>
        <v>0</v>
      </c>
      <c r="AC330" s="277"/>
    </row>
    <row r="331" spans="5:29">
      <c r="E331" s="598"/>
      <c r="F331" s="699"/>
      <c r="G331" s="700"/>
      <c r="H331" s="598"/>
      <c r="I331" s="598"/>
      <c r="J331" s="598"/>
      <c r="K331" s="598"/>
      <c r="L331" s="598"/>
      <c r="Q331" s="288">
        <v>46055</v>
      </c>
      <c r="R331" s="276">
        <v>0.58333333333333337</v>
      </c>
      <c r="S331" s="277" t="s">
        <v>289</v>
      </c>
      <c r="T331" s="277" t="s">
        <v>268</v>
      </c>
      <c r="U331" s="278">
        <v>1</v>
      </c>
      <c r="V331" s="361" t="str">
        <f t="shared" si="154"/>
        <v>scoop</v>
      </c>
      <c r="W331" s="279">
        <f t="shared" si="155"/>
        <v>160</v>
      </c>
      <c r="X331" s="279">
        <f t="shared" si="156"/>
        <v>2.5</v>
      </c>
      <c r="Y331" s="279">
        <f t="shared" si="157"/>
        <v>8.5</v>
      </c>
      <c r="Z331" s="279">
        <f t="shared" si="158"/>
        <v>19.5</v>
      </c>
      <c r="AA331" s="279">
        <f t="shared" si="159"/>
        <v>0</v>
      </c>
      <c r="AB331" s="584">
        <f t="shared" si="160"/>
        <v>0</v>
      </c>
      <c r="AC331" s="277"/>
    </row>
    <row r="332" spans="5:29">
      <c r="E332" s="598"/>
      <c r="F332" s="699"/>
      <c r="G332" s="700"/>
      <c r="H332" s="598"/>
      <c r="I332" s="598"/>
      <c r="J332" s="598"/>
      <c r="K332" s="598"/>
      <c r="L332" s="598"/>
      <c r="Q332" s="288">
        <v>46055</v>
      </c>
      <c r="R332" s="276">
        <v>0.625</v>
      </c>
      <c r="S332" s="277" t="s">
        <v>289</v>
      </c>
      <c r="T332" s="277" t="s">
        <v>815</v>
      </c>
      <c r="U332" s="278">
        <v>0.67</v>
      </c>
      <c r="V332" s="361" t="str">
        <f t="shared" si="154"/>
        <v>piece</v>
      </c>
      <c r="W332" s="279">
        <f t="shared" si="155"/>
        <v>80.400000000000006</v>
      </c>
      <c r="X332" s="279">
        <f t="shared" si="156"/>
        <v>1.34</v>
      </c>
      <c r="Y332" s="279">
        <f t="shared" si="157"/>
        <v>4.0200000000000005</v>
      </c>
      <c r="Z332" s="279">
        <f t="shared" si="158"/>
        <v>9.3800000000000008</v>
      </c>
      <c r="AA332" s="279">
        <f t="shared" si="159"/>
        <v>0.33500000000000002</v>
      </c>
      <c r="AB332" s="584">
        <f t="shared" si="160"/>
        <v>0</v>
      </c>
      <c r="AC332" s="277"/>
    </row>
    <row r="333" spans="5:29">
      <c r="E333" s="598"/>
      <c r="F333" s="699"/>
      <c r="G333" s="700"/>
      <c r="H333" s="598"/>
      <c r="I333" s="598"/>
      <c r="J333" s="598"/>
      <c r="K333" s="598"/>
      <c r="L333" s="598"/>
      <c r="Q333" s="288">
        <v>46055</v>
      </c>
      <c r="R333" s="276">
        <v>0.70833333333333337</v>
      </c>
      <c r="S333" s="277" t="s">
        <v>289</v>
      </c>
      <c r="T333" s="277" t="s">
        <v>423</v>
      </c>
      <c r="U333" s="278">
        <v>3</v>
      </c>
      <c r="V333" s="361" t="str">
        <f t="shared" si="154"/>
        <v>pieces</v>
      </c>
      <c r="W333" s="279">
        <f t="shared" si="155"/>
        <v>22.5</v>
      </c>
      <c r="X333" s="279">
        <f t="shared" si="156"/>
        <v>0</v>
      </c>
      <c r="Y333" s="279">
        <f t="shared" si="157"/>
        <v>0</v>
      </c>
      <c r="Z333" s="279">
        <f t="shared" si="158"/>
        <v>4.5</v>
      </c>
      <c r="AA333" s="279">
        <f t="shared" si="159"/>
        <v>0</v>
      </c>
      <c r="AB333" s="584">
        <f t="shared" si="160"/>
        <v>0</v>
      </c>
      <c r="AC333" s="277"/>
    </row>
    <row r="334" spans="5:29">
      <c r="E334" s="598"/>
      <c r="F334" s="699"/>
      <c r="G334" s="700"/>
      <c r="H334" s="598"/>
      <c r="I334" s="598"/>
      <c r="J334" s="598"/>
      <c r="K334" s="598"/>
      <c r="L334" s="598"/>
      <c r="Q334" s="288">
        <v>46055</v>
      </c>
      <c r="R334" s="276">
        <v>0.83333333333333337</v>
      </c>
      <c r="S334" s="277" t="s">
        <v>199</v>
      </c>
      <c r="T334" s="277" t="s">
        <v>753</v>
      </c>
      <c r="U334" s="278">
        <v>120</v>
      </c>
      <c r="V334" s="361" t="str">
        <f t="shared" si="154"/>
        <v>g</v>
      </c>
      <c r="W334" s="279">
        <f t="shared" si="155"/>
        <v>156</v>
      </c>
      <c r="X334" s="279">
        <f t="shared" si="156"/>
        <v>1.2</v>
      </c>
      <c r="Y334" s="279">
        <f t="shared" si="157"/>
        <v>0</v>
      </c>
      <c r="Z334" s="279">
        <f t="shared" si="158"/>
        <v>37.199999999999996</v>
      </c>
      <c r="AA334" s="279">
        <f t="shared" si="159"/>
        <v>3.5999999999999996</v>
      </c>
      <c r="AB334" s="584">
        <f t="shared" si="160"/>
        <v>0</v>
      </c>
      <c r="AC334" s="277"/>
    </row>
    <row r="335" spans="5:29">
      <c r="E335" s="598"/>
      <c r="F335" s="699"/>
      <c r="G335" s="700"/>
      <c r="H335" s="598"/>
      <c r="I335" s="598"/>
      <c r="J335" s="598"/>
      <c r="K335" s="598"/>
      <c r="L335" s="598"/>
      <c r="Q335" s="288">
        <v>46055</v>
      </c>
      <c r="R335" s="276">
        <v>0.83333333333333337</v>
      </c>
      <c r="S335" s="277" t="s">
        <v>199</v>
      </c>
      <c r="T335" s="277" t="s">
        <v>374</v>
      </c>
      <c r="U335" s="278">
        <v>2</v>
      </c>
      <c r="V335" s="361" t="str">
        <f t="shared" si="154"/>
        <v>egg</v>
      </c>
      <c r="W335" s="279">
        <f t="shared" si="155"/>
        <v>160</v>
      </c>
      <c r="X335" s="279">
        <f t="shared" si="156"/>
        <v>14</v>
      </c>
      <c r="Y335" s="279">
        <f t="shared" si="157"/>
        <v>12</v>
      </c>
      <c r="Z335" s="279">
        <f t="shared" si="158"/>
        <v>0</v>
      </c>
      <c r="AA335" s="279">
        <f t="shared" si="159"/>
        <v>0</v>
      </c>
      <c r="AB335" s="584">
        <f t="shared" si="160"/>
        <v>80</v>
      </c>
      <c r="AC335" s="277"/>
    </row>
    <row r="336" spans="5:29">
      <c r="E336" s="598"/>
      <c r="F336" s="699"/>
      <c r="G336" s="700"/>
      <c r="H336" s="598"/>
      <c r="I336" s="598"/>
      <c r="J336" s="598"/>
      <c r="K336" s="598"/>
      <c r="L336" s="598"/>
      <c r="Q336" s="288">
        <v>46055</v>
      </c>
      <c r="R336" s="276">
        <v>0.875</v>
      </c>
      <c r="S336" s="277" t="s">
        <v>199</v>
      </c>
      <c r="T336" s="277" t="s">
        <v>209</v>
      </c>
      <c r="U336" s="278">
        <v>3</v>
      </c>
      <c r="V336" s="361" t="str">
        <f t="shared" si="154"/>
        <v>tbsp</v>
      </c>
      <c r="W336" s="279">
        <f t="shared" si="155"/>
        <v>60</v>
      </c>
      <c r="X336" s="279">
        <f t="shared" si="156"/>
        <v>0</v>
      </c>
      <c r="Y336" s="279">
        <f t="shared" si="157"/>
        <v>0</v>
      </c>
      <c r="Z336" s="279">
        <f t="shared" si="158"/>
        <v>15</v>
      </c>
      <c r="AA336" s="279">
        <f t="shared" si="159"/>
        <v>13.5</v>
      </c>
      <c r="AB336" s="584">
        <f t="shared" si="160"/>
        <v>0</v>
      </c>
      <c r="AC336" s="277"/>
    </row>
    <row r="337" spans="5:29">
      <c r="E337" s="598"/>
      <c r="F337" s="699"/>
      <c r="G337" s="700"/>
      <c r="H337" s="598"/>
      <c r="I337" s="598"/>
      <c r="J337" s="598"/>
      <c r="K337" s="598"/>
      <c r="L337" s="598"/>
      <c r="Q337" s="288">
        <v>46055</v>
      </c>
      <c r="R337" s="276">
        <v>0.875</v>
      </c>
      <c r="S337" s="277" t="s">
        <v>289</v>
      </c>
      <c r="T337" s="277" t="s">
        <v>323</v>
      </c>
      <c r="U337" s="278">
        <v>1</v>
      </c>
      <c r="V337" s="361" t="str">
        <f t="shared" si="154"/>
        <v>double bars</v>
      </c>
      <c r="W337" s="279">
        <f t="shared" si="155"/>
        <v>180</v>
      </c>
      <c r="X337" s="279">
        <f t="shared" si="156"/>
        <v>2</v>
      </c>
      <c r="Y337" s="279">
        <f t="shared" si="157"/>
        <v>9</v>
      </c>
      <c r="Z337" s="279">
        <f t="shared" si="158"/>
        <v>24</v>
      </c>
      <c r="AA337" s="279">
        <f t="shared" si="159"/>
        <v>0</v>
      </c>
      <c r="AB337" s="684">
        <f t="shared" si="160"/>
        <v>0</v>
      </c>
      <c r="AC337" s="277"/>
    </row>
    <row r="338" spans="5:29">
      <c r="E338" s="598"/>
      <c r="F338" s="699"/>
      <c r="G338" s="700"/>
      <c r="H338" s="598"/>
      <c r="I338" s="598"/>
      <c r="J338" s="598"/>
      <c r="K338" s="598"/>
      <c r="L338" s="598"/>
      <c r="Q338" s="280"/>
      <c r="R338" s="281" t="s">
        <v>217</v>
      </c>
      <c r="S338" s="294"/>
      <c r="T338" s="282"/>
      <c r="U338" s="282"/>
      <c r="V338" s="364"/>
      <c r="W338" s="283">
        <f t="shared" ref="W338:AB338" si="161">SUM(W323:W337)</f>
        <v>2644.3</v>
      </c>
      <c r="X338" s="283">
        <f t="shared" si="161"/>
        <v>164.98</v>
      </c>
      <c r="Y338" s="283">
        <f t="shared" si="161"/>
        <v>78.740000000000009</v>
      </c>
      <c r="Z338" s="283">
        <f t="shared" si="161"/>
        <v>299.96000000000004</v>
      </c>
      <c r="AA338" s="683">
        <f t="shared" si="161"/>
        <v>36.57</v>
      </c>
      <c r="AB338" s="691">
        <f t="shared" si="161"/>
        <v>240</v>
      </c>
      <c r="AC338" s="281"/>
    </row>
    <row r="339" spans="5:29">
      <c r="E339" s="598"/>
      <c r="F339" s="699"/>
      <c r="G339" s="700"/>
      <c r="H339" s="598"/>
      <c r="I339" s="598"/>
      <c r="J339" s="598"/>
      <c r="K339" s="598"/>
      <c r="L339" s="598"/>
      <c r="Q339" s="280"/>
      <c r="R339" s="281" t="s">
        <v>220</v>
      </c>
      <c r="S339" s="294"/>
      <c r="T339" s="282"/>
      <c r="U339" s="282"/>
      <c r="V339" s="364"/>
      <c r="W339" s="284">
        <f>$B$27</f>
        <v>2834.5625</v>
      </c>
      <c r="X339" s="284">
        <f>$B$29</f>
        <v>154</v>
      </c>
      <c r="Y339" s="284">
        <f>$B$30</f>
        <v>63.91</v>
      </c>
      <c r="Z339" s="284">
        <f>$B$31</f>
        <v>410.84312499999999</v>
      </c>
      <c r="AA339" s="690">
        <f>$B$32</f>
        <v>39.683875</v>
      </c>
      <c r="AB339" s="695">
        <f>$B$39</f>
        <v>500</v>
      </c>
      <c r="AC339" s="281"/>
    </row>
    <row r="340" spans="5:29">
      <c r="E340" s="598"/>
      <c r="F340" s="699"/>
      <c r="G340" s="700"/>
      <c r="H340" s="598"/>
      <c r="I340" s="598"/>
      <c r="J340" s="598"/>
      <c r="K340" s="598"/>
      <c r="L340" s="598"/>
      <c r="Q340" s="280"/>
      <c r="R340" s="281" t="s">
        <v>222</v>
      </c>
      <c r="S340" s="294"/>
      <c r="T340" s="282"/>
      <c r="U340" s="282"/>
      <c r="V340" s="364"/>
      <c r="W340" s="284">
        <f t="shared" ref="W340:AB340" si="162">W338-W339</f>
        <v>-190.26249999999982</v>
      </c>
      <c r="X340" s="284">
        <f t="shared" si="162"/>
        <v>10.97999999999999</v>
      </c>
      <c r="Y340" s="284">
        <f t="shared" si="162"/>
        <v>14.830000000000013</v>
      </c>
      <c r="Z340" s="284">
        <f t="shared" si="162"/>
        <v>-110.88312499999995</v>
      </c>
      <c r="AA340" s="690">
        <f t="shared" si="162"/>
        <v>-3.1138750000000002</v>
      </c>
      <c r="AB340" s="689">
        <f t="shared" si="162"/>
        <v>-260</v>
      </c>
      <c r="AC340" s="281"/>
    </row>
    <row r="341" spans="5:29">
      <c r="E341" s="598"/>
      <c r="F341" s="699"/>
      <c r="G341" s="700"/>
      <c r="H341" s="598"/>
      <c r="I341" s="598"/>
      <c r="J341" s="598"/>
      <c r="K341" s="598"/>
      <c r="L341" s="598"/>
      <c r="Q341" s="288">
        <v>46056</v>
      </c>
      <c r="R341" s="276">
        <v>0.33333333333333331</v>
      </c>
      <c r="S341" s="277" t="s">
        <v>178</v>
      </c>
      <c r="T341" s="277" t="s">
        <v>459</v>
      </c>
      <c r="U341" s="278">
        <v>154.30000000000001</v>
      </c>
      <c r="V341" s="361" t="str">
        <f t="shared" ref="V341:V354" si="163">IFERROR(VLOOKUP(T341, $E$5:$L$818, 3, FALSE), "")</f>
        <v/>
      </c>
      <c r="W341" s="279" t="str">
        <f t="shared" ref="W341:W354" si="164">IFERROR(VLOOKUP(T341, $E$5:$L$818, 4, FALSE) * (U341 / VLOOKUP(T341, $E$5:$L$818, 2, FALSE)), "")</f>
        <v/>
      </c>
      <c r="X341" s="279" t="str">
        <f t="shared" ref="X341:X354" si="165">IFERROR(VLOOKUP(T341, $E$5:$L$818, 5, FALSE) * (U341 / VLOOKUP(T341, $E$5:$L$818, 2, FALSE)), "")</f>
        <v/>
      </c>
      <c r="Y341" s="279" t="str">
        <f t="shared" ref="Y341:Y354" si="166">IFERROR(VLOOKUP(T341, $E$5:$L$818, 6, FALSE) * (U341 / VLOOKUP(T341, $E$5:$L$818, 2, FALSE)), "")</f>
        <v/>
      </c>
      <c r="Z341" s="279" t="str">
        <f t="shared" ref="Z341:Z354" si="167">IFERROR(VLOOKUP(T341, $E$5:$L$818, 7, FALSE) * (U341 / VLOOKUP(T341, $E$5:$L$818, 2, FALSE)), "")</f>
        <v/>
      </c>
      <c r="AA341" s="279" t="str">
        <f t="shared" ref="AA341:AA354" si="168">IFERROR(VLOOKUP(T341, $E$5:$L$818, 8, FALSE) * (U341 / VLOOKUP(T341, $E$5:$L$818, 2, FALSE)), "")</f>
        <v/>
      </c>
      <c r="AB341" s="674" t="str">
        <f t="shared" ref="AB341:AB354" si="169">IFERROR(VLOOKUP(T341, $E$5:$O$818, 9, FALSE) * (U341 / VLOOKUP(T341, $E$5:$O$818, 2, FALSE)), "")</f>
        <v/>
      </c>
      <c r="AC341" s="277"/>
    </row>
    <row r="342" spans="5:29">
      <c r="E342" s="598"/>
      <c r="F342" s="699"/>
      <c r="G342" s="700"/>
      <c r="H342" s="598"/>
      <c r="I342" s="598"/>
      <c r="J342" s="598"/>
      <c r="K342" s="598"/>
      <c r="L342" s="598"/>
      <c r="Q342" s="288">
        <v>46056</v>
      </c>
      <c r="R342" s="276">
        <v>0.33333333333333331</v>
      </c>
      <c r="S342" s="277" t="s">
        <v>178</v>
      </c>
      <c r="T342" s="277" t="s">
        <v>460</v>
      </c>
      <c r="U342" s="278">
        <v>196.2</v>
      </c>
      <c r="V342" s="361" t="str">
        <f t="shared" si="163"/>
        <v>g</v>
      </c>
      <c r="W342" s="279">
        <f t="shared" si="164"/>
        <v>98.1</v>
      </c>
      <c r="X342" s="279">
        <f t="shared" si="165"/>
        <v>1.5696000000000001</v>
      </c>
      <c r="Y342" s="279">
        <f t="shared" si="166"/>
        <v>0.39240000000000003</v>
      </c>
      <c r="Z342" s="279">
        <f t="shared" si="167"/>
        <v>23.544</v>
      </c>
      <c r="AA342" s="279">
        <f t="shared" si="168"/>
        <v>10.594800000000001</v>
      </c>
      <c r="AB342" s="584">
        <f t="shared" si="169"/>
        <v>0</v>
      </c>
      <c r="AC342" s="277"/>
    </row>
    <row r="343" spans="5:29">
      <c r="E343" s="598"/>
      <c r="F343" s="699"/>
      <c r="G343" s="700"/>
      <c r="H343" s="598"/>
      <c r="I343" s="598"/>
      <c r="J343" s="598"/>
      <c r="K343" s="598"/>
      <c r="L343" s="598"/>
      <c r="Q343" s="288">
        <v>46056</v>
      </c>
      <c r="R343" s="276">
        <v>0.41666666666666669</v>
      </c>
      <c r="S343" s="277" t="s">
        <v>289</v>
      </c>
      <c r="T343" s="277" t="s">
        <v>418</v>
      </c>
      <c r="U343" s="278">
        <v>0.25</v>
      </c>
      <c r="V343" s="361" t="str">
        <f t="shared" si="163"/>
        <v>potato</v>
      </c>
      <c r="W343" s="279">
        <f t="shared" si="164"/>
        <v>37.5</v>
      </c>
      <c r="X343" s="279">
        <f t="shared" si="165"/>
        <v>0.5</v>
      </c>
      <c r="Y343" s="279">
        <f t="shared" si="166"/>
        <v>0</v>
      </c>
      <c r="Z343" s="279">
        <f t="shared" si="167"/>
        <v>8.75</v>
      </c>
      <c r="AA343" s="279">
        <f t="shared" si="168"/>
        <v>1.25</v>
      </c>
      <c r="AB343" s="584">
        <f t="shared" si="169"/>
        <v>0</v>
      </c>
      <c r="AC343" s="277"/>
    </row>
    <row r="344" spans="5:29">
      <c r="E344" s="598"/>
      <c r="F344" s="699"/>
      <c r="G344" s="700"/>
      <c r="H344" s="598"/>
      <c r="I344" s="598"/>
      <c r="J344" s="598"/>
      <c r="K344" s="598"/>
      <c r="L344" s="598"/>
      <c r="Q344" s="288">
        <v>46056</v>
      </c>
      <c r="R344" s="276">
        <v>0.45833333333333298</v>
      </c>
      <c r="S344" s="277" t="s">
        <v>289</v>
      </c>
      <c r="T344" s="277" t="s">
        <v>453</v>
      </c>
      <c r="U344" s="278">
        <v>1</v>
      </c>
      <c r="V344" s="361" t="str">
        <f t="shared" si="163"/>
        <v>piece</v>
      </c>
      <c r="W344" s="279">
        <f t="shared" si="164"/>
        <v>73</v>
      </c>
      <c r="X344" s="279">
        <f t="shared" si="165"/>
        <v>1</v>
      </c>
      <c r="Y344" s="279">
        <f t="shared" si="166"/>
        <v>5.3</v>
      </c>
      <c r="Z344" s="279">
        <f t="shared" si="167"/>
        <v>5.3</v>
      </c>
      <c r="AA344" s="279">
        <f t="shared" si="168"/>
        <v>0.3</v>
      </c>
      <c r="AB344" s="584">
        <f t="shared" si="169"/>
        <v>0</v>
      </c>
      <c r="AC344" s="277"/>
    </row>
    <row r="345" spans="5:29">
      <c r="E345" s="598"/>
      <c r="F345" s="699"/>
      <c r="G345" s="700"/>
      <c r="H345" s="598"/>
      <c r="I345" s="598"/>
      <c r="J345" s="598"/>
      <c r="K345" s="598"/>
      <c r="L345" s="598"/>
      <c r="Q345" s="288">
        <v>46056</v>
      </c>
      <c r="R345" s="276">
        <v>0.45833333333333298</v>
      </c>
      <c r="S345" s="277" t="s">
        <v>289</v>
      </c>
      <c r="T345" s="277" t="s">
        <v>463</v>
      </c>
      <c r="U345" s="278">
        <v>1</v>
      </c>
      <c r="V345" s="361" t="str">
        <f t="shared" si="163"/>
        <v>bottle</v>
      </c>
      <c r="W345" s="279">
        <f t="shared" si="164"/>
        <v>190</v>
      </c>
      <c r="X345" s="279">
        <f t="shared" si="165"/>
        <v>35</v>
      </c>
      <c r="Y345" s="279">
        <f t="shared" si="166"/>
        <v>2</v>
      </c>
      <c r="Z345" s="279">
        <f t="shared" si="167"/>
        <v>9</v>
      </c>
      <c r="AA345" s="279">
        <f t="shared" si="168"/>
        <v>0</v>
      </c>
      <c r="AB345" s="584">
        <f t="shared" si="169"/>
        <v>0</v>
      </c>
      <c r="AC345" s="277"/>
    </row>
    <row r="346" spans="5:29">
      <c r="E346" s="598"/>
      <c r="F346" s="699"/>
      <c r="G346" s="700"/>
      <c r="H346" s="598"/>
      <c r="I346" s="598"/>
      <c r="J346" s="598"/>
      <c r="K346" s="598"/>
      <c r="L346" s="598"/>
      <c r="Q346" s="288">
        <v>46056</v>
      </c>
      <c r="R346" s="276">
        <v>0.5</v>
      </c>
      <c r="S346" s="277" t="s">
        <v>289</v>
      </c>
      <c r="T346" s="277" t="s">
        <v>461</v>
      </c>
      <c r="U346" s="278">
        <v>1</v>
      </c>
      <c r="V346" s="361" t="str">
        <f t="shared" si="163"/>
        <v>chunks</v>
      </c>
      <c r="W346" s="279">
        <f t="shared" si="164"/>
        <v>24.285714285714285</v>
      </c>
      <c r="X346" s="279">
        <f t="shared" si="165"/>
        <v>0.42857142857142855</v>
      </c>
      <c r="Y346" s="279">
        <f t="shared" si="166"/>
        <v>1.4285714285714284</v>
      </c>
      <c r="Z346" s="279">
        <f t="shared" si="167"/>
        <v>2.5714285714285712</v>
      </c>
      <c r="AA346" s="279">
        <f t="shared" si="168"/>
        <v>7.1428571428571425E-2</v>
      </c>
      <c r="AB346" s="584">
        <f t="shared" si="169"/>
        <v>0</v>
      </c>
      <c r="AC346" s="277"/>
    </row>
    <row r="347" spans="5:29">
      <c r="E347" s="598"/>
      <c r="F347" s="699"/>
      <c r="G347" s="700"/>
      <c r="H347" s="598"/>
      <c r="I347" s="598"/>
      <c r="J347" s="598"/>
      <c r="K347" s="598"/>
      <c r="L347" s="598"/>
      <c r="Q347" s="288">
        <v>46056</v>
      </c>
      <c r="R347" s="276">
        <v>0.54166666666666663</v>
      </c>
      <c r="S347" s="277" t="s">
        <v>185</v>
      </c>
      <c r="T347" s="277" t="s">
        <v>466</v>
      </c>
      <c r="U347" s="278">
        <v>1</v>
      </c>
      <c r="V347" s="361" t="str">
        <f t="shared" si="163"/>
        <v>plate</v>
      </c>
      <c r="W347" s="279">
        <f t="shared" si="164"/>
        <v>850</v>
      </c>
      <c r="X347" s="279">
        <f t="shared" si="165"/>
        <v>38</v>
      </c>
      <c r="Y347" s="279">
        <f t="shared" si="166"/>
        <v>38</v>
      </c>
      <c r="Z347" s="279">
        <f t="shared" si="167"/>
        <v>92</v>
      </c>
      <c r="AA347" s="279">
        <f t="shared" si="168"/>
        <v>7</v>
      </c>
      <c r="AB347" s="584">
        <f t="shared" si="169"/>
        <v>0</v>
      </c>
      <c r="AC347" s="277"/>
    </row>
    <row r="348" spans="5:29">
      <c r="E348" s="598"/>
      <c r="F348" s="699"/>
      <c r="G348" s="700"/>
      <c r="H348" s="598"/>
      <c r="I348" s="598"/>
      <c r="J348" s="598"/>
      <c r="K348" s="598"/>
      <c r="L348" s="598"/>
      <c r="Q348" s="288">
        <v>46056</v>
      </c>
      <c r="R348" s="276">
        <v>0.83333333333333337</v>
      </c>
      <c r="S348" s="277" t="s">
        <v>199</v>
      </c>
      <c r="T348" s="277" t="s">
        <v>465</v>
      </c>
      <c r="U348" s="278">
        <v>97</v>
      </c>
      <c r="V348" s="361" t="str">
        <f t="shared" si="163"/>
        <v>g</v>
      </c>
      <c r="W348" s="279">
        <f t="shared" si="164"/>
        <v>174.6</v>
      </c>
      <c r="X348" s="279">
        <f t="shared" si="165"/>
        <v>21.34</v>
      </c>
      <c r="Y348" s="279">
        <f t="shared" si="166"/>
        <v>8.73</v>
      </c>
      <c r="Z348" s="279">
        <f t="shared" si="167"/>
        <v>1.94</v>
      </c>
      <c r="AA348" s="279">
        <f t="shared" si="168"/>
        <v>0</v>
      </c>
      <c r="AB348" s="584">
        <f t="shared" si="169"/>
        <v>0</v>
      </c>
      <c r="AC348" s="277"/>
    </row>
    <row r="349" spans="5:29">
      <c r="E349" s="598"/>
      <c r="F349" s="699"/>
      <c r="G349" s="700"/>
      <c r="H349" s="598"/>
      <c r="I349" s="598"/>
      <c r="J349" s="598"/>
      <c r="K349" s="598"/>
      <c r="L349" s="598"/>
      <c r="Q349" s="288">
        <v>46056</v>
      </c>
      <c r="R349" s="276">
        <v>0.83333333333333337</v>
      </c>
      <c r="S349" s="277" t="s">
        <v>199</v>
      </c>
      <c r="T349" s="277" t="s">
        <v>176</v>
      </c>
      <c r="U349" s="278">
        <v>235</v>
      </c>
      <c r="V349" s="361" t="str">
        <f t="shared" si="163"/>
        <v>g</v>
      </c>
      <c r="W349" s="279">
        <f t="shared" si="164"/>
        <v>387.75</v>
      </c>
      <c r="X349" s="279">
        <f t="shared" si="165"/>
        <v>58.75</v>
      </c>
      <c r="Y349" s="279">
        <f t="shared" si="166"/>
        <v>8.4600000000000009</v>
      </c>
      <c r="Z349" s="279">
        <f t="shared" si="167"/>
        <v>0</v>
      </c>
      <c r="AA349" s="279">
        <f t="shared" si="168"/>
        <v>0</v>
      </c>
      <c r="AB349" s="584">
        <f t="shared" si="169"/>
        <v>0</v>
      </c>
      <c r="AC349" s="277"/>
    </row>
    <row r="350" spans="5:29">
      <c r="E350" s="598"/>
      <c r="F350" s="699"/>
      <c r="G350" s="700"/>
      <c r="H350" s="598"/>
      <c r="I350" s="598"/>
      <c r="J350" s="598"/>
      <c r="K350" s="598"/>
      <c r="L350" s="598"/>
      <c r="Q350" s="288">
        <v>46056</v>
      </c>
      <c r="R350" s="276">
        <v>0.83333333333333337</v>
      </c>
      <c r="S350" s="277" t="s">
        <v>199</v>
      </c>
      <c r="T350" s="277" t="s">
        <v>753</v>
      </c>
      <c r="U350" s="278">
        <v>136</v>
      </c>
      <c r="V350" s="361" t="str">
        <f t="shared" si="163"/>
        <v>g</v>
      </c>
      <c r="W350" s="279">
        <f t="shared" si="164"/>
        <v>176.8</v>
      </c>
      <c r="X350" s="279">
        <f t="shared" si="165"/>
        <v>1.36</v>
      </c>
      <c r="Y350" s="279">
        <f t="shared" si="166"/>
        <v>0</v>
      </c>
      <c r="Z350" s="279">
        <f t="shared" si="167"/>
        <v>42.160000000000004</v>
      </c>
      <c r="AA350" s="279">
        <f t="shared" si="168"/>
        <v>4.08</v>
      </c>
      <c r="AB350" s="584">
        <f t="shared" si="169"/>
        <v>0</v>
      </c>
      <c r="AC350" s="277"/>
    </row>
    <row r="351" spans="5:29">
      <c r="E351" s="598"/>
      <c r="F351" s="699"/>
      <c r="G351" s="700"/>
      <c r="H351" s="598"/>
      <c r="I351" s="598"/>
      <c r="J351" s="598"/>
      <c r="K351" s="598"/>
      <c r="L351" s="598"/>
      <c r="Q351" s="288">
        <v>46056</v>
      </c>
      <c r="R351" s="276">
        <v>0.83333333333333337</v>
      </c>
      <c r="S351" s="277" t="s">
        <v>199</v>
      </c>
      <c r="T351" s="277" t="s">
        <v>374</v>
      </c>
      <c r="U351" s="278">
        <v>2</v>
      </c>
      <c r="V351" s="361" t="str">
        <f t="shared" si="163"/>
        <v>egg</v>
      </c>
      <c r="W351" s="279">
        <f t="shared" si="164"/>
        <v>160</v>
      </c>
      <c r="X351" s="279">
        <f t="shared" si="165"/>
        <v>14</v>
      </c>
      <c r="Y351" s="279">
        <f t="shared" si="166"/>
        <v>12</v>
      </c>
      <c r="Z351" s="279">
        <f t="shared" si="167"/>
        <v>0</v>
      </c>
      <c r="AA351" s="279">
        <f t="shared" si="168"/>
        <v>0</v>
      </c>
      <c r="AB351" s="584">
        <f t="shared" si="169"/>
        <v>80</v>
      </c>
      <c r="AC351" s="277"/>
    </row>
    <row r="352" spans="5:29">
      <c r="E352" s="598"/>
      <c r="F352" s="699"/>
      <c r="G352" s="700"/>
      <c r="H352" s="598"/>
      <c r="I352" s="598"/>
      <c r="J352" s="598"/>
      <c r="K352" s="598"/>
      <c r="L352" s="598"/>
      <c r="Q352" s="288">
        <v>46056</v>
      </c>
      <c r="R352" s="276">
        <v>0.83333333333333337</v>
      </c>
      <c r="S352" s="277" t="s">
        <v>199</v>
      </c>
      <c r="T352" s="277" t="s">
        <v>181</v>
      </c>
      <c r="U352" s="278">
        <v>4</v>
      </c>
      <c r="V352" s="361" t="str">
        <f t="shared" si="163"/>
        <v>slice</v>
      </c>
      <c r="W352" s="279">
        <f t="shared" si="164"/>
        <v>280</v>
      </c>
      <c r="X352" s="279">
        <f t="shared" si="165"/>
        <v>10</v>
      </c>
      <c r="Y352" s="279">
        <f t="shared" si="166"/>
        <v>5</v>
      </c>
      <c r="Z352" s="279">
        <f t="shared" si="167"/>
        <v>48</v>
      </c>
      <c r="AA352" s="279">
        <f t="shared" si="168"/>
        <v>4</v>
      </c>
      <c r="AB352" s="584">
        <f t="shared" si="169"/>
        <v>0</v>
      </c>
      <c r="AC352" s="277"/>
    </row>
    <row r="353" spans="5:29">
      <c r="E353" s="598"/>
      <c r="F353" s="699"/>
      <c r="G353" s="700"/>
      <c r="H353" s="598"/>
      <c r="I353" s="598"/>
      <c r="J353" s="598"/>
      <c r="K353" s="598"/>
      <c r="L353" s="598"/>
      <c r="Q353" s="288">
        <v>46056</v>
      </c>
      <c r="R353" s="276">
        <v>0.83333333333333337</v>
      </c>
      <c r="S353" s="277" t="s">
        <v>199</v>
      </c>
      <c r="T353" s="277" t="s">
        <v>431</v>
      </c>
      <c r="U353" s="278">
        <v>1</v>
      </c>
      <c r="V353" s="361" t="str">
        <f t="shared" si="163"/>
        <v>piece</v>
      </c>
      <c r="W353" s="279">
        <f t="shared" si="164"/>
        <v>139</v>
      </c>
      <c r="X353" s="279">
        <f t="shared" si="165"/>
        <v>1.1000000000000001</v>
      </c>
      <c r="Y353" s="279">
        <f t="shared" si="166"/>
        <v>7.3</v>
      </c>
      <c r="Z353" s="279">
        <f t="shared" si="167"/>
        <v>17</v>
      </c>
      <c r="AA353" s="279">
        <f t="shared" si="168"/>
        <v>0.5</v>
      </c>
      <c r="AB353" s="584">
        <f t="shared" si="169"/>
        <v>0</v>
      </c>
      <c r="AC353" s="277"/>
    </row>
    <row r="354" spans="5:29">
      <c r="E354" s="598"/>
      <c r="F354" s="699"/>
      <c r="G354" s="700"/>
      <c r="H354" s="598"/>
      <c r="I354" s="598"/>
      <c r="J354" s="598"/>
      <c r="K354" s="598"/>
      <c r="L354" s="598"/>
      <c r="Q354" s="288">
        <v>46056</v>
      </c>
      <c r="R354" s="276">
        <v>0.83333333333333337</v>
      </c>
      <c r="S354" s="277" t="s">
        <v>199</v>
      </c>
      <c r="T354" s="277" t="s">
        <v>209</v>
      </c>
      <c r="U354" s="278">
        <v>3</v>
      </c>
      <c r="V354" s="361" t="str">
        <f t="shared" si="163"/>
        <v>tbsp</v>
      </c>
      <c r="W354" s="279">
        <f t="shared" si="164"/>
        <v>60</v>
      </c>
      <c r="X354" s="279">
        <f t="shared" si="165"/>
        <v>0</v>
      </c>
      <c r="Y354" s="279">
        <f t="shared" si="166"/>
        <v>0</v>
      </c>
      <c r="Z354" s="279">
        <f t="shared" si="167"/>
        <v>15</v>
      </c>
      <c r="AA354" s="279">
        <f t="shared" si="168"/>
        <v>13.5</v>
      </c>
      <c r="AB354" s="684">
        <f t="shared" si="169"/>
        <v>0</v>
      </c>
      <c r="AC354" s="277"/>
    </row>
    <row r="355" spans="5:29">
      <c r="E355" s="598"/>
      <c r="F355" s="699"/>
      <c r="G355" s="700"/>
      <c r="H355" s="598"/>
      <c r="I355" s="598"/>
      <c r="J355" s="598"/>
      <c r="K355" s="598"/>
      <c r="L355" s="598"/>
      <c r="Q355" s="280"/>
      <c r="R355" s="281" t="s">
        <v>217</v>
      </c>
      <c r="S355" s="294"/>
      <c r="T355" s="282"/>
      <c r="U355" s="282"/>
      <c r="V355" s="364"/>
      <c r="W355" s="283">
        <f t="shared" ref="W355:AB355" si="170">SUM(W341:W354)</f>
        <v>2651.0357142857142</v>
      </c>
      <c r="X355" s="283">
        <f t="shared" si="170"/>
        <v>183.04817142857144</v>
      </c>
      <c r="Y355" s="283">
        <f t="shared" si="170"/>
        <v>88.610971428571432</v>
      </c>
      <c r="Z355" s="283">
        <f t="shared" si="170"/>
        <v>265.26542857142852</v>
      </c>
      <c r="AA355" s="683">
        <f t="shared" si="170"/>
        <v>41.296228571428571</v>
      </c>
      <c r="AB355" s="691">
        <f t="shared" si="170"/>
        <v>80</v>
      </c>
      <c r="AC355" s="281"/>
    </row>
    <row r="356" spans="5:29">
      <c r="E356" s="598"/>
      <c r="F356" s="699"/>
      <c r="G356" s="700"/>
      <c r="H356" s="598"/>
      <c r="I356" s="598"/>
      <c r="J356" s="598"/>
      <c r="K356" s="598"/>
      <c r="L356" s="598"/>
      <c r="Q356" s="280"/>
      <c r="R356" s="281" t="s">
        <v>220</v>
      </c>
      <c r="S356" s="294"/>
      <c r="T356" s="282"/>
      <c r="U356" s="282"/>
      <c r="V356" s="364"/>
      <c r="W356" s="284">
        <f>$B$27</f>
        <v>2834.5625</v>
      </c>
      <c r="X356" s="284">
        <f>$B$29</f>
        <v>154</v>
      </c>
      <c r="Y356" s="284">
        <f>$B$30</f>
        <v>63.91</v>
      </c>
      <c r="Z356" s="284">
        <f>$B$31</f>
        <v>410.84312499999999</v>
      </c>
      <c r="AA356" s="690">
        <f>$B$32</f>
        <v>39.683875</v>
      </c>
      <c r="AB356" s="695">
        <f>$B$39</f>
        <v>500</v>
      </c>
      <c r="AC356" s="281"/>
    </row>
    <row r="357" spans="5:29">
      <c r="E357" s="598"/>
      <c r="F357" s="699"/>
      <c r="G357" s="700"/>
      <c r="H357" s="598"/>
      <c r="I357" s="598"/>
      <c r="J357" s="598"/>
      <c r="K357" s="598"/>
      <c r="L357" s="598"/>
      <c r="Q357" s="280"/>
      <c r="R357" s="281" t="s">
        <v>222</v>
      </c>
      <c r="S357" s="294"/>
      <c r="T357" s="282"/>
      <c r="U357" s="282"/>
      <c r="V357" s="364"/>
      <c r="W357" s="284">
        <f t="shared" ref="W357:AB357" si="171">W355-W356</f>
        <v>-183.52678571428578</v>
      </c>
      <c r="X357" s="284">
        <f t="shared" si="171"/>
        <v>29.048171428571436</v>
      </c>
      <c r="Y357" s="284">
        <f t="shared" si="171"/>
        <v>24.700971428571435</v>
      </c>
      <c r="Z357" s="284">
        <f t="shared" si="171"/>
        <v>-145.57769642857147</v>
      </c>
      <c r="AA357" s="690">
        <f t="shared" si="171"/>
        <v>1.6123535714285708</v>
      </c>
      <c r="AB357" s="689">
        <f t="shared" si="171"/>
        <v>-420</v>
      </c>
      <c r="AC357" s="281"/>
    </row>
    <row r="358" spans="5:29">
      <c r="E358" s="598"/>
      <c r="F358" s="699"/>
      <c r="G358" s="700"/>
      <c r="H358" s="598"/>
      <c r="I358" s="598"/>
      <c r="J358" s="598"/>
      <c r="K358" s="598"/>
      <c r="L358" s="598"/>
      <c r="Q358" s="288">
        <v>46057</v>
      </c>
      <c r="R358" s="276">
        <v>0.33333333333333331</v>
      </c>
      <c r="S358" s="277" t="s">
        <v>178</v>
      </c>
      <c r="T358" s="277" t="s">
        <v>753</v>
      </c>
      <c r="U358" s="278">
        <v>307</v>
      </c>
      <c r="V358" s="361" t="str">
        <f t="shared" ref="V358:V373" si="172">IFERROR(VLOOKUP(T358, $E$5:$L$818, 3, FALSE), "")</f>
        <v>g</v>
      </c>
      <c r="W358" s="279">
        <f t="shared" ref="W358:W373" si="173">IFERROR(VLOOKUP(T358, $E$5:$L$818, 4, FALSE) * (U358 / VLOOKUP(T358, $E$5:$L$818, 2, FALSE)), "")</f>
        <v>399.09999999999997</v>
      </c>
      <c r="X358" s="279">
        <f t="shared" ref="X358:X373" si="174">IFERROR(VLOOKUP(T358, $E$5:$L$818, 5, FALSE) * (U358 / VLOOKUP(T358, $E$5:$L$818, 2, FALSE)), "")</f>
        <v>3.07</v>
      </c>
      <c r="Y358" s="279">
        <f t="shared" ref="Y358:Y373" si="175">IFERROR(VLOOKUP(T358, $E$5:$L$818, 6, FALSE) * (U358 / VLOOKUP(T358, $E$5:$L$818, 2, FALSE)), "")</f>
        <v>0</v>
      </c>
      <c r="Z358" s="279">
        <f t="shared" ref="Z358:Z373" si="176">IFERROR(VLOOKUP(T358, $E$5:$L$818, 7, FALSE) * (U358 / VLOOKUP(T358, $E$5:$L$818, 2, FALSE)), "")</f>
        <v>95.17</v>
      </c>
      <c r="AA358" s="279">
        <f t="shared" ref="AA358:AA373" si="177">IFERROR(VLOOKUP(T358, $E$5:$L$818, 8, FALSE) * (U358 / VLOOKUP(T358, $E$5:$L$818, 2, FALSE)), "")</f>
        <v>9.2099999999999991</v>
      </c>
      <c r="AB358" s="674">
        <f t="shared" ref="AB358:AB373" si="178">IFERROR(VLOOKUP(T358, $E$5:$O$818, 9, FALSE) * (U358 / VLOOKUP(T358, $E$5:$O$818, 2, FALSE)), "")</f>
        <v>0</v>
      </c>
      <c r="AC358" s="277"/>
    </row>
    <row r="359" spans="5:29">
      <c r="E359" s="598"/>
      <c r="F359" s="699"/>
      <c r="G359" s="700"/>
      <c r="H359" s="598"/>
      <c r="I359" s="598"/>
      <c r="J359" s="598"/>
      <c r="K359" s="598"/>
      <c r="L359" s="598"/>
      <c r="Q359" s="288">
        <v>46057</v>
      </c>
      <c r="R359" s="276">
        <v>0.33333333333333331</v>
      </c>
      <c r="S359" s="277" t="s">
        <v>178</v>
      </c>
      <c r="T359" s="277" t="s">
        <v>463</v>
      </c>
      <c r="U359" s="278">
        <v>1</v>
      </c>
      <c r="V359" s="361" t="str">
        <f t="shared" si="172"/>
        <v>bottle</v>
      </c>
      <c r="W359" s="279">
        <f t="shared" si="173"/>
        <v>190</v>
      </c>
      <c r="X359" s="279">
        <f t="shared" si="174"/>
        <v>35</v>
      </c>
      <c r="Y359" s="279">
        <f t="shared" si="175"/>
        <v>2</v>
      </c>
      <c r="Z359" s="279">
        <f t="shared" si="176"/>
        <v>9</v>
      </c>
      <c r="AA359" s="279">
        <f t="shared" si="177"/>
        <v>0</v>
      </c>
      <c r="AB359" s="584">
        <f t="shared" si="178"/>
        <v>0</v>
      </c>
      <c r="AC359" s="277"/>
    </row>
    <row r="360" spans="5:29">
      <c r="E360" s="598"/>
      <c r="F360" s="699"/>
      <c r="G360" s="700"/>
      <c r="H360" s="598"/>
      <c r="I360" s="598"/>
      <c r="J360" s="598"/>
      <c r="K360" s="598"/>
      <c r="L360" s="598"/>
      <c r="Q360" s="288">
        <v>46057</v>
      </c>
      <c r="R360" s="276">
        <v>0.41666666666666669</v>
      </c>
      <c r="S360" s="277" t="s">
        <v>289</v>
      </c>
      <c r="T360" s="277" t="s">
        <v>190</v>
      </c>
      <c r="U360" s="278">
        <v>3</v>
      </c>
      <c r="V360" s="361" t="str">
        <f t="shared" si="172"/>
        <v>medium</v>
      </c>
      <c r="W360" s="279">
        <f t="shared" si="173"/>
        <v>186</v>
      </c>
      <c r="X360" s="279">
        <f t="shared" si="174"/>
        <v>3.5999999999999996</v>
      </c>
      <c r="Y360" s="279">
        <f t="shared" si="175"/>
        <v>0.60000000000000009</v>
      </c>
      <c r="Z360" s="279">
        <f t="shared" si="176"/>
        <v>46.2</v>
      </c>
      <c r="AA360" s="279">
        <f t="shared" si="177"/>
        <v>9.3000000000000007</v>
      </c>
      <c r="AB360" s="584">
        <f t="shared" si="178"/>
        <v>0</v>
      </c>
      <c r="AC360" s="277"/>
    </row>
    <row r="361" spans="5:29">
      <c r="E361" s="598"/>
      <c r="F361" s="699"/>
      <c r="G361" s="700"/>
      <c r="H361" s="598"/>
      <c r="I361" s="598"/>
      <c r="J361" s="598"/>
      <c r="K361" s="598"/>
      <c r="L361" s="598"/>
      <c r="Q361" s="288">
        <v>46057</v>
      </c>
      <c r="R361" s="276">
        <v>0.54166666666666663</v>
      </c>
      <c r="S361" s="277" t="s">
        <v>185</v>
      </c>
      <c r="T361" s="277" t="s">
        <v>176</v>
      </c>
      <c r="U361" s="278">
        <v>258</v>
      </c>
      <c r="V361" s="361" t="str">
        <f t="shared" si="172"/>
        <v>g</v>
      </c>
      <c r="W361" s="279">
        <f t="shared" si="173"/>
        <v>425.7</v>
      </c>
      <c r="X361" s="279">
        <f t="shared" si="174"/>
        <v>64.5</v>
      </c>
      <c r="Y361" s="279">
        <f t="shared" si="175"/>
        <v>9.2880000000000003</v>
      </c>
      <c r="Z361" s="279">
        <f t="shared" si="176"/>
        <v>0</v>
      </c>
      <c r="AA361" s="279">
        <f t="shared" si="177"/>
        <v>0</v>
      </c>
      <c r="AB361" s="584">
        <f t="shared" si="178"/>
        <v>0</v>
      </c>
      <c r="AC361" s="277"/>
    </row>
    <row r="362" spans="5:29">
      <c r="E362" s="598"/>
      <c r="F362" s="699"/>
      <c r="G362" s="700"/>
      <c r="H362" s="598"/>
      <c r="I362" s="598"/>
      <c r="J362" s="598"/>
      <c r="K362" s="598"/>
      <c r="L362" s="598"/>
      <c r="Q362" s="288">
        <v>46057</v>
      </c>
      <c r="R362" s="276">
        <v>0.54166666666666663</v>
      </c>
      <c r="S362" s="277" t="s">
        <v>185</v>
      </c>
      <c r="T362" s="277" t="s">
        <v>181</v>
      </c>
      <c r="U362" s="278">
        <v>2</v>
      </c>
      <c r="V362" s="361" t="str">
        <f t="shared" si="172"/>
        <v>slice</v>
      </c>
      <c r="W362" s="279">
        <f t="shared" si="173"/>
        <v>140</v>
      </c>
      <c r="X362" s="279">
        <f t="shared" si="174"/>
        <v>5</v>
      </c>
      <c r="Y362" s="279">
        <f t="shared" si="175"/>
        <v>2.5</v>
      </c>
      <c r="Z362" s="279">
        <f t="shared" si="176"/>
        <v>24</v>
      </c>
      <c r="AA362" s="279">
        <f t="shared" si="177"/>
        <v>2</v>
      </c>
      <c r="AB362" s="584">
        <f t="shared" si="178"/>
        <v>0</v>
      </c>
      <c r="AC362" s="277"/>
    </row>
    <row r="363" spans="5:29">
      <c r="E363" s="598"/>
      <c r="F363" s="699"/>
      <c r="G363" s="700"/>
      <c r="H363" s="598"/>
      <c r="I363" s="598"/>
      <c r="J363" s="598"/>
      <c r="K363" s="598"/>
      <c r="L363" s="598"/>
      <c r="Q363" s="288">
        <v>46057</v>
      </c>
      <c r="R363" s="276">
        <v>0.54166666666666663</v>
      </c>
      <c r="S363" s="277" t="s">
        <v>185</v>
      </c>
      <c r="T363" s="277" t="s">
        <v>374</v>
      </c>
      <c r="U363" s="278">
        <v>2</v>
      </c>
      <c r="V363" s="361" t="str">
        <f t="shared" si="172"/>
        <v>egg</v>
      </c>
      <c r="W363" s="279">
        <f t="shared" si="173"/>
        <v>160</v>
      </c>
      <c r="X363" s="279">
        <f t="shared" si="174"/>
        <v>14</v>
      </c>
      <c r="Y363" s="279">
        <f t="shared" si="175"/>
        <v>12</v>
      </c>
      <c r="Z363" s="279">
        <f t="shared" si="176"/>
        <v>0</v>
      </c>
      <c r="AA363" s="279">
        <f t="shared" si="177"/>
        <v>0</v>
      </c>
      <c r="AB363" s="584">
        <f t="shared" si="178"/>
        <v>80</v>
      </c>
      <c r="AC363" s="277"/>
    </row>
    <row r="364" spans="5:29">
      <c r="E364" s="598"/>
      <c r="F364" s="699"/>
      <c r="G364" s="700"/>
      <c r="H364" s="598"/>
      <c r="I364" s="598"/>
      <c r="J364" s="598"/>
      <c r="K364" s="598"/>
      <c r="L364" s="598"/>
      <c r="Q364" s="288">
        <v>46057</v>
      </c>
      <c r="R364" s="276">
        <v>0.58333333333333337</v>
      </c>
      <c r="S364" s="277" t="s">
        <v>289</v>
      </c>
      <c r="T364" s="277" t="s">
        <v>468</v>
      </c>
      <c r="U364" s="278">
        <v>1</v>
      </c>
      <c r="V364" s="361" t="str">
        <f t="shared" si="172"/>
        <v>apple</v>
      </c>
      <c r="W364" s="279">
        <f t="shared" si="173"/>
        <v>95</v>
      </c>
      <c r="X364" s="279">
        <f t="shared" si="174"/>
        <v>0.5</v>
      </c>
      <c r="Y364" s="279">
        <f t="shared" si="175"/>
        <v>0.3</v>
      </c>
      <c r="Z364" s="279">
        <f t="shared" si="176"/>
        <v>25</v>
      </c>
      <c r="AA364" s="279">
        <f t="shared" si="177"/>
        <v>4</v>
      </c>
      <c r="AB364" s="584">
        <f t="shared" si="178"/>
        <v>0</v>
      </c>
      <c r="AC364" s="277"/>
    </row>
    <row r="365" spans="5:29">
      <c r="E365" s="598"/>
      <c r="F365" s="699"/>
      <c r="G365" s="700"/>
      <c r="H365" s="598"/>
      <c r="I365" s="598"/>
      <c r="J365" s="598"/>
      <c r="K365" s="598"/>
      <c r="L365" s="598"/>
      <c r="Q365" s="288">
        <v>46057</v>
      </c>
      <c r="R365" s="276">
        <v>0.58333333333333337</v>
      </c>
      <c r="S365" s="277" t="s">
        <v>289</v>
      </c>
      <c r="T365" s="277" t="s">
        <v>431</v>
      </c>
      <c r="U365" s="278">
        <v>1</v>
      </c>
      <c r="V365" s="361" t="str">
        <f t="shared" si="172"/>
        <v>piece</v>
      </c>
      <c r="W365" s="279">
        <f t="shared" si="173"/>
        <v>139</v>
      </c>
      <c r="X365" s="279">
        <f t="shared" si="174"/>
        <v>1.1000000000000001</v>
      </c>
      <c r="Y365" s="279">
        <f t="shared" si="175"/>
        <v>7.3</v>
      </c>
      <c r="Z365" s="279">
        <f t="shared" si="176"/>
        <v>17</v>
      </c>
      <c r="AA365" s="279">
        <f t="shared" si="177"/>
        <v>0.5</v>
      </c>
      <c r="AB365" s="584">
        <f t="shared" si="178"/>
        <v>0</v>
      </c>
      <c r="AC365" s="277"/>
    </row>
    <row r="366" spans="5:29">
      <c r="E366" s="598"/>
      <c r="F366" s="699"/>
      <c r="G366" s="700"/>
      <c r="H366" s="598"/>
      <c r="I366" s="598"/>
      <c r="J366" s="598"/>
      <c r="K366" s="598"/>
      <c r="L366" s="598"/>
      <c r="Q366" s="288">
        <v>46057</v>
      </c>
      <c r="R366" s="276">
        <v>0.58333333333333337</v>
      </c>
      <c r="S366" s="277" t="s">
        <v>289</v>
      </c>
      <c r="T366" s="277" t="s">
        <v>461</v>
      </c>
      <c r="U366" s="278">
        <v>2</v>
      </c>
      <c r="V366" s="361" t="str">
        <f t="shared" si="172"/>
        <v>chunks</v>
      </c>
      <c r="W366" s="279">
        <f t="shared" si="173"/>
        <v>48.571428571428569</v>
      </c>
      <c r="X366" s="279">
        <f t="shared" si="174"/>
        <v>0.8571428571428571</v>
      </c>
      <c r="Y366" s="279">
        <f t="shared" si="175"/>
        <v>2.8571428571428568</v>
      </c>
      <c r="Z366" s="279">
        <f t="shared" si="176"/>
        <v>5.1428571428571423</v>
      </c>
      <c r="AA366" s="279">
        <f t="shared" si="177"/>
        <v>0.14285714285714285</v>
      </c>
      <c r="AB366" s="584">
        <f t="shared" si="178"/>
        <v>0</v>
      </c>
      <c r="AC366" s="277"/>
    </row>
    <row r="367" spans="5:29">
      <c r="E367" s="598"/>
      <c r="F367" s="699"/>
      <c r="G367" s="700"/>
      <c r="H367" s="598"/>
      <c r="I367" s="598"/>
      <c r="J367" s="598"/>
      <c r="K367" s="598"/>
      <c r="L367" s="598"/>
      <c r="Q367" s="288">
        <v>46057</v>
      </c>
      <c r="R367" s="276">
        <v>0.70833333333333337</v>
      </c>
      <c r="S367" s="277" t="s">
        <v>289</v>
      </c>
      <c r="T367" s="277" t="s">
        <v>461</v>
      </c>
      <c r="U367" s="278">
        <v>1</v>
      </c>
      <c r="V367" s="361" t="str">
        <f t="shared" si="172"/>
        <v>chunks</v>
      </c>
      <c r="W367" s="279">
        <f t="shared" si="173"/>
        <v>24.285714285714285</v>
      </c>
      <c r="X367" s="279">
        <f t="shared" si="174"/>
        <v>0.42857142857142855</v>
      </c>
      <c r="Y367" s="279">
        <f t="shared" si="175"/>
        <v>1.4285714285714284</v>
      </c>
      <c r="Z367" s="279">
        <f t="shared" si="176"/>
        <v>2.5714285714285712</v>
      </c>
      <c r="AA367" s="279">
        <f t="shared" si="177"/>
        <v>7.1428571428571425E-2</v>
      </c>
      <c r="AB367" s="584">
        <f t="shared" si="178"/>
        <v>0</v>
      </c>
      <c r="AC367" s="277"/>
    </row>
    <row r="368" spans="5:29">
      <c r="E368" s="598"/>
      <c r="F368" s="699"/>
      <c r="G368" s="700"/>
      <c r="H368" s="598"/>
      <c r="I368" s="598"/>
      <c r="J368" s="598"/>
      <c r="K368" s="598"/>
      <c r="L368" s="598"/>
      <c r="Q368" s="288">
        <v>46057</v>
      </c>
      <c r="R368" s="276">
        <v>0.70833333333333337</v>
      </c>
      <c r="S368" s="277" t="s">
        <v>289</v>
      </c>
      <c r="T368" s="277" t="s">
        <v>469</v>
      </c>
      <c r="U368" s="278">
        <v>1</v>
      </c>
      <c r="V368" s="361" t="str">
        <f t="shared" si="172"/>
        <v>pack</v>
      </c>
      <c r="W368" s="279">
        <f t="shared" si="173"/>
        <v>180</v>
      </c>
      <c r="X368" s="279">
        <f t="shared" si="174"/>
        <v>5</v>
      </c>
      <c r="Y368" s="279">
        <f t="shared" si="175"/>
        <v>9</v>
      </c>
      <c r="Z368" s="279">
        <f t="shared" si="176"/>
        <v>22</v>
      </c>
      <c r="AA368" s="279">
        <f t="shared" si="177"/>
        <v>2</v>
      </c>
      <c r="AB368" s="584">
        <f t="shared" si="178"/>
        <v>0</v>
      </c>
      <c r="AC368" s="277"/>
    </row>
    <row r="369" spans="5:29">
      <c r="E369" s="598"/>
      <c r="F369" s="699"/>
      <c r="G369" s="700"/>
      <c r="H369" s="598"/>
      <c r="I369" s="598"/>
      <c r="J369" s="598"/>
      <c r="K369" s="598"/>
      <c r="L369" s="598"/>
      <c r="Q369" s="288">
        <v>46057</v>
      </c>
      <c r="R369" s="276">
        <v>0.91666666666666663</v>
      </c>
      <c r="S369" s="277" t="s">
        <v>199</v>
      </c>
      <c r="T369" s="277" t="s">
        <v>471</v>
      </c>
      <c r="U369" s="278">
        <v>240</v>
      </c>
      <c r="V369" s="361" t="str">
        <f t="shared" si="172"/>
        <v>g</v>
      </c>
      <c r="W369" s="279">
        <f t="shared" si="173"/>
        <v>600</v>
      </c>
      <c r="X369" s="279">
        <f t="shared" si="174"/>
        <v>62.4</v>
      </c>
      <c r="Y369" s="279">
        <f t="shared" si="175"/>
        <v>40.799999999999997</v>
      </c>
      <c r="Z369" s="279">
        <f t="shared" si="176"/>
        <v>0</v>
      </c>
      <c r="AA369" s="279">
        <f t="shared" si="177"/>
        <v>0</v>
      </c>
      <c r="AB369" s="584">
        <f t="shared" si="178"/>
        <v>0</v>
      </c>
      <c r="AC369" s="277"/>
    </row>
    <row r="370" spans="5:29">
      <c r="E370" s="598"/>
      <c r="F370" s="699"/>
      <c r="G370" s="700"/>
      <c r="H370" s="598"/>
      <c r="I370" s="598"/>
      <c r="J370" s="598"/>
      <c r="K370" s="598"/>
      <c r="L370" s="598"/>
      <c r="Q370" s="288">
        <v>46057</v>
      </c>
      <c r="R370" s="276">
        <v>0.91666666666666663</v>
      </c>
      <c r="S370" s="277" t="s">
        <v>199</v>
      </c>
      <c r="T370" s="277" t="s">
        <v>181</v>
      </c>
      <c r="U370" s="278">
        <v>2</v>
      </c>
      <c r="V370" s="361" t="str">
        <f t="shared" si="172"/>
        <v>slice</v>
      </c>
      <c r="W370" s="279">
        <f t="shared" si="173"/>
        <v>140</v>
      </c>
      <c r="X370" s="279">
        <f t="shared" si="174"/>
        <v>5</v>
      </c>
      <c r="Y370" s="279">
        <f t="shared" si="175"/>
        <v>2.5</v>
      </c>
      <c r="Z370" s="279">
        <f t="shared" si="176"/>
        <v>24</v>
      </c>
      <c r="AA370" s="279">
        <f t="shared" si="177"/>
        <v>2</v>
      </c>
      <c r="AB370" s="584">
        <f t="shared" si="178"/>
        <v>0</v>
      </c>
      <c r="AC370" s="277"/>
    </row>
    <row r="371" spans="5:29">
      <c r="E371" s="598"/>
      <c r="F371" s="699"/>
      <c r="G371" s="700"/>
      <c r="H371" s="598"/>
      <c r="I371" s="598"/>
      <c r="J371" s="598"/>
      <c r="K371" s="598"/>
      <c r="L371" s="598"/>
      <c r="Q371" s="288">
        <v>46057</v>
      </c>
      <c r="R371" s="276">
        <v>0.91666666666666663</v>
      </c>
      <c r="S371" s="277" t="s">
        <v>199</v>
      </c>
      <c r="T371" s="277" t="s">
        <v>209</v>
      </c>
      <c r="U371" s="278">
        <v>3</v>
      </c>
      <c r="V371" s="361" t="str">
        <f t="shared" si="172"/>
        <v>tbsp</v>
      </c>
      <c r="W371" s="279">
        <f t="shared" si="173"/>
        <v>60</v>
      </c>
      <c r="X371" s="279">
        <f t="shared" si="174"/>
        <v>0</v>
      </c>
      <c r="Y371" s="279">
        <f t="shared" si="175"/>
        <v>0</v>
      </c>
      <c r="Z371" s="279">
        <f t="shared" si="176"/>
        <v>15</v>
      </c>
      <c r="AA371" s="279">
        <f t="shared" si="177"/>
        <v>13.5</v>
      </c>
      <c r="AB371" s="584">
        <f t="shared" si="178"/>
        <v>0</v>
      </c>
      <c r="AC371" s="277"/>
    </row>
    <row r="372" spans="5:29">
      <c r="E372" s="598"/>
      <c r="F372" s="699"/>
      <c r="G372" s="700"/>
      <c r="H372" s="598"/>
      <c r="I372" s="598"/>
      <c r="J372" s="598"/>
      <c r="K372" s="598"/>
      <c r="L372" s="598"/>
      <c r="Q372" s="288">
        <v>46057</v>
      </c>
      <c r="R372" s="276">
        <v>0.91666666666666663</v>
      </c>
      <c r="S372" s="277" t="s">
        <v>199</v>
      </c>
      <c r="T372" s="277" t="s">
        <v>212</v>
      </c>
      <c r="U372" s="278">
        <v>1</v>
      </c>
      <c r="V372" s="361" t="str">
        <f t="shared" si="172"/>
        <v>bottle</v>
      </c>
      <c r="W372" s="279">
        <f t="shared" si="173"/>
        <v>70</v>
      </c>
      <c r="X372" s="279">
        <f t="shared" si="174"/>
        <v>0</v>
      </c>
      <c r="Y372" s="279">
        <f t="shared" si="175"/>
        <v>0</v>
      </c>
      <c r="Z372" s="279">
        <f t="shared" si="176"/>
        <v>17</v>
      </c>
      <c r="AA372" s="279">
        <f t="shared" si="177"/>
        <v>1</v>
      </c>
      <c r="AB372" s="584">
        <f t="shared" si="178"/>
        <v>0</v>
      </c>
      <c r="AC372" s="277"/>
    </row>
    <row r="373" spans="5:29">
      <c r="E373" s="598"/>
      <c r="F373" s="699"/>
      <c r="G373" s="700"/>
      <c r="H373" s="598"/>
      <c r="I373" s="598"/>
      <c r="J373" s="598"/>
      <c r="K373" s="598"/>
      <c r="L373" s="598"/>
      <c r="Q373" s="288">
        <v>46057</v>
      </c>
      <c r="R373" s="276">
        <v>0.91666666666666663</v>
      </c>
      <c r="S373" s="277" t="s">
        <v>199</v>
      </c>
      <c r="T373" s="277" t="s">
        <v>219</v>
      </c>
      <c r="U373" s="278">
        <v>1</v>
      </c>
      <c r="V373" s="361" t="str">
        <f t="shared" si="172"/>
        <v>bottle</v>
      </c>
      <c r="W373" s="279">
        <f t="shared" si="173"/>
        <v>0</v>
      </c>
      <c r="X373" s="279">
        <f t="shared" si="174"/>
        <v>0</v>
      </c>
      <c r="Y373" s="279">
        <f t="shared" si="175"/>
        <v>0</v>
      </c>
      <c r="Z373" s="279">
        <f t="shared" si="176"/>
        <v>0</v>
      </c>
      <c r="AA373" s="279">
        <f t="shared" si="177"/>
        <v>0</v>
      </c>
      <c r="AB373" s="684">
        <f t="shared" si="178"/>
        <v>0</v>
      </c>
      <c r="AC373" s="277"/>
    </row>
    <row r="374" spans="5:29">
      <c r="E374" s="598"/>
      <c r="F374" s="699"/>
      <c r="G374" s="700"/>
      <c r="H374" s="598"/>
      <c r="I374" s="598"/>
      <c r="J374" s="598"/>
      <c r="K374" s="598"/>
      <c r="L374" s="598"/>
      <c r="Q374" s="280"/>
      <c r="R374" s="281" t="s">
        <v>217</v>
      </c>
      <c r="S374" s="294"/>
      <c r="T374" s="282"/>
      <c r="U374" s="282"/>
      <c r="V374" s="364"/>
      <c r="W374" s="283">
        <f t="shared" ref="W374:AB374" si="179">SUM(W358:W373)</f>
        <v>2857.6571428571428</v>
      </c>
      <c r="X374" s="283">
        <f t="shared" si="179"/>
        <v>200.45571428571429</v>
      </c>
      <c r="Y374" s="283">
        <f t="shared" si="179"/>
        <v>90.573714285714289</v>
      </c>
      <c r="Z374" s="283">
        <f t="shared" si="179"/>
        <v>302.08428571428573</v>
      </c>
      <c r="AA374" s="683">
        <f t="shared" si="179"/>
        <v>43.724285714285713</v>
      </c>
      <c r="AB374" s="691">
        <f t="shared" si="179"/>
        <v>80</v>
      </c>
      <c r="AC374" s="281"/>
    </row>
    <row r="375" spans="5:29">
      <c r="E375" s="598"/>
      <c r="F375" s="699"/>
      <c r="G375" s="700"/>
      <c r="H375" s="598"/>
      <c r="I375" s="598"/>
      <c r="J375" s="598"/>
      <c r="K375" s="598"/>
      <c r="L375" s="598"/>
      <c r="Q375" s="280"/>
      <c r="R375" s="281" t="s">
        <v>220</v>
      </c>
      <c r="S375" s="294"/>
      <c r="T375" s="282"/>
      <c r="U375" s="282"/>
      <c r="V375" s="364"/>
      <c r="W375" s="284">
        <f>$B$27</f>
        <v>2834.5625</v>
      </c>
      <c r="X375" s="284">
        <f>$B$29</f>
        <v>154</v>
      </c>
      <c r="Y375" s="284">
        <f>$B$30</f>
        <v>63.91</v>
      </c>
      <c r="Z375" s="284">
        <f>$B$31</f>
        <v>410.84312499999999</v>
      </c>
      <c r="AA375" s="690">
        <f>$B$32</f>
        <v>39.683875</v>
      </c>
      <c r="AB375" s="695">
        <f>$B$39</f>
        <v>500</v>
      </c>
      <c r="AC375" s="281"/>
    </row>
    <row r="376" spans="5:29">
      <c r="E376" s="598"/>
      <c r="F376" s="699"/>
      <c r="G376" s="700"/>
      <c r="H376" s="598"/>
      <c r="I376" s="598"/>
      <c r="J376" s="598"/>
      <c r="K376" s="598"/>
      <c r="L376" s="598"/>
      <c r="Q376" s="280"/>
      <c r="R376" s="281" t="s">
        <v>222</v>
      </c>
      <c r="S376" s="294"/>
      <c r="T376" s="282"/>
      <c r="U376" s="282"/>
      <c r="V376" s="364"/>
      <c r="W376" s="284">
        <f t="shared" ref="W376:AB376" si="180">W374-W375</f>
        <v>23.094642857142844</v>
      </c>
      <c r="X376" s="284">
        <f t="shared" si="180"/>
        <v>46.455714285714294</v>
      </c>
      <c r="Y376" s="284">
        <f t="shared" si="180"/>
        <v>26.663714285714292</v>
      </c>
      <c r="Z376" s="284">
        <f t="shared" si="180"/>
        <v>-108.75883928571426</v>
      </c>
      <c r="AA376" s="690">
        <f t="shared" si="180"/>
        <v>4.0404107142857129</v>
      </c>
      <c r="AB376" s="689">
        <f t="shared" si="180"/>
        <v>-420</v>
      </c>
      <c r="AC376" s="281"/>
    </row>
    <row r="377" spans="5:29">
      <c r="E377" s="598"/>
      <c r="F377" s="699"/>
      <c r="G377" s="700"/>
      <c r="H377" s="598"/>
      <c r="I377" s="598"/>
      <c r="J377" s="598"/>
      <c r="K377" s="598"/>
      <c r="L377" s="598"/>
      <c r="Q377" s="288">
        <v>46058</v>
      </c>
      <c r="R377" s="276">
        <v>0.33333333333333331</v>
      </c>
      <c r="S377" s="277" t="s">
        <v>178</v>
      </c>
      <c r="T377" s="277" t="s">
        <v>463</v>
      </c>
      <c r="U377" s="278">
        <v>1</v>
      </c>
      <c r="V377" s="361" t="str">
        <f t="shared" ref="V377:V393" si="181">IFERROR(VLOOKUP(T377, $E$5:$L$818, 3, FALSE), "")</f>
        <v>bottle</v>
      </c>
      <c r="W377" s="279">
        <f t="shared" ref="W377:W393" si="182">IFERROR(VLOOKUP(T377, $E$5:$L$818, 4, FALSE) * (U377 / VLOOKUP(T377, $E$5:$L$818, 2, FALSE)), "")</f>
        <v>190</v>
      </c>
      <c r="X377" s="279">
        <f t="shared" ref="X377:X393" si="183">IFERROR(VLOOKUP(T377, $E$5:$L$818, 5, FALSE) * (U377 / VLOOKUP(T377, $E$5:$L$818, 2, FALSE)), "")</f>
        <v>35</v>
      </c>
      <c r="Y377" s="279">
        <f t="shared" ref="Y377:Y393" si="184">IFERROR(VLOOKUP(T377, $E$5:$L$818, 6, FALSE) * (U377 / VLOOKUP(T377, $E$5:$L$818, 2, FALSE)), "")</f>
        <v>2</v>
      </c>
      <c r="Z377" s="279">
        <f t="shared" ref="Z377:Z393" si="185">IFERROR(VLOOKUP(T377, $E$5:$L$818, 7, FALSE) * (U377 / VLOOKUP(T377, $E$5:$L$818, 2, FALSE)), "")</f>
        <v>9</v>
      </c>
      <c r="AA377" s="279">
        <f t="shared" ref="AA377:AA393" si="186">IFERROR(VLOOKUP(T377, $E$5:$L$818, 8, FALSE) * (U377 / VLOOKUP(T377, $E$5:$L$818, 2, FALSE)), "")</f>
        <v>0</v>
      </c>
      <c r="AB377" s="674">
        <f t="shared" ref="AB377:AB393" si="187">IFERROR(VLOOKUP(T377, $E$5:$O$818, 9, FALSE) * (U377 / VLOOKUP(T377, $E$5:$O$818, 2, FALSE)), "")</f>
        <v>0</v>
      </c>
      <c r="AC377" s="277"/>
    </row>
    <row r="378" spans="5:29">
      <c r="E378" s="598"/>
      <c r="F378" s="699"/>
      <c r="G378" s="700"/>
      <c r="H378" s="598"/>
      <c r="I378" s="598"/>
      <c r="J378" s="598"/>
      <c r="K378" s="598"/>
      <c r="L378" s="598"/>
      <c r="Q378" s="288">
        <v>46058</v>
      </c>
      <c r="R378" s="276">
        <v>0.33333333333333331</v>
      </c>
      <c r="S378" s="277" t="s">
        <v>178</v>
      </c>
      <c r="T378" s="277" t="s">
        <v>181</v>
      </c>
      <c r="U378" s="278">
        <v>4</v>
      </c>
      <c r="V378" s="361" t="str">
        <f t="shared" si="181"/>
        <v>slice</v>
      </c>
      <c r="W378" s="279">
        <f t="shared" si="182"/>
        <v>280</v>
      </c>
      <c r="X378" s="279">
        <f t="shared" si="183"/>
        <v>10</v>
      </c>
      <c r="Y378" s="279">
        <f t="shared" si="184"/>
        <v>5</v>
      </c>
      <c r="Z378" s="279">
        <f t="shared" si="185"/>
        <v>48</v>
      </c>
      <c r="AA378" s="279">
        <f t="shared" si="186"/>
        <v>4</v>
      </c>
      <c r="AB378" s="584">
        <f t="shared" si="187"/>
        <v>0</v>
      </c>
      <c r="AC378" s="277"/>
    </row>
    <row r="379" spans="5:29">
      <c r="E379" s="598"/>
      <c r="F379" s="699"/>
      <c r="G379" s="700"/>
      <c r="H379" s="598"/>
      <c r="I379" s="598"/>
      <c r="J379" s="598"/>
      <c r="K379" s="598"/>
      <c r="L379" s="598"/>
      <c r="Q379" s="288">
        <v>46058</v>
      </c>
      <c r="R379" s="276">
        <v>0.33333333333333331</v>
      </c>
      <c r="S379" s="277" t="s">
        <v>178</v>
      </c>
      <c r="T379" s="277" t="s">
        <v>473</v>
      </c>
      <c r="U379" s="278">
        <v>30</v>
      </c>
      <c r="V379" s="361" t="str">
        <f t="shared" si="181"/>
        <v>g</v>
      </c>
      <c r="W379" s="279">
        <f t="shared" si="182"/>
        <v>165</v>
      </c>
      <c r="X379" s="279">
        <f t="shared" si="183"/>
        <v>5</v>
      </c>
      <c r="Y379" s="279">
        <f t="shared" si="184"/>
        <v>13</v>
      </c>
      <c r="Z379" s="279">
        <f t="shared" si="185"/>
        <v>9</v>
      </c>
      <c r="AA379" s="279">
        <f t="shared" si="186"/>
        <v>1</v>
      </c>
      <c r="AB379" s="584">
        <f t="shared" si="187"/>
        <v>0</v>
      </c>
      <c r="AC379" s="277"/>
    </row>
    <row r="380" spans="5:29">
      <c r="E380" s="598"/>
      <c r="F380" s="699"/>
      <c r="G380" s="700"/>
      <c r="H380" s="598"/>
      <c r="I380" s="598"/>
      <c r="J380" s="598"/>
      <c r="K380" s="598"/>
      <c r="L380" s="598"/>
      <c r="Q380" s="288">
        <v>46058</v>
      </c>
      <c r="R380" s="276">
        <v>0.33333333333333331</v>
      </c>
      <c r="S380" s="277" t="s">
        <v>178</v>
      </c>
      <c r="T380" s="277" t="s">
        <v>474</v>
      </c>
      <c r="U380" s="278">
        <v>0.5</v>
      </c>
      <c r="V380" s="361" t="str">
        <f t="shared" si="181"/>
        <v>ear</v>
      </c>
      <c r="W380" s="279">
        <f t="shared" si="182"/>
        <v>65</v>
      </c>
      <c r="X380" s="279">
        <f t="shared" si="183"/>
        <v>2</v>
      </c>
      <c r="Y380" s="279">
        <f t="shared" si="184"/>
        <v>1</v>
      </c>
      <c r="Z380" s="279">
        <f t="shared" si="185"/>
        <v>13.5</v>
      </c>
      <c r="AA380" s="279">
        <f t="shared" si="186"/>
        <v>1.5</v>
      </c>
      <c r="AB380" s="584">
        <f t="shared" si="187"/>
        <v>0</v>
      </c>
      <c r="AC380" s="277"/>
    </row>
    <row r="381" spans="5:29">
      <c r="E381" s="598"/>
      <c r="F381" s="699"/>
      <c r="G381" s="700"/>
      <c r="H381" s="598"/>
      <c r="I381" s="598"/>
      <c r="J381" s="598"/>
      <c r="K381" s="598"/>
      <c r="L381" s="598"/>
      <c r="Q381" s="288">
        <v>46058</v>
      </c>
      <c r="R381" s="276">
        <v>0.41666666666666669</v>
      </c>
      <c r="S381" s="277" t="s">
        <v>289</v>
      </c>
      <c r="T381" s="277" t="s">
        <v>464</v>
      </c>
      <c r="U381" s="278">
        <v>1</v>
      </c>
      <c r="V381" s="361" t="str">
        <f t="shared" si="181"/>
        <v>lozenge</v>
      </c>
      <c r="W381" s="279">
        <f t="shared" si="182"/>
        <v>10</v>
      </c>
      <c r="X381" s="279">
        <f t="shared" si="183"/>
        <v>0</v>
      </c>
      <c r="Y381" s="279">
        <f t="shared" si="184"/>
        <v>0</v>
      </c>
      <c r="Z381" s="279">
        <f t="shared" si="185"/>
        <v>3</v>
      </c>
      <c r="AA381" s="279">
        <f t="shared" si="186"/>
        <v>0</v>
      </c>
      <c r="AB381" s="584">
        <f t="shared" si="187"/>
        <v>0</v>
      </c>
      <c r="AC381" s="277"/>
    </row>
    <row r="382" spans="5:29">
      <c r="E382" s="598"/>
      <c r="F382" s="699"/>
      <c r="G382" s="700"/>
      <c r="H382" s="598"/>
      <c r="I382" s="598"/>
      <c r="J382" s="598"/>
      <c r="K382" s="598"/>
      <c r="L382" s="598"/>
      <c r="Q382" s="288">
        <v>46058</v>
      </c>
      <c r="R382" s="276">
        <v>0.54166666666666663</v>
      </c>
      <c r="S382" s="277" t="s">
        <v>185</v>
      </c>
      <c r="T382" s="277" t="s">
        <v>454</v>
      </c>
      <c r="U382" s="278">
        <v>1.5</v>
      </c>
      <c r="V382" s="361" t="str">
        <f t="shared" si="181"/>
        <v>box</v>
      </c>
      <c r="W382" s="279">
        <f t="shared" si="182"/>
        <v>780</v>
      </c>
      <c r="X382" s="279">
        <f t="shared" si="183"/>
        <v>30</v>
      </c>
      <c r="Y382" s="279">
        <f t="shared" si="184"/>
        <v>33</v>
      </c>
      <c r="Z382" s="279">
        <f t="shared" si="185"/>
        <v>87</v>
      </c>
      <c r="AA382" s="279">
        <f t="shared" si="186"/>
        <v>4.5</v>
      </c>
      <c r="AB382" s="584">
        <f t="shared" si="187"/>
        <v>0</v>
      </c>
      <c r="AC382" s="277"/>
    </row>
    <row r="383" spans="5:29">
      <c r="E383" s="598"/>
      <c r="F383" s="699"/>
      <c r="G383" s="700"/>
      <c r="H383" s="598"/>
      <c r="I383" s="598"/>
      <c r="J383" s="598"/>
      <c r="K383" s="598"/>
      <c r="L383" s="598"/>
      <c r="Q383" s="288">
        <v>46058</v>
      </c>
      <c r="R383" s="276">
        <v>0.54166666666666663</v>
      </c>
      <c r="S383" s="277" t="s">
        <v>289</v>
      </c>
      <c r="T383" s="277" t="s">
        <v>475</v>
      </c>
      <c r="U383" s="278">
        <v>1</v>
      </c>
      <c r="V383" s="361" t="str">
        <f t="shared" si="181"/>
        <v>can</v>
      </c>
      <c r="W383" s="279">
        <f t="shared" si="182"/>
        <v>5</v>
      </c>
      <c r="X383" s="279">
        <f t="shared" si="183"/>
        <v>0</v>
      </c>
      <c r="Y383" s="279">
        <f t="shared" si="184"/>
        <v>0</v>
      </c>
      <c r="Z383" s="279">
        <f t="shared" si="185"/>
        <v>0</v>
      </c>
      <c r="AA383" s="279">
        <f t="shared" si="186"/>
        <v>0</v>
      </c>
      <c r="AB383" s="584">
        <f t="shared" si="187"/>
        <v>0</v>
      </c>
      <c r="AC383" s="277"/>
    </row>
    <row r="384" spans="5:29">
      <c r="E384" s="598"/>
      <c r="F384" s="699"/>
      <c r="G384" s="700"/>
      <c r="H384" s="598"/>
      <c r="I384" s="598"/>
      <c r="J384" s="598"/>
      <c r="K384" s="598"/>
      <c r="L384" s="598"/>
      <c r="Q384" s="288">
        <v>46058</v>
      </c>
      <c r="R384" s="276">
        <v>0.91666666666666663</v>
      </c>
      <c r="S384" s="277" t="s">
        <v>289</v>
      </c>
      <c r="T384" s="277" t="s">
        <v>431</v>
      </c>
      <c r="U384" s="278">
        <v>1</v>
      </c>
      <c r="V384" s="361" t="str">
        <f t="shared" si="181"/>
        <v>piece</v>
      </c>
      <c r="W384" s="279">
        <f t="shared" si="182"/>
        <v>139</v>
      </c>
      <c r="X384" s="279">
        <f t="shared" si="183"/>
        <v>1.1000000000000001</v>
      </c>
      <c r="Y384" s="279">
        <f t="shared" si="184"/>
        <v>7.3</v>
      </c>
      <c r="Z384" s="279">
        <f t="shared" si="185"/>
        <v>17</v>
      </c>
      <c r="AA384" s="279">
        <f t="shared" si="186"/>
        <v>0.5</v>
      </c>
      <c r="AB384" s="584">
        <f t="shared" si="187"/>
        <v>0</v>
      </c>
      <c r="AC384" s="277"/>
    </row>
    <row r="385" spans="5:29">
      <c r="E385" s="598"/>
      <c r="F385" s="699"/>
      <c r="G385" s="700"/>
      <c r="H385" s="598"/>
      <c r="I385" s="598"/>
      <c r="J385" s="598"/>
      <c r="K385" s="598"/>
      <c r="L385" s="598"/>
      <c r="Q385" s="288">
        <v>46058</v>
      </c>
      <c r="R385" s="276">
        <v>0.91666666666666663</v>
      </c>
      <c r="S385" s="277" t="s">
        <v>199</v>
      </c>
      <c r="T385" s="277" t="s">
        <v>176</v>
      </c>
      <c r="U385" s="278">
        <v>241</v>
      </c>
      <c r="V385" s="361" t="str">
        <f t="shared" si="181"/>
        <v>g</v>
      </c>
      <c r="W385" s="279">
        <f t="shared" si="182"/>
        <v>397.65000000000003</v>
      </c>
      <c r="X385" s="279">
        <f t="shared" si="183"/>
        <v>60.25</v>
      </c>
      <c r="Y385" s="279">
        <f t="shared" si="184"/>
        <v>8.6760000000000002</v>
      </c>
      <c r="Z385" s="279">
        <f t="shared" si="185"/>
        <v>0</v>
      </c>
      <c r="AA385" s="279">
        <f t="shared" si="186"/>
        <v>0</v>
      </c>
      <c r="AB385" s="584">
        <f t="shared" si="187"/>
        <v>0</v>
      </c>
      <c r="AC385" s="277"/>
    </row>
    <row r="386" spans="5:29">
      <c r="E386" s="598"/>
      <c r="F386" s="699"/>
      <c r="G386" s="700"/>
      <c r="H386" s="598"/>
      <c r="I386" s="598"/>
      <c r="J386" s="598"/>
      <c r="K386" s="598"/>
      <c r="L386" s="598"/>
      <c r="Q386" s="288">
        <v>46058</v>
      </c>
      <c r="R386" s="276">
        <v>0.91666666666666663</v>
      </c>
      <c r="S386" s="277" t="s">
        <v>199</v>
      </c>
      <c r="T386" s="277" t="s">
        <v>465</v>
      </c>
      <c r="U386" s="278">
        <v>48</v>
      </c>
      <c r="V386" s="361" t="str">
        <f t="shared" si="181"/>
        <v>g</v>
      </c>
      <c r="W386" s="279">
        <f t="shared" si="182"/>
        <v>86.399999999999991</v>
      </c>
      <c r="X386" s="279">
        <f t="shared" si="183"/>
        <v>10.559999999999999</v>
      </c>
      <c r="Y386" s="279">
        <f t="shared" si="184"/>
        <v>4.32</v>
      </c>
      <c r="Z386" s="279">
        <f t="shared" si="185"/>
        <v>0.96</v>
      </c>
      <c r="AA386" s="279">
        <f t="shared" si="186"/>
        <v>0</v>
      </c>
      <c r="AB386" s="584">
        <f t="shared" si="187"/>
        <v>0</v>
      </c>
      <c r="AC386" s="277"/>
    </row>
    <row r="387" spans="5:29">
      <c r="E387" s="598"/>
      <c r="F387" s="699"/>
      <c r="G387" s="700"/>
      <c r="H387" s="598"/>
      <c r="I387" s="598"/>
      <c r="J387" s="598"/>
      <c r="K387" s="598"/>
      <c r="L387" s="598"/>
      <c r="Q387" s="288">
        <v>46058</v>
      </c>
      <c r="R387" s="276">
        <v>0.91666666666666663</v>
      </c>
      <c r="S387" s="277" t="s">
        <v>199</v>
      </c>
      <c r="T387" s="277" t="s">
        <v>181</v>
      </c>
      <c r="U387" s="278">
        <v>2</v>
      </c>
      <c r="V387" s="361" t="str">
        <f t="shared" si="181"/>
        <v>slice</v>
      </c>
      <c r="W387" s="279">
        <f t="shared" si="182"/>
        <v>140</v>
      </c>
      <c r="X387" s="279">
        <f t="shared" si="183"/>
        <v>5</v>
      </c>
      <c r="Y387" s="279">
        <f t="shared" si="184"/>
        <v>2.5</v>
      </c>
      <c r="Z387" s="279">
        <f t="shared" si="185"/>
        <v>24</v>
      </c>
      <c r="AA387" s="279">
        <f t="shared" si="186"/>
        <v>2</v>
      </c>
      <c r="AB387" s="584">
        <f t="shared" si="187"/>
        <v>0</v>
      </c>
      <c r="AC387" s="277"/>
    </row>
    <row r="388" spans="5:29">
      <c r="E388" s="598"/>
      <c r="F388" s="699"/>
      <c r="G388" s="700"/>
      <c r="H388" s="598"/>
      <c r="I388" s="598"/>
      <c r="J388" s="598"/>
      <c r="K388" s="598"/>
      <c r="L388" s="598"/>
      <c r="Q388" s="288">
        <v>46058</v>
      </c>
      <c r="R388" s="276">
        <v>0.91666666666666663</v>
      </c>
      <c r="S388" s="277" t="s">
        <v>199</v>
      </c>
      <c r="T388" s="277" t="s">
        <v>468</v>
      </c>
      <c r="U388" s="278">
        <v>2</v>
      </c>
      <c r="V388" s="361" t="str">
        <f t="shared" si="181"/>
        <v>apple</v>
      </c>
      <c r="W388" s="279">
        <f t="shared" si="182"/>
        <v>190</v>
      </c>
      <c r="X388" s="279">
        <f t="shared" si="183"/>
        <v>1</v>
      </c>
      <c r="Y388" s="279">
        <f t="shared" si="184"/>
        <v>0.6</v>
      </c>
      <c r="Z388" s="279">
        <f t="shared" si="185"/>
        <v>50</v>
      </c>
      <c r="AA388" s="279">
        <f t="shared" si="186"/>
        <v>8</v>
      </c>
      <c r="AB388" s="584">
        <f t="shared" si="187"/>
        <v>0</v>
      </c>
      <c r="AC388" s="277"/>
    </row>
    <row r="389" spans="5:29">
      <c r="E389" s="598"/>
      <c r="F389" s="699"/>
      <c r="G389" s="700"/>
      <c r="H389" s="598"/>
      <c r="I389" s="598"/>
      <c r="J389" s="598"/>
      <c r="K389" s="598"/>
      <c r="L389" s="598"/>
      <c r="Q389" s="288">
        <v>46058</v>
      </c>
      <c r="R389" s="276">
        <v>0.91666666666666663</v>
      </c>
      <c r="S389" s="277" t="s">
        <v>199</v>
      </c>
      <c r="T389" s="277" t="s">
        <v>190</v>
      </c>
      <c r="U389" s="278">
        <v>2</v>
      </c>
      <c r="V389" s="361" t="str">
        <f t="shared" si="181"/>
        <v>medium</v>
      </c>
      <c r="W389" s="279">
        <f t="shared" si="182"/>
        <v>124</v>
      </c>
      <c r="X389" s="279">
        <f t="shared" si="183"/>
        <v>2.4</v>
      </c>
      <c r="Y389" s="279">
        <f t="shared" si="184"/>
        <v>0.4</v>
      </c>
      <c r="Z389" s="279">
        <f t="shared" si="185"/>
        <v>30.8</v>
      </c>
      <c r="AA389" s="279">
        <f t="shared" si="186"/>
        <v>6.2</v>
      </c>
      <c r="AB389" s="584">
        <f t="shared" si="187"/>
        <v>0</v>
      </c>
      <c r="AC389" s="277"/>
    </row>
    <row r="390" spans="5:29">
      <c r="E390" s="598"/>
      <c r="F390" s="699"/>
      <c r="G390" s="700"/>
      <c r="H390" s="598"/>
      <c r="I390" s="598"/>
      <c r="J390" s="598"/>
      <c r="K390" s="598"/>
      <c r="L390" s="598"/>
      <c r="Q390" s="288">
        <v>46058</v>
      </c>
      <c r="R390" s="276">
        <v>0.91666666666666663</v>
      </c>
      <c r="S390" s="277" t="s">
        <v>199</v>
      </c>
      <c r="T390" s="277" t="s">
        <v>209</v>
      </c>
      <c r="U390" s="278">
        <v>3</v>
      </c>
      <c r="V390" s="361" t="str">
        <f t="shared" si="181"/>
        <v>tbsp</v>
      </c>
      <c r="W390" s="279">
        <f t="shared" si="182"/>
        <v>60</v>
      </c>
      <c r="X390" s="279">
        <f t="shared" si="183"/>
        <v>0</v>
      </c>
      <c r="Y390" s="279">
        <f t="shared" si="184"/>
        <v>0</v>
      </c>
      <c r="Z390" s="279">
        <f t="shared" si="185"/>
        <v>15</v>
      </c>
      <c r="AA390" s="279">
        <f t="shared" si="186"/>
        <v>13.5</v>
      </c>
      <c r="AB390" s="584">
        <f t="shared" si="187"/>
        <v>0</v>
      </c>
      <c r="AC390" s="277"/>
    </row>
    <row r="391" spans="5:29">
      <c r="E391" s="598"/>
      <c r="F391" s="699"/>
      <c r="G391" s="700"/>
      <c r="H391" s="598"/>
      <c r="I391" s="598"/>
      <c r="J391" s="598"/>
      <c r="K391" s="598"/>
      <c r="L391" s="598"/>
      <c r="Q391" s="288">
        <v>46058</v>
      </c>
      <c r="R391" s="276">
        <v>0.91666666666666663</v>
      </c>
      <c r="S391" s="277" t="s">
        <v>199</v>
      </c>
      <c r="T391" s="277" t="s">
        <v>212</v>
      </c>
      <c r="U391" s="278">
        <v>1</v>
      </c>
      <c r="V391" s="361" t="str">
        <f t="shared" si="181"/>
        <v>bottle</v>
      </c>
      <c r="W391" s="279">
        <f t="shared" si="182"/>
        <v>70</v>
      </c>
      <c r="X391" s="279">
        <f t="shared" si="183"/>
        <v>0</v>
      </c>
      <c r="Y391" s="279">
        <f t="shared" si="184"/>
        <v>0</v>
      </c>
      <c r="Z391" s="279">
        <f t="shared" si="185"/>
        <v>17</v>
      </c>
      <c r="AA391" s="279">
        <f t="shared" si="186"/>
        <v>1</v>
      </c>
      <c r="AB391" s="584">
        <f t="shared" si="187"/>
        <v>0</v>
      </c>
      <c r="AC391" s="277"/>
    </row>
    <row r="392" spans="5:29">
      <c r="E392" s="598"/>
      <c r="F392" s="699"/>
      <c r="G392" s="700"/>
      <c r="H392" s="598"/>
      <c r="I392" s="598"/>
      <c r="J392" s="598"/>
      <c r="K392" s="598"/>
      <c r="L392" s="598"/>
      <c r="Q392" s="288">
        <v>46058</v>
      </c>
      <c r="R392" s="276">
        <v>0.91666666666666663</v>
      </c>
      <c r="S392" s="277" t="s">
        <v>199</v>
      </c>
      <c r="T392" s="277" t="s">
        <v>753</v>
      </c>
      <c r="U392" s="278">
        <v>181</v>
      </c>
      <c r="V392" s="361" t="str">
        <f t="shared" si="181"/>
        <v>g</v>
      </c>
      <c r="W392" s="279">
        <f t="shared" si="182"/>
        <v>235.3</v>
      </c>
      <c r="X392" s="279">
        <f t="shared" si="183"/>
        <v>1.81</v>
      </c>
      <c r="Y392" s="279">
        <f t="shared" si="184"/>
        <v>0</v>
      </c>
      <c r="Z392" s="279">
        <f t="shared" si="185"/>
        <v>56.11</v>
      </c>
      <c r="AA392" s="279">
        <f t="shared" si="186"/>
        <v>5.43</v>
      </c>
      <c r="AB392" s="584">
        <f t="shared" si="187"/>
        <v>0</v>
      </c>
      <c r="AC392" s="277"/>
    </row>
    <row r="393" spans="5:29">
      <c r="E393" s="598"/>
      <c r="F393" s="699"/>
      <c r="G393" s="700"/>
      <c r="H393" s="598"/>
      <c r="I393" s="598"/>
      <c r="J393" s="598"/>
      <c r="K393" s="598"/>
      <c r="L393" s="598"/>
      <c r="Q393" s="288">
        <v>46058</v>
      </c>
      <c r="R393" s="276">
        <v>0.91666666666666663</v>
      </c>
      <c r="S393" s="277" t="s">
        <v>289</v>
      </c>
      <c r="T393" s="277" t="s">
        <v>214</v>
      </c>
      <c r="U393" s="278">
        <v>1</v>
      </c>
      <c r="V393" s="361" t="str">
        <f t="shared" si="181"/>
        <v>bar</v>
      </c>
      <c r="W393" s="279">
        <f t="shared" si="182"/>
        <v>67</v>
      </c>
      <c r="X393" s="279">
        <f t="shared" si="183"/>
        <v>1</v>
      </c>
      <c r="Y393" s="279">
        <f t="shared" si="184"/>
        <v>3.5</v>
      </c>
      <c r="Z393" s="279">
        <f t="shared" si="185"/>
        <v>22</v>
      </c>
      <c r="AA393" s="279">
        <f t="shared" si="186"/>
        <v>0.3</v>
      </c>
      <c r="AB393" s="684">
        <f t="shared" si="187"/>
        <v>0</v>
      </c>
      <c r="AC393" s="277"/>
    </row>
    <row r="394" spans="5:29">
      <c r="E394" s="598"/>
      <c r="F394" s="699"/>
      <c r="G394" s="700"/>
      <c r="H394" s="598"/>
      <c r="I394" s="598"/>
      <c r="J394" s="598"/>
      <c r="K394" s="598"/>
      <c r="L394" s="598"/>
      <c r="Q394" s="280"/>
      <c r="R394" s="281" t="s">
        <v>217</v>
      </c>
      <c r="S394" s="294"/>
      <c r="T394" s="282"/>
      <c r="U394" s="282"/>
      <c r="V394" s="364"/>
      <c r="W394" s="283">
        <f t="shared" ref="W394:AB394" si="188">SUM(W377:W393)</f>
        <v>3004.3500000000004</v>
      </c>
      <c r="X394" s="283">
        <f t="shared" si="188"/>
        <v>165.12</v>
      </c>
      <c r="Y394" s="283">
        <f t="shared" si="188"/>
        <v>81.295999999999992</v>
      </c>
      <c r="Z394" s="283">
        <f t="shared" si="188"/>
        <v>402.37000000000006</v>
      </c>
      <c r="AA394" s="683">
        <f t="shared" si="188"/>
        <v>47.93</v>
      </c>
      <c r="AB394" s="691">
        <f t="shared" si="188"/>
        <v>0</v>
      </c>
      <c r="AC394" s="281"/>
    </row>
    <row r="395" spans="5:29">
      <c r="E395" s="598"/>
      <c r="F395" s="699"/>
      <c r="G395" s="700"/>
      <c r="H395" s="598"/>
      <c r="I395" s="598"/>
      <c r="J395" s="598"/>
      <c r="K395" s="598"/>
      <c r="L395" s="598"/>
      <c r="Q395" s="280"/>
      <c r="R395" s="281" t="s">
        <v>220</v>
      </c>
      <c r="S395" s="294"/>
      <c r="T395" s="282"/>
      <c r="U395" s="282"/>
      <c r="V395" s="364"/>
      <c r="W395" s="284">
        <f>$B$27</f>
        <v>2834.5625</v>
      </c>
      <c r="X395" s="284">
        <f>$B$29</f>
        <v>154</v>
      </c>
      <c r="Y395" s="284">
        <f>$B$30</f>
        <v>63.91</v>
      </c>
      <c r="Z395" s="284">
        <f>$B$31</f>
        <v>410.84312499999999</v>
      </c>
      <c r="AA395" s="690">
        <f>$B$32</f>
        <v>39.683875</v>
      </c>
      <c r="AB395" s="695">
        <f>$B$39</f>
        <v>500</v>
      </c>
      <c r="AC395" s="281"/>
    </row>
    <row r="396" spans="5:29">
      <c r="E396" s="598"/>
      <c r="F396" s="699"/>
      <c r="G396" s="700"/>
      <c r="H396" s="598"/>
      <c r="I396" s="598"/>
      <c r="J396" s="598"/>
      <c r="K396" s="598"/>
      <c r="L396" s="598"/>
      <c r="Q396" s="280"/>
      <c r="R396" s="281" t="s">
        <v>222</v>
      </c>
      <c r="S396" s="294"/>
      <c r="T396" s="282"/>
      <c r="U396" s="282"/>
      <c r="V396" s="364"/>
      <c r="W396" s="284">
        <f t="shared" ref="W396:AB396" si="189">W394-W395</f>
        <v>169.78750000000036</v>
      </c>
      <c r="X396" s="284">
        <f t="shared" si="189"/>
        <v>11.120000000000005</v>
      </c>
      <c r="Y396" s="284">
        <f t="shared" si="189"/>
        <v>17.385999999999996</v>
      </c>
      <c r="Z396" s="284">
        <f t="shared" si="189"/>
        <v>-8.473124999999925</v>
      </c>
      <c r="AA396" s="690">
        <f t="shared" si="189"/>
        <v>8.2461249999999993</v>
      </c>
      <c r="AB396" s="689">
        <f t="shared" si="189"/>
        <v>-500</v>
      </c>
      <c r="AC396" s="281"/>
    </row>
    <row r="397" spans="5:29">
      <c r="E397" s="598"/>
      <c r="F397" s="699"/>
      <c r="G397" s="700"/>
      <c r="H397" s="598"/>
      <c r="I397" s="598"/>
      <c r="J397" s="598"/>
      <c r="K397" s="598"/>
      <c r="L397" s="598"/>
      <c r="Q397" s="288">
        <v>46059</v>
      </c>
      <c r="R397" s="276">
        <v>0.33333333333333331</v>
      </c>
      <c r="S397" s="277" t="s">
        <v>178</v>
      </c>
      <c r="T397" s="277" t="s">
        <v>374</v>
      </c>
      <c r="U397" s="278">
        <v>2</v>
      </c>
      <c r="V397" s="361" t="str">
        <f t="shared" ref="V397:V409" si="190">IFERROR(VLOOKUP(T397, $E$5:$L$818, 3, FALSE), "")</f>
        <v>egg</v>
      </c>
      <c r="W397" s="279">
        <f t="shared" ref="W397:W409" si="191">IFERROR(VLOOKUP(T397, $E$5:$L$818, 4, FALSE) * (U397 / VLOOKUP(T397, $E$5:$L$818, 2, FALSE)), "")</f>
        <v>160</v>
      </c>
      <c r="X397" s="279">
        <f t="shared" ref="X397:X409" si="192">IFERROR(VLOOKUP(T397, $E$5:$L$818, 5, FALSE) * (U397 / VLOOKUP(T397, $E$5:$L$818, 2, FALSE)), "")</f>
        <v>14</v>
      </c>
      <c r="Y397" s="279">
        <f t="shared" ref="Y397:Y409" si="193">IFERROR(VLOOKUP(T397, $E$5:$L$818, 6, FALSE) * (U397 / VLOOKUP(T397, $E$5:$L$818, 2, FALSE)), "")</f>
        <v>12</v>
      </c>
      <c r="Z397" s="279">
        <f t="shared" ref="Z397:Z409" si="194">IFERROR(VLOOKUP(T397, $E$5:$L$818, 7, FALSE) * (U397 / VLOOKUP(T397, $E$5:$L$818, 2, FALSE)), "")</f>
        <v>0</v>
      </c>
      <c r="AA397" s="279">
        <f t="shared" ref="AA397:AA409" si="195">IFERROR(VLOOKUP(T397, $E$5:$L$818, 8, FALSE) * (U397 / VLOOKUP(T397, $E$5:$L$818, 2, FALSE)), "")</f>
        <v>0</v>
      </c>
      <c r="AB397" s="674">
        <f t="shared" ref="AB397:AB409" si="196">IFERROR(VLOOKUP(T397, $E$5:$O$818, 9, FALSE) * (U397 / VLOOKUP(T397, $E$5:$O$818, 2, FALSE)), "")</f>
        <v>80</v>
      </c>
      <c r="AC397" s="277"/>
    </row>
    <row r="398" spans="5:29">
      <c r="E398" s="598"/>
      <c r="F398" s="699"/>
      <c r="G398" s="700"/>
      <c r="H398" s="598"/>
      <c r="I398" s="598"/>
      <c r="J398" s="598"/>
      <c r="K398" s="598"/>
      <c r="L398" s="598"/>
      <c r="Q398" s="288">
        <v>46059</v>
      </c>
      <c r="R398" s="276">
        <v>0.33333333333333331</v>
      </c>
      <c r="S398" s="277" t="s">
        <v>178</v>
      </c>
      <c r="T398" s="277" t="s">
        <v>753</v>
      </c>
      <c r="U398" s="278">
        <v>153</v>
      </c>
      <c r="V398" s="361" t="str">
        <f t="shared" si="190"/>
        <v>g</v>
      </c>
      <c r="W398" s="279">
        <f t="shared" si="191"/>
        <v>198.9</v>
      </c>
      <c r="X398" s="279">
        <f t="shared" si="192"/>
        <v>1.53</v>
      </c>
      <c r="Y398" s="279">
        <f t="shared" si="193"/>
        <v>0</v>
      </c>
      <c r="Z398" s="279">
        <f t="shared" si="194"/>
        <v>47.43</v>
      </c>
      <c r="AA398" s="279">
        <f t="shared" si="195"/>
        <v>4.59</v>
      </c>
      <c r="AB398" s="584">
        <f t="shared" si="196"/>
        <v>0</v>
      </c>
      <c r="AC398" s="277"/>
    </row>
    <row r="399" spans="5:29">
      <c r="E399" s="598"/>
      <c r="F399" s="699"/>
      <c r="G399" s="700"/>
      <c r="H399" s="598"/>
      <c r="I399" s="598"/>
      <c r="J399" s="598"/>
      <c r="K399" s="598"/>
      <c r="L399" s="598"/>
      <c r="Q399" s="288">
        <v>46059</v>
      </c>
      <c r="R399" s="276">
        <v>0.33333333333333331</v>
      </c>
      <c r="S399" s="277" t="s">
        <v>178</v>
      </c>
      <c r="T399" s="277" t="s">
        <v>814</v>
      </c>
      <c r="U399" s="278">
        <v>1</v>
      </c>
      <c r="V399" s="361" t="str">
        <f t="shared" si="190"/>
        <v>bottle</v>
      </c>
      <c r="W399" s="279">
        <f t="shared" si="191"/>
        <v>260</v>
      </c>
      <c r="X399" s="279">
        <f t="shared" si="192"/>
        <v>33</v>
      </c>
      <c r="Y399" s="279">
        <f t="shared" si="193"/>
        <v>6</v>
      </c>
      <c r="Z399" s="279">
        <f t="shared" si="194"/>
        <v>20</v>
      </c>
      <c r="AA399" s="279">
        <f t="shared" si="195"/>
        <v>0</v>
      </c>
      <c r="AB399" s="584">
        <f t="shared" si="196"/>
        <v>0</v>
      </c>
      <c r="AC399" s="277"/>
    </row>
    <row r="400" spans="5:29">
      <c r="E400" s="598"/>
      <c r="F400" s="699"/>
      <c r="G400" s="700"/>
      <c r="H400" s="598"/>
      <c r="I400" s="598"/>
      <c r="J400" s="598"/>
      <c r="K400" s="598"/>
      <c r="L400" s="598"/>
      <c r="Q400" s="288">
        <v>46059</v>
      </c>
      <c r="R400" s="276">
        <v>0.45833333333333331</v>
      </c>
      <c r="S400" s="277" t="s">
        <v>289</v>
      </c>
      <c r="T400" s="277" t="s">
        <v>357</v>
      </c>
      <c r="U400" s="278">
        <v>20</v>
      </c>
      <c r="V400" s="361" t="str">
        <f t="shared" si="190"/>
        <v>cola</v>
      </c>
      <c r="W400" s="279">
        <f t="shared" si="191"/>
        <v>350</v>
      </c>
      <c r="X400" s="279">
        <f t="shared" si="192"/>
        <v>5</v>
      </c>
      <c r="Y400" s="279">
        <f t="shared" si="193"/>
        <v>0</v>
      </c>
      <c r="Z400" s="279">
        <f t="shared" si="194"/>
        <v>80</v>
      </c>
      <c r="AA400" s="279">
        <f t="shared" si="195"/>
        <v>0</v>
      </c>
      <c r="AB400" s="584">
        <f t="shared" si="196"/>
        <v>0</v>
      </c>
      <c r="AC400" s="277"/>
    </row>
    <row r="401" spans="5:29">
      <c r="E401" s="598"/>
      <c r="F401" s="699"/>
      <c r="G401" s="700"/>
      <c r="H401" s="598"/>
      <c r="I401" s="598"/>
      <c r="J401" s="598"/>
      <c r="K401" s="598"/>
      <c r="L401" s="598"/>
      <c r="Q401" s="288">
        <v>46059</v>
      </c>
      <c r="R401" s="276">
        <v>0.54166666666666663</v>
      </c>
      <c r="S401" s="277" t="s">
        <v>185</v>
      </c>
      <c r="T401" s="277" t="s">
        <v>465</v>
      </c>
      <c r="U401" s="278">
        <v>195</v>
      </c>
      <c r="V401" s="361" t="str">
        <f t="shared" si="190"/>
        <v>g</v>
      </c>
      <c r="W401" s="279">
        <f t="shared" si="191"/>
        <v>351</v>
      </c>
      <c r="X401" s="279">
        <f t="shared" si="192"/>
        <v>42.9</v>
      </c>
      <c r="Y401" s="279">
        <f t="shared" si="193"/>
        <v>17.55</v>
      </c>
      <c r="Z401" s="279">
        <f t="shared" si="194"/>
        <v>3.9</v>
      </c>
      <c r="AA401" s="279">
        <f t="shared" si="195"/>
        <v>0</v>
      </c>
      <c r="AB401" s="584">
        <f t="shared" si="196"/>
        <v>0</v>
      </c>
      <c r="AC401" s="277"/>
    </row>
    <row r="402" spans="5:29">
      <c r="E402" s="598"/>
      <c r="F402" s="699"/>
      <c r="G402" s="700"/>
      <c r="H402" s="598"/>
      <c r="I402" s="598"/>
      <c r="J402" s="598"/>
      <c r="K402" s="598"/>
      <c r="L402" s="598"/>
      <c r="Q402" s="288">
        <v>46059</v>
      </c>
      <c r="R402" s="276">
        <v>0.54166666666666663</v>
      </c>
      <c r="S402" s="277" t="s">
        <v>185</v>
      </c>
      <c r="T402" s="277" t="s">
        <v>753</v>
      </c>
      <c r="U402" s="278">
        <v>346</v>
      </c>
      <c r="V402" s="361" t="str">
        <f t="shared" si="190"/>
        <v>g</v>
      </c>
      <c r="W402" s="279">
        <f t="shared" si="191"/>
        <v>449.8</v>
      </c>
      <c r="X402" s="279">
        <f t="shared" si="192"/>
        <v>3.46</v>
      </c>
      <c r="Y402" s="279">
        <f t="shared" si="193"/>
        <v>0</v>
      </c>
      <c r="Z402" s="279">
        <f t="shared" si="194"/>
        <v>107.26</v>
      </c>
      <c r="AA402" s="279">
        <f t="shared" si="195"/>
        <v>10.379999999999999</v>
      </c>
      <c r="AB402" s="584">
        <f t="shared" si="196"/>
        <v>0</v>
      </c>
      <c r="AC402" s="277"/>
    </row>
    <row r="403" spans="5:29">
      <c r="E403" s="598"/>
      <c r="F403" s="699"/>
      <c r="G403" s="700"/>
      <c r="H403" s="598"/>
      <c r="I403" s="598"/>
      <c r="J403" s="598"/>
      <c r="K403" s="598"/>
      <c r="L403" s="598"/>
      <c r="Q403" s="288">
        <v>46059</v>
      </c>
      <c r="R403" s="276">
        <v>0.54166666666666663</v>
      </c>
      <c r="S403" s="277" t="s">
        <v>185</v>
      </c>
      <c r="T403" s="277" t="s">
        <v>374</v>
      </c>
      <c r="U403" s="278">
        <v>2</v>
      </c>
      <c r="V403" s="361" t="str">
        <f t="shared" si="190"/>
        <v>egg</v>
      </c>
      <c r="W403" s="279">
        <f t="shared" si="191"/>
        <v>160</v>
      </c>
      <c r="X403" s="279">
        <f t="shared" si="192"/>
        <v>14</v>
      </c>
      <c r="Y403" s="279">
        <f t="shared" si="193"/>
        <v>12</v>
      </c>
      <c r="Z403" s="279">
        <f t="shared" si="194"/>
        <v>0</v>
      </c>
      <c r="AA403" s="279">
        <f t="shared" si="195"/>
        <v>0</v>
      </c>
      <c r="AB403" s="584">
        <f t="shared" si="196"/>
        <v>80</v>
      </c>
      <c r="AC403" s="277"/>
    </row>
    <row r="404" spans="5:29">
      <c r="E404" s="598"/>
      <c r="F404" s="699"/>
      <c r="G404" s="700"/>
      <c r="H404" s="598"/>
      <c r="I404" s="598"/>
      <c r="J404" s="598"/>
      <c r="K404" s="598"/>
      <c r="L404" s="598"/>
      <c r="Q404" s="288">
        <v>46059</v>
      </c>
      <c r="R404" s="276">
        <v>0.54166666666666663</v>
      </c>
      <c r="S404" s="277" t="s">
        <v>185</v>
      </c>
      <c r="T404" s="277" t="s">
        <v>176</v>
      </c>
      <c r="U404" s="278">
        <v>50</v>
      </c>
      <c r="V404" s="361" t="str">
        <f t="shared" si="190"/>
        <v>g</v>
      </c>
      <c r="W404" s="279">
        <f t="shared" si="191"/>
        <v>82.5</v>
      </c>
      <c r="X404" s="279">
        <f t="shared" si="192"/>
        <v>12.5</v>
      </c>
      <c r="Y404" s="279">
        <f t="shared" si="193"/>
        <v>1.8</v>
      </c>
      <c r="Z404" s="279">
        <f t="shared" si="194"/>
        <v>0</v>
      </c>
      <c r="AA404" s="279">
        <f t="shared" si="195"/>
        <v>0</v>
      </c>
      <c r="AB404" s="584">
        <f t="shared" si="196"/>
        <v>0</v>
      </c>
      <c r="AC404" s="277"/>
    </row>
    <row r="405" spans="5:29">
      <c r="E405" s="598"/>
      <c r="F405" s="699"/>
      <c r="G405" s="700"/>
      <c r="H405" s="598"/>
      <c r="I405" s="598"/>
      <c r="J405" s="598"/>
      <c r="K405" s="598"/>
      <c r="L405" s="598"/>
      <c r="Q405" s="288">
        <v>46059</v>
      </c>
      <c r="R405" s="276">
        <v>0.54166666666666663</v>
      </c>
      <c r="S405" s="277" t="s">
        <v>185</v>
      </c>
      <c r="T405" s="277" t="s">
        <v>461</v>
      </c>
      <c r="U405" s="278">
        <v>3</v>
      </c>
      <c r="V405" s="361" t="str">
        <f t="shared" si="190"/>
        <v>chunks</v>
      </c>
      <c r="W405" s="279">
        <f t="shared" si="191"/>
        <v>72.857142857142847</v>
      </c>
      <c r="X405" s="279">
        <f t="shared" si="192"/>
        <v>1.2857142857142856</v>
      </c>
      <c r="Y405" s="279">
        <f t="shared" si="193"/>
        <v>4.2857142857142856</v>
      </c>
      <c r="Z405" s="279">
        <f t="shared" si="194"/>
        <v>7.7142857142857135</v>
      </c>
      <c r="AA405" s="279">
        <f t="shared" si="195"/>
        <v>0.21428571428571427</v>
      </c>
      <c r="AB405" s="584">
        <f t="shared" si="196"/>
        <v>0</v>
      </c>
      <c r="AC405" s="277"/>
    </row>
    <row r="406" spans="5:29">
      <c r="E406" s="598"/>
      <c r="F406" s="699"/>
      <c r="G406" s="700"/>
      <c r="H406" s="598"/>
      <c r="I406" s="598"/>
      <c r="J406" s="598"/>
      <c r="K406" s="598"/>
      <c r="L406" s="598"/>
      <c r="Q406" s="288">
        <v>46059</v>
      </c>
      <c r="R406" s="276">
        <v>0.66666666666666663</v>
      </c>
      <c r="S406" s="277" t="s">
        <v>289</v>
      </c>
      <c r="T406" s="277" t="s">
        <v>468</v>
      </c>
      <c r="U406" s="278">
        <v>2</v>
      </c>
      <c r="V406" s="361" t="str">
        <f t="shared" si="190"/>
        <v>apple</v>
      </c>
      <c r="W406" s="279">
        <f t="shared" si="191"/>
        <v>190</v>
      </c>
      <c r="X406" s="279">
        <f t="shared" si="192"/>
        <v>1</v>
      </c>
      <c r="Y406" s="279">
        <f t="shared" si="193"/>
        <v>0.6</v>
      </c>
      <c r="Z406" s="279">
        <f t="shared" si="194"/>
        <v>50</v>
      </c>
      <c r="AA406" s="279">
        <f t="shared" si="195"/>
        <v>8</v>
      </c>
      <c r="AB406" s="584">
        <f t="shared" si="196"/>
        <v>0</v>
      </c>
      <c r="AC406" s="277"/>
    </row>
    <row r="407" spans="5:29">
      <c r="E407" s="598"/>
      <c r="F407" s="699"/>
      <c r="G407" s="700"/>
      <c r="H407" s="598"/>
      <c r="I407" s="598"/>
      <c r="J407" s="598"/>
      <c r="K407" s="598"/>
      <c r="L407" s="598"/>
      <c r="Q407" s="288">
        <v>46059</v>
      </c>
      <c r="R407" s="276">
        <v>0.70833333333333337</v>
      </c>
      <c r="S407" s="277" t="s">
        <v>289</v>
      </c>
      <c r="T407" s="277" t="s">
        <v>815</v>
      </c>
      <c r="U407" s="278">
        <f>0.33</f>
        <v>0.33</v>
      </c>
      <c r="V407" s="361" t="str">
        <f t="shared" si="190"/>
        <v>piece</v>
      </c>
      <c r="W407" s="279">
        <f t="shared" si="191"/>
        <v>39.6</v>
      </c>
      <c r="X407" s="279">
        <f t="shared" si="192"/>
        <v>0.66</v>
      </c>
      <c r="Y407" s="279">
        <f t="shared" si="193"/>
        <v>1.98</v>
      </c>
      <c r="Z407" s="279">
        <f t="shared" si="194"/>
        <v>4.62</v>
      </c>
      <c r="AA407" s="279">
        <f t="shared" si="195"/>
        <v>0.16500000000000001</v>
      </c>
      <c r="AB407" s="584">
        <f t="shared" si="196"/>
        <v>0</v>
      </c>
      <c r="AC407" s="277"/>
    </row>
    <row r="408" spans="5:29">
      <c r="E408" s="598"/>
      <c r="F408" s="699"/>
      <c r="G408" s="700"/>
      <c r="H408" s="598"/>
      <c r="I408" s="598"/>
      <c r="J408" s="598"/>
      <c r="K408" s="598"/>
      <c r="L408" s="598"/>
      <c r="Q408" s="288">
        <v>46059</v>
      </c>
      <c r="R408" s="276">
        <v>0.91666666666666663</v>
      </c>
      <c r="S408" s="277" t="s">
        <v>199</v>
      </c>
      <c r="T408" s="277" t="s">
        <v>816</v>
      </c>
      <c r="U408" s="278">
        <v>234</v>
      </c>
      <c r="V408" s="361" t="str">
        <f t="shared" si="190"/>
        <v>g</v>
      </c>
      <c r="W408" s="279">
        <f t="shared" si="191"/>
        <v>507.78</v>
      </c>
      <c r="X408" s="279">
        <f t="shared" si="192"/>
        <v>60.839999999999996</v>
      </c>
      <c r="Y408" s="279">
        <f t="shared" si="193"/>
        <v>28.08</v>
      </c>
      <c r="Z408" s="279">
        <f t="shared" si="194"/>
        <v>0</v>
      </c>
      <c r="AA408" s="279">
        <f t="shared" si="195"/>
        <v>0</v>
      </c>
      <c r="AB408" s="584">
        <f t="shared" si="196"/>
        <v>0</v>
      </c>
      <c r="AC408" s="277"/>
    </row>
    <row r="409" spans="5:29">
      <c r="E409" s="598"/>
      <c r="F409" s="699"/>
      <c r="G409" s="700"/>
      <c r="H409" s="598"/>
      <c r="I409" s="598"/>
      <c r="J409" s="598"/>
      <c r="K409" s="598"/>
      <c r="L409" s="598"/>
      <c r="Q409" s="288">
        <v>46059</v>
      </c>
      <c r="R409" s="276">
        <v>0.91666666666666663</v>
      </c>
      <c r="S409" s="277" t="s">
        <v>289</v>
      </c>
      <c r="T409" s="277" t="s">
        <v>476</v>
      </c>
      <c r="U409" s="278">
        <v>0.5</v>
      </c>
      <c r="V409" s="361" t="str">
        <f t="shared" si="190"/>
        <v>bar</v>
      </c>
      <c r="W409" s="279">
        <f t="shared" si="191"/>
        <v>110</v>
      </c>
      <c r="X409" s="279">
        <f t="shared" si="192"/>
        <v>1</v>
      </c>
      <c r="Y409" s="279">
        <f t="shared" si="193"/>
        <v>6</v>
      </c>
      <c r="Z409" s="279">
        <f t="shared" si="194"/>
        <v>12.5</v>
      </c>
      <c r="AA409" s="279">
        <f t="shared" si="195"/>
        <v>0</v>
      </c>
      <c r="AB409" s="684">
        <f t="shared" si="196"/>
        <v>0</v>
      </c>
      <c r="AC409" s="277"/>
    </row>
    <row r="410" spans="5:29">
      <c r="E410" s="598"/>
      <c r="F410" s="699"/>
      <c r="G410" s="700"/>
      <c r="H410" s="598"/>
      <c r="I410" s="598"/>
      <c r="J410" s="598"/>
      <c r="K410" s="598"/>
      <c r="L410" s="598"/>
      <c r="Q410" s="280"/>
      <c r="R410" s="281" t="s">
        <v>217</v>
      </c>
      <c r="S410" s="294"/>
      <c r="T410" s="282"/>
      <c r="U410" s="282"/>
      <c r="V410" s="364"/>
      <c r="W410" s="283">
        <f t="shared" ref="W410:AB410" si="197">SUM(W397:W409)</f>
        <v>2932.437142857143</v>
      </c>
      <c r="X410" s="283">
        <f t="shared" si="197"/>
        <v>191.17571428571429</v>
      </c>
      <c r="Y410" s="283">
        <f t="shared" si="197"/>
        <v>90.295714285714268</v>
      </c>
      <c r="Z410" s="283">
        <f t="shared" si="197"/>
        <v>333.42428571428576</v>
      </c>
      <c r="AA410" s="683">
        <f t="shared" si="197"/>
        <v>23.349285714285713</v>
      </c>
      <c r="AB410" s="691">
        <f t="shared" si="197"/>
        <v>160</v>
      </c>
      <c r="AC410" s="281"/>
    </row>
    <row r="411" spans="5:29">
      <c r="E411" s="598"/>
      <c r="F411" s="699"/>
      <c r="G411" s="700"/>
      <c r="H411" s="598"/>
      <c r="I411" s="598"/>
      <c r="J411" s="598"/>
      <c r="K411" s="598"/>
      <c r="L411" s="598"/>
      <c r="Q411" s="280"/>
      <c r="R411" s="281" t="s">
        <v>220</v>
      </c>
      <c r="S411" s="294"/>
      <c r="T411" s="282"/>
      <c r="U411" s="282"/>
      <c r="V411" s="364"/>
      <c r="W411" s="284">
        <f>$B$27</f>
        <v>2834.5625</v>
      </c>
      <c r="X411" s="284">
        <f>$B$29</f>
        <v>154</v>
      </c>
      <c r="Y411" s="284">
        <f>$B$30</f>
        <v>63.91</v>
      </c>
      <c r="Z411" s="284">
        <f>$B$31</f>
        <v>410.84312499999999</v>
      </c>
      <c r="AA411" s="690">
        <f>$B$32</f>
        <v>39.683875</v>
      </c>
      <c r="AB411" s="695">
        <f>$B$39</f>
        <v>500</v>
      </c>
      <c r="AC411" s="281"/>
    </row>
    <row r="412" spans="5:29">
      <c r="E412" s="598"/>
      <c r="F412" s="699"/>
      <c r="G412" s="700"/>
      <c r="H412" s="598"/>
      <c r="I412" s="598"/>
      <c r="J412" s="598"/>
      <c r="K412" s="598"/>
      <c r="L412" s="598"/>
      <c r="Q412" s="280"/>
      <c r="R412" s="281" t="s">
        <v>222</v>
      </c>
      <c r="S412" s="294"/>
      <c r="T412" s="282"/>
      <c r="U412" s="282"/>
      <c r="V412" s="364"/>
      <c r="W412" s="284">
        <f t="shared" ref="W412:AB412" si="198">W410-W411</f>
        <v>97.874642857143044</v>
      </c>
      <c r="X412" s="284">
        <f t="shared" si="198"/>
        <v>37.175714285714292</v>
      </c>
      <c r="Y412" s="284">
        <f t="shared" si="198"/>
        <v>26.385714285714272</v>
      </c>
      <c r="Z412" s="284">
        <f t="shared" si="198"/>
        <v>-77.418839285714228</v>
      </c>
      <c r="AA412" s="690">
        <f t="shared" si="198"/>
        <v>-16.334589285714287</v>
      </c>
      <c r="AB412" s="689">
        <f t="shared" si="198"/>
        <v>-340</v>
      </c>
      <c r="AC412" s="281"/>
    </row>
    <row r="413" spans="5:29">
      <c r="E413" s="598"/>
      <c r="F413" s="699"/>
      <c r="G413" s="700"/>
      <c r="H413" s="598"/>
      <c r="I413" s="598"/>
      <c r="J413" s="598"/>
      <c r="K413" s="598"/>
      <c r="L413" s="598"/>
      <c r="Q413" s="288">
        <v>46060</v>
      </c>
      <c r="R413" s="276">
        <v>0.41666666666666669</v>
      </c>
      <c r="S413" s="277" t="s">
        <v>178</v>
      </c>
      <c r="T413" s="277" t="s">
        <v>814</v>
      </c>
      <c r="U413" s="278">
        <v>1</v>
      </c>
      <c r="V413" s="361" t="str">
        <f t="shared" ref="V413:V422" si="199">IFERROR(VLOOKUP(T413, $E$5:$L$818, 3, FALSE), "")</f>
        <v>bottle</v>
      </c>
      <c r="W413" s="279">
        <f t="shared" ref="W413:W422" si="200">IFERROR(VLOOKUP(T413, $E$5:$L$818, 4, FALSE) * (U413 / VLOOKUP(T413, $E$5:$L$818, 2, FALSE)), "")</f>
        <v>260</v>
      </c>
      <c r="X413" s="279">
        <f t="shared" ref="X413:X422" si="201">IFERROR(VLOOKUP(T413, $E$5:$L$818, 5, FALSE) * (U413 / VLOOKUP(T413, $E$5:$L$818, 2, FALSE)), "")</f>
        <v>33</v>
      </c>
      <c r="Y413" s="279">
        <f t="shared" ref="Y413:Y422" si="202">IFERROR(VLOOKUP(T413, $E$5:$L$818, 6, FALSE) * (U413 / VLOOKUP(T413, $E$5:$L$818, 2, FALSE)), "")</f>
        <v>6</v>
      </c>
      <c r="Z413" s="279">
        <f t="shared" ref="Z413:Z422" si="203">IFERROR(VLOOKUP(T413, $E$5:$L$818, 7, FALSE) * (U413 / VLOOKUP(T413, $E$5:$L$818, 2, FALSE)), "")</f>
        <v>20</v>
      </c>
      <c r="AA413" s="279">
        <f t="shared" ref="AA413:AA422" si="204">IFERROR(VLOOKUP(T413, $E$5:$L$818, 8, FALSE) * (U413 / VLOOKUP(T413, $E$5:$L$818, 2, FALSE)), "")</f>
        <v>0</v>
      </c>
      <c r="AB413" s="674">
        <f t="shared" ref="AB413:AB422" si="205">IFERROR(VLOOKUP(T413, $E$5:$O$818, 9, FALSE) * (U413 / VLOOKUP(T413, $E$5:$O$818, 2, FALSE)), "")</f>
        <v>0</v>
      </c>
      <c r="AC413" s="277"/>
    </row>
    <row r="414" spans="5:29">
      <c r="E414" s="598"/>
      <c r="F414" s="699"/>
      <c r="G414" s="700"/>
      <c r="H414" s="598"/>
      <c r="I414" s="598"/>
      <c r="J414" s="598"/>
      <c r="K414" s="598"/>
      <c r="L414" s="598"/>
      <c r="Q414" s="288">
        <v>46060</v>
      </c>
      <c r="R414" s="276">
        <v>0.54166666666666663</v>
      </c>
      <c r="S414" s="277" t="s">
        <v>185</v>
      </c>
      <c r="T414" s="277" t="s">
        <v>181</v>
      </c>
      <c r="U414" s="278">
        <v>6</v>
      </c>
      <c r="V414" s="361" t="str">
        <f t="shared" si="199"/>
        <v>slice</v>
      </c>
      <c r="W414" s="279">
        <f t="shared" si="200"/>
        <v>420</v>
      </c>
      <c r="X414" s="279">
        <f t="shared" si="201"/>
        <v>15</v>
      </c>
      <c r="Y414" s="279">
        <f t="shared" si="202"/>
        <v>7.5</v>
      </c>
      <c r="Z414" s="279">
        <f t="shared" si="203"/>
        <v>72</v>
      </c>
      <c r="AA414" s="279">
        <f t="shared" si="204"/>
        <v>6</v>
      </c>
      <c r="AB414" s="584">
        <f t="shared" si="205"/>
        <v>0</v>
      </c>
      <c r="AC414" s="277"/>
    </row>
    <row r="415" spans="5:29">
      <c r="E415" s="598"/>
      <c r="F415" s="699"/>
      <c r="G415" s="700"/>
      <c r="H415" s="598"/>
      <c r="I415" s="598"/>
      <c r="J415" s="598"/>
      <c r="K415" s="598"/>
      <c r="L415" s="598"/>
      <c r="Q415" s="288">
        <v>46060</v>
      </c>
      <c r="R415" s="276">
        <v>0.70833333333333337</v>
      </c>
      <c r="S415" s="277" t="s">
        <v>199</v>
      </c>
      <c r="T415" s="277" t="s">
        <v>465</v>
      </c>
      <c r="U415" s="278">
        <v>271</v>
      </c>
      <c r="V415" s="361" t="str">
        <f t="shared" si="199"/>
        <v>g</v>
      </c>
      <c r="W415" s="279">
        <f t="shared" si="200"/>
        <v>487.8</v>
      </c>
      <c r="X415" s="279">
        <f t="shared" si="201"/>
        <v>59.62</v>
      </c>
      <c r="Y415" s="279">
        <f t="shared" si="202"/>
        <v>24.39</v>
      </c>
      <c r="Z415" s="279">
        <f t="shared" si="203"/>
        <v>5.42</v>
      </c>
      <c r="AA415" s="279">
        <f t="shared" si="204"/>
        <v>0</v>
      </c>
      <c r="AB415" s="584">
        <f t="shared" si="205"/>
        <v>0</v>
      </c>
      <c r="AC415" s="277"/>
    </row>
    <row r="416" spans="5:29">
      <c r="E416" s="598"/>
      <c r="F416" s="699"/>
      <c r="G416" s="700"/>
      <c r="H416" s="598"/>
      <c r="I416" s="598"/>
      <c r="J416" s="598"/>
      <c r="K416" s="598"/>
      <c r="L416" s="598"/>
      <c r="Q416" s="288">
        <v>46060</v>
      </c>
      <c r="R416" s="276">
        <v>0.70833333333333337</v>
      </c>
      <c r="S416" s="277" t="s">
        <v>199</v>
      </c>
      <c r="T416" s="277" t="s">
        <v>374</v>
      </c>
      <c r="U416" s="278">
        <v>2</v>
      </c>
      <c r="V416" s="361" t="str">
        <f t="shared" si="199"/>
        <v>egg</v>
      </c>
      <c r="W416" s="279">
        <f t="shared" si="200"/>
        <v>160</v>
      </c>
      <c r="X416" s="279">
        <f t="shared" si="201"/>
        <v>14</v>
      </c>
      <c r="Y416" s="279">
        <f t="shared" si="202"/>
        <v>12</v>
      </c>
      <c r="Z416" s="279">
        <f t="shared" si="203"/>
        <v>0</v>
      </c>
      <c r="AA416" s="279">
        <f t="shared" si="204"/>
        <v>0</v>
      </c>
      <c r="AB416" s="584">
        <f t="shared" si="205"/>
        <v>80</v>
      </c>
      <c r="AC416" s="277"/>
    </row>
    <row r="417" spans="5:29">
      <c r="E417" s="598"/>
      <c r="F417" s="699"/>
      <c r="G417" s="700"/>
      <c r="H417" s="598"/>
      <c r="I417" s="598"/>
      <c r="J417" s="598"/>
      <c r="K417" s="598"/>
      <c r="L417" s="598"/>
      <c r="Q417" s="288">
        <v>46060</v>
      </c>
      <c r="R417" s="276">
        <v>0.70833333333333337</v>
      </c>
      <c r="S417" s="277" t="s">
        <v>199</v>
      </c>
      <c r="T417" s="277" t="s">
        <v>437</v>
      </c>
      <c r="U417" s="278">
        <v>1</v>
      </c>
      <c r="V417" s="361" t="str">
        <f t="shared" si="199"/>
        <v>bag</v>
      </c>
      <c r="W417" s="279">
        <f t="shared" si="200"/>
        <v>110</v>
      </c>
      <c r="X417" s="279">
        <f t="shared" si="201"/>
        <v>3</v>
      </c>
      <c r="Y417" s="279">
        <f t="shared" si="202"/>
        <v>0</v>
      </c>
      <c r="Z417" s="279">
        <f t="shared" si="203"/>
        <v>24</v>
      </c>
      <c r="AA417" s="279">
        <f t="shared" si="204"/>
        <v>0</v>
      </c>
      <c r="AB417" s="584">
        <f t="shared" si="205"/>
        <v>0</v>
      </c>
      <c r="AC417" s="277"/>
    </row>
    <row r="418" spans="5:29">
      <c r="E418" s="598"/>
      <c r="F418" s="699"/>
      <c r="G418" s="700"/>
      <c r="H418" s="598"/>
      <c r="I418" s="598"/>
      <c r="J418" s="598"/>
      <c r="K418" s="598"/>
      <c r="L418" s="598"/>
      <c r="Q418" s="288">
        <v>46060</v>
      </c>
      <c r="R418" s="276">
        <v>0.70833333333333337</v>
      </c>
      <c r="S418" s="277" t="s">
        <v>199</v>
      </c>
      <c r="T418" s="277" t="s">
        <v>234</v>
      </c>
      <c r="U418" s="278">
        <v>1</v>
      </c>
      <c r="V418" s="361" t="str">
        <f t="shared" si="199"/>
        <v>can</v>
      </c>
      <c r="W418" s="279">
        <f t="shared" si="200"/>
        <v>260</v>
      </c>
      <c r="X418" s="279">
        <f t="shared" si="201"/>
        <v>30</v>
      </c>
      <c r="Y418" s="279">
        <f t="shared" si="202"/>
        <v>16</v>
      </c>
      <c r="Z418" s="279">
        <f t="shared" si="203"/>
        <v>2</v>
      </c>
      <c r="AA418" s="279">
        <f t="shared" si="204"/>
        <v>0</v>
      </c>
      <c r="AB418" s="584">
        <f t="shared" si="205"/>
        <v>1300</v>
      </c>
      <c r="AC418" s="277"/>
    </row>
    <row r="419" spans="5:29">
      <c r="E419" s="598"/>
      <c r="F419" s="699"/>
      <c r="G419" s="700"/>
      <c r="H419" s="598"/>
      <c r="I419" s="598"/>
      <c r="J419" s="598"/>
      <c r="K419" s="598"/>
      <c r="L419" s="598"/>
      <c r="Q419" s="288">
        <v>46060</v>
      </c>
      <c r="R419" s="276">
        <v>0.83333333333333337</v>
      </c>
      <c r="S419" s="277" t="s">
        <v>289</v>
      </c>
      <c r="T419" s="277" t="s">
        <v>477</v>
      </c>
      <c r="U419" s="278">
        <v>100</v>
      </c>
      <c r="V419" s="361" t="str">
        <f t="shared" si="199"/>
        <v>g</v>
      </c>
      <c r="W419" s="279">
        <f t="shared" si="200"/>
        <v>567</v>
      </c>
      <c r="X419" s="279">
        <f t="shared" si="201"/>
        <v>26</v>
      </c>
      <c r="Y419" s="279">
        <f t="shared" si="202"/>
        <v>49</v>
      </c>
      <c r="Z419" s="279">
        <f t="shared" si="203"/>
        <v>16</v>
      </c>
      <c r="AA419" s="279">
        <f t="shared" si="204"/>
        <v>8</v>
      </c>
      <c r="AB419" s="584">
        <f t="shared" si="205"/>
        <v>0</v>
      </c>
      <c r="AC419" s="277"/>
    </row>
    <row r="420" spans="5:29">
      <c r="E420" s="598"/>
      <c r="F420" s="699"/>
      <c r="G420" s="700"/>
      <c r="H420" s="598"/>
      <c r="I420" s="598"/>
      <c r="J420" s="598"/>
      <c r="K420" s="598"/>
      <c r="L420" s="598"/>
      <c r="Q420" s="288">
        <v>46060</v>
      </c>
      <c r="R420" s="276">
        <v>0.83333333333333337</v>
      </c>
      <c r="S420" s="277" t="s">
        <v>289</v>
      </c>
      <c r="T420" s="277" t="s">
        <v>478</v>
      </c>
      <c r="U420" s="278">
        <v>0.5</v>
      </c>
      <c r="V420" s="361" t="str">
        <f t="shared" si="199"/>
        <v>cone</v>
      </c>
      <c r="W420" s="279">
        <f t="shared" si="200"/>
        <v>240</v>
      </c>
      <c r="X420" s="279">
        <f t="shared" si="201"/>
        <v>4</v>
      </c>
      <c r="Y420" s="279">
        <f t="shared" si="202"/>
        <v>11</v>
      </c>
      <c r="Z420" s="279">
        <f t="shared" si="203"/>
        <v>31</v>
      </c>
      <c r="AA420" s="279">
        <f t="shared" si="204"/>
        <v>1.5</v>
      </c>
      <c r="AB420" s="584">
        <f t="shared" si="205"/>
        <v>0</v>
      </c>
      <c r="AC420" s="277"/>
    </row>
    <row r="421" spans="5:29">
      <c r="E421" s="598"/>
      <c r="F421" s="699"/>
      <c r="G421" s="700"/>
      <c r="H421" s="598"/>
      <c r="I421" s="598"/>
      <c r="J421" s="598"/>
      <c r="K421" s="598"/>
      <c r="L421" s="598"/>
      <c r="Q421" s="288">
        <v>46060</v>
      </c>
      <c r="R421" s="276">
        <v>0.83333333333333337</v>
      </c>
      <c r="S421" s="277" t="s">
        <v>199</v>
      </c>
      <c r="T421" s="277" t="s">
        <v>209</v>
      </c>
      <c r="U421" s="278">
        <v>3</v>
      </c>
      <c r="V421" s="361" t="str">
        <f t="shared" si="199"/>
        <v>tbsp</v>
      </c>
      <c r="W421" s="279">
        <f t="shared" si="200"/>
        <v>60</v>
      </c>
      <c r="X421" s="279">
        <f t="shared" si="201"/>
        <v>0</v>
      </c>
      <c r="Y421" s="279">
        <f t="shared" si="202"/>
        <v>0</v>
      </c>
      <c r="Z421" s="279">
        <f t="shared" si="203"/>
        <v>15</v>
      </c>
      <c r="AA421" s="279">
        <f t="shared" si="204"/>
        <v>13.5</v>
      </c>
      <c r="AB421" s="584">
        <f t="shared" si="205"/>
        <v>0</v>
      </c>
      <c r="AC421" s="277"/>
    </row>
    <row r="422" spans="5:29">
      <c r="E422" s="598"/>
      <c r="F422" s="699"/>
      <c r="G422" s="700"/>
      <c r="H422" s="598"/>
      <c r="I422" s="598"/>
      <c r="J422" s="598"/>
      <c r="K422" s="598"/>
      <c r="L422" s="598"/>
      <c r="Q422" s="288">
        <v>46060</v>
      </c>
      <c r="R422" s="276">
        <v>0.83333333333333337</v>
      </c>
      <c r="S422" s="277" t="s">
        <v>199</v>
      </c>
      <c r="T422" s="277" t="s">
        <v>212</v>
      </c>
      <c r="U422" s="278">
        <v>1</v>
      </c>
      <c r="V422" s="361" t="str">
        <f t="shared" si="199"/>
        <v>bottle</v>
      </c>
      <c r="W422" s="279">
        <f t="shared" si="200"/>
        <v>70</v>
      </c>
      <c r="X422" s="279">
        <f t="shared" si="201"/>
        <v>0</v>
      </c>
      <c r="Y422" s="279">
        <f t="shared" si="202"/>
        <v>0</v>
      </c>
      <c r="Z422" s="279">
        <f t="shared" si="203"/>
        <v>17</v>
      </c>
      <c r="AA422" s="279">
        <f t="shared" si="204"/>
        <v>1</v>
      </c>
      <c r="AB422" s="684">
        <f t="shared" si="205"/>
        <v>0</v>
      </c>
      <c r="AC422" s="277"/>
    </row>
    <row r="423" spans="5:29">
      <c r="E423" s="598"/>
      <c r="F423" s="699"/>
      <c r="G423" s="700"/>
      <c r="H423" s="598"/>
      <c r="I423" s="598"/>
      <c r="J423" s="598"/>
      <c r="K423" s="598"/>
      <c r="L423" s="598"/>
      <c r="Q423" s="280"/>
      <c r="R423" s="281" t="s">
        <v>217</v>
      </c>
      <c r="S423" s="294"/>
      <c r="T423" s="282"/>
      <c r="U423" s="282"/>
      <c r="V423" s="364"/>
      <c r="W423" s="283">
        <f t="shared" ref="W423:AB423" si="206">SUM(W413:W422)</f>
        <v>2634.8</v>
      </c>
      <c r="X423" s="283">
        <f t="shared" si="206"/>
        <v>184.62</v>
      </c>
      <c r="Y423" s="283">
        <f t="shared" si="206"/>
        <v>125.89</v>
      </c>
      <c r="Z423" s="283">
        <f t="shared" si="206"/>
        <v>202.42000000000002</v>
      </c>
      <c r="AA423" s="683">
        <f t="shared" si="206"/>
        <v>30</v>
      </c>
      <c r="AB423" s="691">
        <f t="shared" si="206"/>
        <v>1380</v>
      </c>
      <c r="AC423" s="281"/>
    </row>
    <row r="424" spans="5:29">
      <c r="E424" s="598"/>
      <c r="F424" s="699"/>
      <c r="G424" s="700"/>
      <c r="H424" s="598"/>
      <c r="I424" s="598"/>
      <c r="J424" s="598"/>
      <c r="K424" s="598"/>
      <c r="L424" s="598"/>
      <c r="Q424" s="280"/>
      <c r="R424" s="281" t="s">
        <v>220</v>
      </c>
      <c r="S424" s="294"/>
      <c r="T424" s="282"/>
      <c r="U424" s="282"/>
      <c r="V424" s="364"/>
      <c r="W424" s="284">
        <f>$B$27</f>
        <v>2834.5625</v>
      </c>
      <c r="X424" s="284">
        <f>$B$29</f>
        <v>154</v>
      </c>
      <c r="Y424" s="284">
        <f>$B$30</f>
        <v>63.91</v>
      </c>
      <c r="Z424" s="284">
        <f>$B$31</f>
        <v>410.84312499999999</v>
      </c>
      <c r="AA424" s="690">
        <f>$B$32</f>
        <v>39.683875</v>
      </c>
      <c r="AB424" s="695">
        <f>$B$39</f>
        <v>500</v>
      </c>
      <c r="AC424" s="281"/>
    </row>
    <row r="425" spans="5:29">
      <c r="E425" s="598"/>
      <c r="F425" s="699"/>
      <c r="G425" s="700"/>
      <c r="H425" s="598"/>
      <c r="I425" s="598"/>
      <c r="J425" s="598"/>
      <c r="K425" s="598"/>
      <c r="L425" s="598"/>
      <c r="Q425" s="280"/>
      <c r="R425" s="281" t="s">
        <v>222</v>
      </c>
      <c r="S425" s="294"/>
      <c r="T425" s="282"/>
      <c r="U425" s="282"/>
      <c r="V425" s="364"/>
      <c r="W425" s="284">
        <f t="shared" ref="W425:AB425" si="207">W423-W424</f>
        <v>-199.76249999999982</v>
      </c>
      <c r="X425" s="284">
        <f t="shared" si="207"/>
        <v>30.620000000000005</v>
      </c>
      <c r="Y425" s="284">
        <f t="shared" si="207"/>
        <v>61.980000000000004</v>
      </c>
      <c r="Z425" s="284">
        <f t="shared" si="207"/>
        <v>-208.42312499999997</v>
      </c>
      <c r="AA425" s="690">
        <f t="shared" si="207"/>
        <v>-9.6838750000000005</v>
      </c>
      <c r="AB425" s="689">
        <f t="shared" si="207"/>
        <v>880</v>
      </c>
      <c r="AC425" s="281"/>
    </row>
    <row r="426" spans="5:29">
      <c r="E426" s="598"/>
      <c r="F426" s="699"/>
      <c r="G426" s="700"/>
      <c r="H426" s="598"/>
      <c r="I426" s="598"/>
      <c r="J426" s="598"/>
      <c r="K426" s="598"/>
      <c r="L426" s="598"/>
      <c r="Q426" s="288">
        <v>46061</v>
      </c>
      <c r="R426" s="276">
        <v>0.45833333333333331</v>
      </c>
      <c r="S426" s="277" t="s">
        <v>178</v>
      </c>
      <c r="T426" s="277" t="s">
        <v>482</v>
      </c>
      <c r="U426" s="278">
        <v>1</v>
      </c>
      <c r="V426" s="361" t="str">
        <f t="shared" ref="V426:V436" si="208">IFERROR(VLOOKUP(T426, $E$5:$L$818, 3, FALSE), "")</f>
        <v>serving</v>
      </c>
      <c r="W426" s="279">
        <f t="shared" ref="W426:W436" si="209">IFERROR(VLOOKUP(T426, $E$5:$L$818, 4, FALSE) * (U426 / VLOOKUP(T426, $E$5:$L$818, 2, FALSE)), "")</f>
        <v>700</v>
      </c>
      <c r="X426" s="279">
        <f t="shared" ref="X426:X436" si="210">IFERROR(VLOOKUP(T426, $E$5:$L$818, 5, FALSE) * (U426 / VLOOKUP(T426, $E$5:$L$818, 2, FALSE)), "")</f>
        <v>40</v>
      </c>
      <c r="Y426" s="279">
        <f t="shared" ref="Y426:Y436" si="211">IFERROR(VLOOKUP(T426, $E$5:$L$818, 6, FALSE) * (U426 / VLOOKUP(T426, $E$5:$L$818, 2, FALSE)), "")</f>
        <v>35</v>
      </c>
      <c r="Z426" s="279">
        <f t="shared" ref="Z426:Z436" si="212">IFERROR(VLOOKUP(T426, $E$5:$L$818, 7, FALSE) * (U426 / VLOOKUP(T426, $E$5:$L$818, 2, FALSE)), "")</f>
        <v>75</v>
      </c>
      <c r="AA426" s="279">
        <f t="shared" ref="AA426:AA436" si="213">IFERROR(VLOOKUP(T426, $E$5:$L$818, 8, FALSE) * (U426 / VLOOKUP(T426, $E$5:$L$818, 2, FALSE)), "")</f>
        <v>2</v>
      </c>
      <c r="AB426" s="674">
        <f t="shared" ref="AB426:AB436" si="214">IFERROR(VLOOKUP(T426, $E$5:$O$818, 9, FALSE) * (U426 / VLOOKUP(T426, $E$5:$O$818, 2, FALSE)), "")</f>
        <v>0</v>
      </c>
      <c r="AC426" s="277"/>
    </row>
    <row r="427" spans="5:29">
      <c r="E427" s="598"/>
      <c r="F427" s="699"/>
      <c r="G427" s="700"/>
      <c r="H427" s="598"/>
      <c r="I427" s="598"/>
      <c r="J427" s="598"/>
      <c r="K427" s="598"/>
      <c r="L427" s="598"/>
      <c r="Q427" s="288">
        <v>46061</v>
      </c>
      <c r="R427" s="276">
        <v>0.45833333333333331</v>
      </c>
      <c r="S427" s="277" t="s">
        <v>178</v>
      </c>
      <c r="T427" s="277" t="s">
        <v>481</v>
      </c>
      <c r="U427" s="278">
        <v>1</v>
      </c>
      <c r="V427" s="361" t="str">
        <f t="shared" si="208"/>
        <v>cake</v>
      </c>
      <c r="W427" s="279">
        <f t="shared" si="209"/>
        <v>400</v>
      </c>
      <c r="X427" s="279">
        <f t="shared" si="210"/>
        <v>6</v>
      </c>
      <c r="Y427" s="279">
        <f t="shared" si="211"/>
        <v>25</v>
      </c>
      <c r="Z427" s="279">
        <f t="shared" si="212"/>
        <v>40</v>
      </c>
      <c r="AA427" s="279">
        <f t="shared" si="213"/>
        <v>2</v>
      </c>
      <c r="AB427" s="584">
        <f t="shared" si="214"/>
        <v>0</v>
      </c>
      <c r="AC427" s="277"/>
    </row>
    <row r="428" spans="5:29">
      <c r="E428" s="598"/>
      <c r="F428" s="699"/>
      <c r="G428" s="700"/>
      <c r="H428" s="598"/>
      <c r="I428" s="598"/>
      <c r="J428" s="598"/>
      <c r="K428" s="598"/>
      <c r="L428" s="598"/>
      <c r="Q428" s="288">
        <v>46061</v>
      </c>
      <c r="R428" s="276">
        <v>0.625</v>
      </c>
      <c r="S428" s="277" t="s">
        <v>289</v>
      </c>
      <c r="T428" s="277" t="s">
        <v>285</v>
      </c>
      <c r="U428" s="278">
        <v>1</v>
      </c>
      <c r="V428" s="361" t="str">
        <f t="shared" si="208"/>
        <v>bar</v>
      </c>
      <c r="W428" s="279">
        <f t="shared" si="209"/>
        <v>240</v>
      </c>
      <c r="X428" s="279">
        <f t="shared" si="210"/>
        <v>4</v>
      </c>
      <c r="Y428" s="279">
        <f t="shared" si="211"/>
        <v>12</v>
      </c>
      <c r="Z428" s="279">
        <f t="shared" si="212"/>
        <v>30</v>
      </c>
      <c r="AA428" s="279">
        <f t="shared" si="213"/>
        <v>1.4</v>
      </c>
      <c r="AB428" s="584">
        <f t="shared" si="214"/>
        <v>0</v>
      </c>
      <c r="AC428" s="277"/>
    </row>
    <row r="429" spans="5:29">
      <c r="E429" s="598"/>
      <c r="F429" s="699"/>
      <c r="G429" s="700"/>
      <c r="H429" s="598"/>
      <c r="I429" s="598"/>
      <c r="J429" s="598"/>
      <c r="K429" s="598"/>
      <c r="L429" s="598"/>
      <c r="Q429" s="288">
        <v>46061</v>
      </c>
      <c r="R429" s="276">
        <v>0.625</v>
      </c>
      <c r="S429" s="277" t="s">
        <v>289</v>
      </c>
      <c r="T429" s="277" t="s">
        <v>463</v>
      </c>
      <c r="U429" s="278">
        <v>1</v>
      </c>
      <c r="V429" s="361" t="str">
        <f t="shared" si="208"/>
        <v>bottle</v>
      </c>
      <c r="W429" s="279">
        <f t="shared" si="209"/>
        <v>190</v>
      </c>
      <c r="X429" s="279">
        <f t="shared" si="210"/>
        <v>35</v>
      </c>
      <c r="Y429" s="279">
        <f t="shared" si="211"/>
        <v>2</v>
      </c>
      <c r="Z429" s="279">
        <f t="shared" si="212"/>
        <v>9</v>
      </c>
      <c r="AA429" s="279">
        <f t="shared" si="213"/>
        <v>0</v>
      </c>
      <c r="AB429" s="584">
        <f t="shared" si="214"/>
        <v>0</v>
      </c>
      <c r="AC429" s="277"/>
    </row>
    <row r="430" spans="5:29">
      <c r="E430" s="598"/>
      <c r="F430" s="699"/>
      <c r="G430" s="700"/>
      <c r="H430" s="598"/>
      <c r="I430" s="598"/>
      <c r="J430" s="598"/>
      <c r="K430" s="598"/>
      <c r="L430" s="598"/>
      <c r="Q430" s="288">
        <v>46061</v>
      </c>
      <c r="R430" s="276">
        <v>0.625</v>
      </c>
      <c r="S430" s="277" t="s">
        <v>289</v>
      </c>
      <c r="T430" s="277" t="s">
        <v>477</v>
      </c>
      <c r="U430" s="278">
        <v>40</v>
      </c>
      <c r="V430" s="361" t="str">
        <f t="shared" si="208"/>
        <v>g</v>
      </c>
      <c r="W430" s="279">
        <f t="shared" si="209"/>
        <v>226.8</v>
      </c>
      <c r="X430" s="279">
        <f t="shared" si="210"/>
        <v>10.4</v>
      </c>
      <c r="Y430" s="279">
        <f t="shared" si="211"/>
        <v>19.600000000000001</v>
      </c>
      <c r="Z430" s="279">
        <f t="shared" si="212"/>
        <v>6.4</v>
      </c>
      <c r="AA430" s="279">
        <f t="shared" si="213"/>
        <v>3.2</v>
      </c>
      <c r="AB430" s="584">
        <f t="shared" si="214"/>
        <v>0</v>
      </c>
      <c r="AC430" s="277"/>
    </row>
    <row r="431" spans="5:29">
      <c r="E431" s="598"/>
      <c r="F431" s="699"/>
      <c r="G431" s="700"/>
      <c r="H431" s="598"/>
      <c r="I431" s="598"/>
      <c r="J431" s="598"/>
      <c r="K431" s="598"/>
      <c r="L431" s="598"/>
      <c r="Q431" s="288">
        <v>46061</v>
      </c>
      <c r="R431" s="276">
        <v>0.625</v>
      </c>
      <c r="S431" s="277" t="s">
        <v>199</v>
      </c>
      <c r="T431" s="277" t="s">
        <v>295</v>
      </c>
      <c r="U431" s="278">
        <v>1</v>
      </c>
      <c r="V431" s="361" t="str">
        <f t="shared" si="208"/>
        <v>bottle</v>
      </c>
      <c r="W431" s="279">
        <f t="shared" si="209"/>
        <v>200</v>
      </c>
      <c r="X431" s="279">
        <f t="shared" si="210"/>
        <v>35</v>
      </c>
      <c r="Y431" s="279">
        <f t="shared" si="211"/>
        <v>2.5</v>
      </c>
      <c r="Z431" s="279">
        <f t="shared" si="212"/>
        <v>9</v>
      </c>
      <c r="AA431" s="279">
        <f t="shared" si="213"/>
        <v>0</v>
      </c>
      <c r="AB431" s="584">
        <f t="shared" si="214"/>
        <v>0</v>
      </c>
      <c r="AC431" s="277"/>
    </row>
    <row r="432" spans="5:29">
      <c r="E432" s="598"/>
      <c r="F432" s="699"/>
      <c r="G432" s="700"/>
      <c r="H432" s="598"/>
      <c r="I432" s="598"/>
      <c r="J432" s="598"/>
      <c r="K432" s="598"/>
      <c r="L432" s="598"/>
      <c r="Q432" s="288">
        <v>46061</v>
      </c>
      <c r="R432" s="276">
        <v>0.625</v>
      </c>
      <c r="S432" s="277" t="s">
        <v>199</v>
      </c>
      <c r="T432" s="277" t="s">
        <v>816</v>
      </c>
      <c r="U432" s="278">
        <v>100</v>
      </c>
      <c r="V432" s="361" t="str">
        <f t="shared" si="208"/>
        <v>g</v>
      </c>
      <c r="W432" s="279">
        <f t="shared" si="209"/>
        <v>217</v>
      </c>
      <c r="X432" s="279">
        <f t="shared" si="210"/>
        <v>26</v>
      </c>
      <c r="Y432" s="279">
        <f t="shared" si="211"/>
        <v>12</v>
      </c>
      <c r="Z432" s="279">
        <f t="shared" si="212"/>
        <v>0</v>
      </c>
      <c r="AA432" s="279">
        <f t="shared" si="213"/>
        <v>0</v>
      </c>
      <c r="AB432" s="584">
        <f t="shared" si="214"/>
        <v>0</v>
      </c>
      <c r="AC432" s="277"/>
    </row>
    <row r="433" spans="5:29">
      <c r="E433" s="598"/>
      <c r="F433" s="699"/>
      <c r="G433" s="700"/>
      <c r="H433" s="598"/>
      <c r="I433" s="598"/>
      <c r="J433" s="598"/>
      <c r="K433" s="598"/>
      <c r="L433" s="598"/>
      <c r="Q433" s="288">
        <v>46061</v>
      </c>
      <c r="R433" s="276">
        <v>0.625</v>
      </c>
      <c r="S433" s="277" t="s">
        <v>199</v>
      </c>
      <c r="T433" s="277" t="s">
        <v>465</v>
      </c>
      <c r="U433" s="278">
        <v>132</v>
      </c>
      <c r="V433" s="361" t="str">
        <f t="shared" si="208"/>
        <v>g</v>
      </c>
      <c r="W433" s="279">
        <f t="shared" si="209"/>
        <v>237.60000000000002</v>
      </c>
      <c r="X433" s="279">
        <f t="shared" si="210"/>
        <v>29.040000000000003</v>
      </c>
      <c r="Y433" s="279">
        <f t="shared" si="211"/>
        <v>11.88</v>
      </c>
      <c r="Z433" s="279">
        <f t="shared" si="212"/>
        <v>2.64</v>
      </c>
      <c r="AA433" s="279">
        <f t="shared" si="213"/>
        <v>0</v>
      </c>
      <c r="AB433" s="584">
        <f t="shared" si="214"/>
        <v>0</v>
      </c>
      <c r="AC433" s="277"/>
    </row>
    <row r="434" spans="5:29">
      <c r="E434" s="598"/>
      <c r="F434" s="699"/>
      <c r="G434" s="700"/>
      <c r="H434" s="598"/>
      <c r="I434" s="598"/>
      <c r="J434" s="598"/>
      <c r="K434" s="598"/>
      <c r="L434" s="598"/>
      <c r="Q434" s="288">
        <v>46061</v>
      </c>
      <c r="R434" s="276">
        <v>0.625</v>
      </c>
      <c r="S434" s="277" t="s">
        <v>289</v>
      </c>
      <c r="T434" s="277" t="s">
        <v>476</v>
      </c>
      <c r="U434" s="278">
        <v>0.5</v>
      </c>
      <c r="V434" s="361" t="str">
        <f t="shared" si="208"/>
        <v>bar</v>
      </c>
      <c r="W434" s="279">
        <f t="shared" si="209"/>
        <v>110</v>
      </c>
      <c r="X434" s="279">
        <f t="shared" si="210"/>
        <v>1</v>
      </c>
      <c r="Y434" s="279">
        <f t="shared" si="211"/>
        <v>6</v>
      </c>
      <c r="Z434" s="279">
        <f t="shared" si="212"/>
        <v>12.5</v>
      </c>
      <c r="AA434" s="279">
        <f t="shared" si="213"/>
        <v>0</v>
      </c>
      <c r="AB434" s="584">
        <f t="shared" si="214"/>
        <v>0</v>
      </c>
      <c r="AC434" s="277"/>
    </row>
    <row r="435" spans="5:29">
      <c r="E435" s="598"/>
      <c r="F435" s="699"/>
      <c r="G435" s="700"/>
      <c r="H435" s="598"/>
      <c r="I435" s="598"/>
      <c r="J435" s="598"/>
      <c r="K435" s="598"/>
      <c r="L435" s="598"/>
      <c r="Q435" s="288">
        <v>46061</v>
      </c>
      <c r="R435" s="276">
        <v>0.625</v>
      </c>
      <c r="S435" s="277" t="s">
        <v>289</v>
      </c>
      <c r="T435" s="277" t="s">
        <v>212</v>
      </c>
      <c r="U435" s="278">
        <v>1</v>
      </c>
      <c r="V435" s="361" t="str">
        <f t="shared" si="208"/>
        <v>bottle</v>
      </c>
      <c r="W435" s="279">
        <f t="shared" si="209"/>
        <v>70</v>
      </c>
      <c r="X435" s="279">
        <f t="shared" si="210"/>
        <v>0</v>
      </c>
      <c r="Y435" s="279">
        <f t="shared" si="211"/>
        <v>0</v>
      </c>
      <c r="Z435" s="279">
        <f t="shared" si="212"/>
        <v>17</v>
      </c>
      <c r="AA435" s="279">
        <f t="shared" si="213"/>
        <v>1</v>
      </c>
      <c r="AB435" s="584">
        <f t="shared" si="214"/>
        <v>0</v>
      </c>
      <c r="AC435" s="277"/>
    </row>
    <row r="436" spans="5:29">
      <c r="E436" s="598"/>
      <c r="F436" s="699"/>
      <c r="G436" s="700"/>
      <c r="H436" s="598"/>
      <c r="I436" s="598"/>
      <c r="J436" s="598"/>
      <c r="K436" s="598"/>
      <c r="L436" s="598"/>
      <c r="Q436" s="288">
        <v>46061</v>
      </c>
      <c r="R436" s="276">
        <v>0.625</v>
      </c>
      <c r="S436" s="277" t="s">
        <v>199</v>
      </c>
      <c r="T436" s="277" t="s">
        <v>209</v>
      </c>
      <c r="U436" s="278">
        <v>3</v>
      </c>
      <c r="V436" s="361" t="str">
        <f t="shared" si="208"/>
        <v>tbsp</v>
      </c>
      <c r="W436" s="279">
        <f t="shared" si="209"/>
        <v>60</v>
      </c>
      <c r="X436" s="279">
        <f t="shared" si="210"/>
        <v>0</v>
      </c>
      <c r="Y436" s="279">
        <f t="shared" si="211"/>
        <v>0</v>
      </c>
      <c r="Z436" s="279">
        <f t="shared" si="212"/>
        <v>15</v>
      </c>
      <c r="AA436" s="279">
        <f t="shared" si="213"/>
        <v>13.5</v>
      </c>
      <c r="AB436" s="684">
        <f t="shared" si="214"/>
        <v>0</v>
      </c>
      <c r="AC436" s="277"/>
    </row>
    <row r="437" spans="5:29">
      <c r="E437" s="598"/>
      <c r="F437" s="699"/>
      <c r="G437" s="700"/>
      <c r="H437" s="598"/>
      <c r="I437" s="598"/>
      <c r="J437" s="598"/>
      <c r="K437" s="598"/>
      <c r="L437" s="598"/>
      <c r="Q437" s="280"/>
      <c r="R437" s="281" t="s">
        <v>217</v>
      </c>
      <c r="S437" s="294"/>
      <c r="T437" s="282"/>
      <c r="U437" s="282"/>
      <c r="V437" s="364"/>
      <c r="W437" s="283">
        <f t="shared" ref="W437:AB437" si="215">SUM(W426:W436)</f>
        <v>2651.4</v>
      </c>
      <c r="X437" s="283">
        <f t="shared" si="215"/>
        <v>186.44</v>
      </c>
      <c r="Y437" s="283">
        <f t="shared" si="215"/>
        <v>125.97999999999999</v>
      </c>
      <c r="Z437" s="283">
        <f t="shared" si="215"/>
        <v>216.54</v>
      </c>
      <c r="AA437" s="683">
        <f t="shared" si="215"/>
        <v>23.1</v>
      </c>
      <c r="AB437" s="691">
        <f t="shared" si="215"/>
        <v>0</v>
      </c>
      <c r="AC437" s="281"/>
    </row>
    <row r="438" spans="5:29">
      <c r="E438" s="598"/>
      <c r="F438" s="699"/>
      <c r="G438" s="700"/>
      <c r="H438" s="598"/>
      <c r="I438" s="598"/>
      <c r="J438" s="598"/>
      <c r="K438" s="598"/>
      <c r="L438" s="598"/>
      <c r="Q438" s="280"/>
      <c r="R438" s="281" t="s">
        <v>220</v>
      </c>
      <c r="S438" s="294"/>
      <c r="T438" s="282"/>
      <c r="U438" s="282"/>
      <c r="V438" s="364"/>
      <c r="W438" s="284">
        <f>$B$27</f>
        <v>2834.5625</v>
      </c>
      <c r="X438" s="284">
        <f>$B$29</f>
        <v>154</v>
      </c>
      <c r="Y438" s="284">
        <f>$B$30</f>
        <v>63.91</v>
      </c>
      <c r="Z438" s="284">
        <f>$B$31</f>
        <v>410.84312499999999</v>
      </c>
      <c r="AA438" s="690">
        <f>$B$32</f>
        <v>39.683875</v>
      </c>
      <c r="AB438" s="695">
        <f>$B$39</f>
        <v>500</v>
      </c>
      <c r="AC438" s="281"/>
    </row>
    <row r="439" spans="5:29">
      <c r="E439" s="598"/>
      <c r="F439" s="699"/>
      <c r="G439" s="700"/>
      <c r="H439" s="598"/>
      <c r="I439" s="598"/>
      <c r="J439" s="598"/>
      <c r="K439" s="598"/>
      <c r="L439" s="598"/>
      <c r="Q439" s="280"/>
      <c r="R439" s="281" t="s">
        <v>222</v>
      </c>
      <c r="S439" s="294"/>
      <c r="T439" s="282"/>
      <c r="U439" s="282"/>
      <c r="V439" s="364"/>
      <c r="W439" s="284">
        <f t="shared" ref="W439:AB439" si="216">W437-W438</f>
        <v>-183.16249999999991</v>
      </c>
      <c r="X439" s="284">
        <f t="shared" si="216"/>
        <v>32.44</v>
      </c>
      <c r="Y439" s="284">
        <f t="shared" si="216"/>
        <v>62.069999999999993</v>
      </c>
      <c r="Z439" s="284">
        <f t="shared" si="216"/>
        <v>-194.30312499999999</v>
      </c>
      <c r="AA439" s="690">
        <f t="shared" si="216"/>
        <v>-16.583874999999999</v>
      </c>
      <c r="AB439" s="689">
        <f t="shared" si="216"/>
        <v>-500</v>
      </c>
      <c r="AC439" s="281"/>
    </row>
    <row r="440" spans="5:29">
      <c r="E440" s="598"/>
      <c r="F440" s="699"/>
      <c r="G440" s="700"/>
      <c r="H440" s="598"/>
      <c r="I440" s="598"/>
      <c r="J440" s="598"/>
      <c r="K440" s="598"/>
      <c r="L440" s="598"/>
      <c r="Q440" s="288">
        <v>46062</v>
      </c>
      <c r="R440" s="276">
        <v>0.5</v>
      </c>
      <c r="S440" s="277" t="s">
        <v>178</v>
      </c>
      <c r="T440" s="277" t="s">
        <v>814</v>
      </c>
      <c r="U440" s="278">
        <v>1</v>
      </c>
      <c r="V440" s="361" t="str">
        <f t="shared" ref="V440:V452" si="217">IFERROR(VLOOKUP(T440, $E$5:$L$818, 3, FALSE), "")</f>
        <v>bottle</v>
      </c>
      <c r="W440" s="279">
        <f t="shared" ref="W440:W452" si="218">IFERROR(VLOOKUP(T440, $E$5:$L$818, 4, FALSE) * (U440 / VLOOKUP(T440, $E$5:$L$818, 2, FALSE)), "")</f>
        <v>260</v>
      </c>
      <c r="X440" s="279">
        <f t="shared" ref="X440:X452" si="219">IFERROR(VLOOKUP(T440, $E$5:$L$818, 5, FALSE) * (U440 / VLOOKUP(T440, $E$5:$L$818, 2, FALSE)), "")</f>
        <v>33</v>
      </c>
      <c r="Y440" s="279">
        <f t="shared" ref="Y440:Y452" si="220">IFERROR(VLOOKUP(T440, $E$5:$L$818, 6, FALSE) * (U440 / VLOOKUP(T440, $E$5:$L$818, 2, FALSE)), "")</f>
        <v>6</v>
      </c>
      <c r="Z440" s="279">
        <f t="shared" ref="Z440:Z452" si="221">IFERROR(VLOOKUP(T440, $E$5:$L$818, 7, FALSE) * (U440 / VLOOKUP(T440, $E$5:$L$818, 2, FALSE)), "")</f>
        <v>20</v>
      </c>
      <c r="AA440" s="279">
        <f t="shared" ref="AA440:AA452" si="222">IFERROR(VLOOKUP(T440, $E$5:$L$818, 8, FALSE) * (U440 / VLOOKUP(T440, $E$5:$L$818, 2, FALSE)), "")</f>
        <v>0</v>
      </c>
      <c r="AB440" s="674">
        <f t="shared" ref="AB440:AB452" si="223">IFERROR(VLOOKUP(T440, $E$5:$O$818, 9, FALSE) * (U440 / VLOOKUP(T440, $E$5:$O$818, 2, FALSE)), "")</f>
        <v>0</v>
      </c>
      <c r="AC440" s="277"/>
    </row>
    <row r="441" spans="5:29">
      <c r="E441" s="598"/>
      <c r="F441" s="699"/>
      <c r="G441" s="700"/>
      <c r="H441" s="598"/>
      <c r="I441" s="598"/>
      <c r="J441" s="598"/>
      <c r="K441" s="598"/>
      <c r="L441" s="598"/>
      <c r="Q441" s="288">
        <v>46062</v>
      </c>
      <c r="R441" s="276">
        <v>0.5</v>
      </c>
      <c r="S441" s="277" t="s">
        <v>289</v>
      </c>
      <c r="T441" s="277" t="s">
        <v>477</v>
      </c>
      <c r="U441" s="278">
        <v>25</v>
      </c>
      <c r="V441" s="361" t="str">
        <f t="shared" si="217"/>
        <v>g</v>
      </c>
      <c r="W441" s="279">
        <f t="shared" si="218"/>
        <v>141.75</v>
      </c>
      <c r="X441" s="279">
        <f t="shared" si="219"/>
        <v>6.5</v>
      </c>
      <c r="Y441" s="279">
        <f t="shared" si="220"/>
        <v>12.25</v>
      </c>
      <c r="Z441" s="279">
        <f t="shared" si="221"/>
        <v>4</v>
      </c>
      <c r="AA441" s="279">
        <f t="shared" si="222"/>
        <v>2</v>
      </c>
      <c r="AB441" s="584">
        <f t="shared" si="223"/>
        <v>0</v>
      </c>
      <c r="AC441" s="277"/>
    </row>
    <row r="442" spans="5:29">
      <c r="E442" s="598"/>
      <c r="F442" s="699"/>
      <c r="G442" s="700"/>
      <c r="H442" s="598"/>
      <c r="I442" s="598"/>
      <c r="J442" s="598"/>
      <c r="K442" s="598"/>
      <c r="L442" s="598"/>
      <c r="Q442" s="288">
        <v>46062</v>
      </c>
      <c r="R442" s="276">
        <v>0.54166666666666663</v>
      </c>
      <c r="S442" s="277" t="s">
        <v>185</v>
      </c>
      <c r="T442" s="277" t="s">
        <v>465</v>
      </c>
      <c r="U442" s="278">
        <v>145</v>
      </c>
      <c r="V442" s="361" t="str">
        <f t="shared" si="217"/>
        <v>g</v>
      </c>
      <c r="W442" s="279">
        <f t="shared" si="218"/>
        <v>261</v>
      </c>
      <c r="X442" s="279">
        <f t="shared" si="219"/>
        <v>31.9</v>
      </c>
      <c r="Y442" s="279">
        <f t="shared" si="220"/>
        <v>13.049999999999999</v>
      </c>
      <c r="Z442" s="279">
        <f t="shared" si="221"/>
        <v>2.9</v>
      </c>
      <c r="AA442" s="279">
        <f t="shared" si="222"/>
        <v>0</v>
      </c>
      <c r="AB442" s="584">
        <f t="shared" si="223"/>
        <v>0</v>
      </c>
      <c r="AC442" s="277"/>
    </row>
    <row r="443" spans="5:29">
      <c r="E443" s="598"/>
      <c r="F443" s="699"/>
      <c r="G443" s="700"/>
      <c r="H443" s="598"/>
      <c r="I443" s="598"/>
      <c r="J443" s="598"/>
      <c r="K443" s="598"/>
      <c r="L443" s="598"/>
      <c r="Q443" s="288">
        <v>46062</v>
      </c>
      <c r="R443" s="276">
        <v>0.54166666666666663</v>
      </c>
      <c r="S443" s="277" t="s">
        <v>185</v>
      </c>
      <c r="T443" s="277" t="s">
        <v>816</v>
      </c>
      <c r="U443" s="278">
        <v>151</v>
      </c>
      <c r="V443" s="361" t="str">
        <f t="shared" si="217"/>
        <v>g</v>
      </c>
      <c r="W443" s="279">
        <f t="shared" si="218"/>
        <v>327.67</v>
      </c>
      <c r="X443" s="279">
        <f t="shared" si="219"/>
        <v>39.26</v>
      </c>
      <c r="Y443" s="279">
        <f t="shared" si="220"/>
        <v>18.12</v>
      </c>
      <c r="Z443" s="279">
        <f t="shared" si="221"/>
        <v>0</v>
      </c>
      <c r="AA443" s="279">
        <f t="shared" si="222"/>
        <v>0</v>
      </c>
      <c r="AB443" s="584">
        <f t="shared" si="223"/>
        <v>0</v>
      </c>
      <c r="AC443" s="277"/>
    </row>
    <row r="444" spans="5:29">
      <c r="E444" s="598"/>
      <c r="F444" s="699"/>
      <c r="G444" s="700"/>
      <c r="H444" s="598"/>
      <c r="I444" s="598"/>
      <c r="J444" s="598"/>
      <c r="K444" s="598"/>
      <c r="L444" s="598"/>
      <c r="Q444" s="288">
        <v>46062</v>
      </c>
      <c r="R444" s="276">
        <v>0.54166666666666663</v>
      </c>
      <c r="S444" s="277" t="s">
        <v>185</v>
      </c>
      <c r="T444" s="277" t="s">
        <v>374</v>
      </c>
      <c r="U444" s="278">
        <v>2</v>
      </c>
      <c r="V444" s="361" t="str">
        <f t="shared" si="217"/>
        <v>egg</v>
      </c>
      <c r="W444" s="279">
        <f t="shared" si="218"/>
        <v>160</v>
      </c>
      <c r="X444" s="279">
        <f t="shared" si="219"/>
        <v>14</v>
      </c>
      <c r="Y444" s="279">
        <f t="shared" si="220"/>
        <v>12</v>
      </c>
      <c r="Z444" s="279">
        <f t="shared" si="221"/>
        <v>0</v>
      </c>
      <c r="AA444" s="279">
        <f t="shared" si="222"/>
        <v>0</v>
      </c>
      <c r="AB444" s="584">
        <f t="shared" si="223"/>
        <v>80</v>
      </c>
      <c r="AC444" s="277"/>
    </row>
    <row r="445" spans="5:29">
      <c r="E445" s="598"/>
      <c r="F445" s="699"/>
      <c r="G445" s="700"/>
      <c r="H445" s="598"/>
      <c r="I445" s="598"/>
      <c r="J445" s="598"/>
      <c r="K445" s="598"/>
      <c r="L445" s="598"/>
      <c r="Q445" s="288">
        <v>46062</v>
      </c>
      <c r="R445" s="276">
        <v>0.54166666666666663</v>
      </c>
      <c r="S445" s="277" t="s">
        <v>289</v>
      </c>
      <c r="T445" s="277" t="s">
        <v>483</v>
      </c>
      <c r="U445" s="278">
        <v>2</v>
      </c>
      <c r="V445" s="361" t="str">
        <f t="shared" si="217"/>
        <v>piece</v>
      </c>
      <c r="W445" s="279">
        <f t="shared" si="218"/>
        <v>400</v>
      </c>
      <c r="X445" s="279">
        <f t="shared" si="219"/>
        <v>6</v>
      </c>
      <c r="Y445" s="279">
        <f t="shared" si="220"/>
        <v>10</v>
      </c>
      <c r="Z445" s="279">
        <f t="shared" si="221"/>
        <v>76</v>
      </c>
      <c r="AA445" s="279">
        <f t="shared" si="222"/>
        <v>2</v>
      </c>
      <c r="AB445" s="584">
        <f t="shared" si="223"/>
        <v>0</v>
      </c>
      <c r="AC445" s="277"/>
    </row>
    <row r="446" spans="5:29">
      <c r="E446" s="598"/>
      <c r="F446" s="699"/>
      <c r="G446" s="700"/>
      <c r="H446" s="598"/>
      <c r="I446" s="598"/>
      <c r="J446" s="598"/>
      <c r="K446" s="598"/>
      <c r="L446" s="598"/>
      <c r="Q446" s="288">
        <v>46062</v>
      </c>
      <c r="R446" s="276">
        <v>0.58333333333333304</v>
      </c>
      <c r="S446" s="277" t="s">
        <v>289</v>
      </c>
      <c r="T446" s="277" t="s">
        <v>461</v>
      </c>
      <c r="U446" s="278">
        <v>2</v>
      </c>
      <c r="V446" s="361" t="str">
        <f t="shared" si="217"/>
        <v>chunks</v>
      </c>
      <c r="W446" s="279">
        <f t="shared" si="218"/>
        <v>48.571428571428569</v>
      </c>
      <c r="X446" s="279">
        <f t="shared" si="219"/>
        <v>0.8571428571428571</v>
      </c>
      <c r="Y446" s="279">
        <f t="shared" si="220"/>
        <v>2.8571428571428568</v>
      </c>
      <c r="Z446" s="279">
        <f t="shared" si="221"/>
        <v>5.1428571428571423</v>
      </c>
      <c r="AA446" s="279">
        <f t="shared" si="222"/>
        <v>0.14285714285714285</v>
      </c>
      <c r="AB446" s="584">
        <f t="shared" si="223"/>
        <v>0</v>
      </c>
      <c r="AC446" s="277"/>
    </row>
    <row r="447" spans="5:29">
      <c r="E447" s="598"/>
      <c r="F447" s="699"/>
      <c r="G447" s="700"/>
      <c r="H447" s="598"/>
      <c r="I447" s="598"/>
      <c r="J447" s="598"/>
      <c r="K447" s="598"/>
      <c r="L447" s="598"/>
      <c r="Q447" s="288">
        <v>46062</v>
      </c>
      <c r="R447" s="276">
        <v>0.66666666666666663</v>
      </c>
      <c r="S447" s="277" t="s">
        <v>289</v>
      </c>
      <c r="T447" s="277" t="s">
        <v>219</v>
      </c>
      <c r="U447" s="278">
        <v>1</v>
      </c>
      <c r="V447" s="361" t="str">
        <f t="shared" si="217"/>
        <v>bottle</v>
      </c>
      <c r="W447" s="279">
        <f t="shared" si="218"/>
        <v>0</v>
      </c>
      <c r="X447" s="279">
        <f t="shared" si="219"/>
        <v>0</v>
      </c>
      <c r="Y447" s="279">
        <f t="shared" si="220"/>
        <v>0</v>
      </c>
      <c r="Z447" s="279">
        <f t="shared" si="221"/>
        <v>0</v>
      </c>
      <c r="AA447" s="279">
        <f t="shared" si="222"/>
        <v>0</v>
      </c>
      <c r="AB447" s="584">
        <f t="shared" si="223"/>
        <v>0</v>
      </c>
      <c r="AC447" s="277"/>
    </row>
    <row r="448" spans="5:29">
      <c r="E448" s="598"/>
      <c r="F448" s="699"/>
      <c r="G448" s="700"/>
      <c r="H448" s="598"/>
      <c r="I448" s="598"/>
      <c r="J448" s="598"/>
      <c r="K448" s="598"/>
      <c r="L448" s="598"/>
      <c r="Q448" s="288">
        <v>46062</v>
      </c>
      <c r="R448" s="276">
        <v>0.875</v>
      </c>
      <c r="S448" s="277" t="s">
        <v>199</v>
      </c>
      <c r="T448" s="277" t="s">
        <v>484</v>
      </c>
      <c r="U448" s="278">
        <v>326</v>
      </c>
      <c r="V448" s="361" t="str">
        <f t="shared" si="217"/>
        <v>g</v>
      </c>
      <c r="W448" s="279">
        <f t="shared" si="218"/>
        <v>303.18</v>
      </c>
      <c r="X448" s="279">
        <f t="shared" si="219"/>
        <v>8.1499999999999986</v>
      </c>
      <c r="Y448" s="279">
        <f t="shared" si="220"/>
        <v>0.65200000000000002</v>
      </c>
      <c r="Z448" s="279">
        <f t="shared" si="221"/>
        <v>68.459999999999994</v>
      </c>
      <c r="AA448" s="279">
        <f t="shared" si="222"/>
        <v>8.4759999999999991</v>
      </c>
      <c r="AB448" s="584">
        <f t="shared" si="223"/>
        <v>0</v>
      </c>
      <c r="AC448" s="277"/>
    </row>
    <row r="449" spans="5:29">
      <c r="E449" s="598"/>
      <c r="F449" s="699"/>
      <c r="G449" s="700"/>
      <c r="H449" s="598"/>
      <c r="I449" s="598"/>
      <c r="J449" s="598"/>
      <c r="K449" s="598"/>
      <c r="L449" s="598"/>
      <c r="Q449" s="288">
        <v>46062</v>
      </c>
      <c r="R449" s="276">
        <v>0.875</v>
      </c>
      <c r="S449" s="277" t="s">
        <v>199</v>
      </c>
      <c r="T449" s="277" t="s">
        <v>816</v>
      </c>
      <c r="U449" s="278">
        <v>151</v>
      </c>
      <c r="V449" s="361" t="str">
        <f t="shared" si="217"/>
        <v>g</v>
      </c>
      <c r="W449" s="279">
        <f t="shared" si="218"/>
        <v>327.67</v>
      </c>
      <c r="X449" s="279">
        <f t="shared" si="219"/>
        <v>39.26</v>
      </c>
      <c r="Y449" s="279">
        <f t="shared" si="220"/>
        <v>18.12</v>
      </c>
      <c r="Z449" s="279">
        <f t="shared" si="221"/>
        <v>0</v>
      </c>
      <c r="AA449" s="279">
        <f t="shared" si="222"/>
        <v>0</v>
      </c>
      <c r="AB449" s="584">
        <f t="shared" si="223"/>
        <v>0</v>
      </c>
      <c r="AC449" s="277"/>
    </row>
    <row r="450" spans="5:29">
      <c r="E450" s="598"/>
      <c r="F450" s="699"/>
      <c r="G450" s="700"/>
      <c r="H450" s="598"/>
      <c r="I450" s="598"/>
      <c r="J450" s="598"/>
      <c r="K450" s="598"/>
      <c r="L450" s="598"/>
      <c r="Q450" s="288">
        <v>46062</v>
      </c>
      <c r="R450" s="276">
        <v>0.875</v>
      </c>
      <c r="S450" s="277" t="s">
        <v>199</v>
      </c>
      <c r="T450" s="277" t="s">
        <v>209</v>
      </c>
      <c r="U450" s="278">
        <v>3</v>
      </c>
      <c r="V450" s="361" t="str">
        <f t="shared" si="217"/>
        <v>tbsp</v>
      </c>
      <c r="W450" s="279">
        <f t="shared" si="218"/>
        <v>60</v>
      </c>
      <c r="X450" s="279">
        <f t="shared" si="219"/>
        <v>0</v>
      </c>
      <c r="Y450" s="279">
        <f t="shared" si="220"/>
        <v>0</v>
      </c>
      <c r="Z450" s="279">
        <f t="shared" si="221"/>
        <v>15</v>
      </c>
      <c r="AA450" s="279">
        <f t="shared" si="222"/>
        <v>13.5</v>
      </c>
      <c r="AB450" s="584">
        <f t="shared" si="223"/>
        <v>0</v>
      </c>
      <c r="AC450" s="277"/>
    </row>
    <row r="451" spans="5:29">
      <c r="E451" s="598"/>
      <c r="F451" s="699"/>
      <c r="G451" s="700"/>
      <c r="H451" s="598"/>
      <c r="I451" s="598"/>
      <c r="J451" s="598"/>
      <c r="K451" s="598"/>
      <c r="L451" s="598"/>
      <c r="Q451" s="288">
        <v>46062</v>
      </c>
      <c r="R451" s="276">
        <v>0.875</v>
      </c>
      <c r="S451" s="277" t="s">
        <v>199</v>
      </c>
      <c r="T451" s="277" t="s">
        <v>212</v>
      </c>
      <c r="U451" s="278">
        <v>1</v>
      </c>
      <c r="V451" s="361" t="str">
        <f t="shared" si="217"/>
        <v>bottle</v>
      </c>
      <c r="W451" s="279">
        <f t="shared" si="218"/>
        <v>70</v>
      </c>
      <c r="X451" s="279">
        <f t="shared" si="219"/>
        <v>0</v>
      </c>
      <c r="Y451" s="279">
        <f t="shared" si="220"/>
        <v>0</v>
      </c>
      <c r="Z451" s="279">
        <f t="shared" si="221"/>
        <v>17</v>
      </c>
      <c r="AA451" s="279">
        <f t="shared" si="222"/>
        <v>1</v>
      </c>
      <c r="AB451" s="584">
        <f t="shared" si="223"/>
        <v>0</v>
      </c>
      <c r="AC451" s="277"/>
    </row>
    <row r="452" spans="5:29">
      <c r="E452" s="598"/>
      <c r="F452" s="699"/>
      <c r="G452" s="700"/>
      <c r="H452" s="598"/>
      <c r="I452" s="598"/>
      <c r="J452" s="598"/>
      <c r="K452" s="598"/>
      <c r="L452" s="598"/>
      <c r="Q452" s="288">
        <v>46062</v>
      </c>
      <c r="R452" s="276">
        <v>0.875</v>
      </c>
      <c r="S452" s="277" t="s">
        <v>199</v>
      </c>
      <c r="T452" s="277" t="s">
        <v>374</v>
      </c>
      <c r="U452" s="278">
        <v>2</v>
      </c>
      <c r="V452" s="361" t="str">
        <f t="shared" si="217"/>
        <v>egg</v>
      </c>
      <c r="W452" s="279">
        <f t="shared" si="218"/>
        <v>160</v>
      </c>
      <c r="X452" s="279">
        <f t="shared" si="219"/>
        <v>14</v>
      </c>
      <c r="Y452" s="279">
        <f t="shared" si="220"/>
        <v>12</v>
      </c>
      <c r="Z452" s="279">
        <f t="shared" si="221"/>
        <v>0</v>
      </c>
      <c r="AA452" s="279">
        <f t="shared" si="222"/>
        <v>0</v>
      </c>
      <c r="AB452" s="684">
        <f t="shared" si="223"/>
        <v>80</v>
      </c>
      <c r="AC452" s="277"/>
    </row>
    <row r="453" spans="5:29">
      <c r="E453" s="598"/>
      <c r="F453" s="699"/>
      <c r="G453" s="700"/>
      <c r="H453" s="598"/>
      <c r="I453" s="598"/>
      <c r="J453" s="598"/>
      <c r="K453" s="598"/>
      <c r="L453" s="598"/>
      <c r="Q453" s="280"/>
      <c r="R453" s="281" t="s">
        <v>217</v>
      </c>
      <c r="S453" s="294"/>
      <c r="T453" s="282"/>
      <c r="U453" s="282"/>
      <c r="V453" s="364"/>
      <c r="W453" s="283">
        <f t="shared" ref="W453:AB453" si="224">SUM(W440:W452)</f>
        <v>2519.8414285714289</v>
      </c>
      <c r="X453" s="283">
        <f t="shared" si="224"/>
        <v>192.92714285714285</v>
      </c>
      <c r="Y453" s="283">
        <f t="shared" si="224"/>
        <v>105.04914285714287</v>
      </c>
      <c r="Z453" s="283">
        <f t="shared" si="224"/>
        <v>208.50285714285712</v>
      </c>
      <c r="AA453" s="683">
        <f t="shared" si="224"/>
        <v>27.118857142857141</v>
      </c>
      <c r="AB453" s="691">
        <f t="shared" si="224"/>
        <v>160</v>
      </c>
      <c r="AC453" s="281"/>
    </row>
    <row r="454" spans="5:29">
      <c r="E454" s="598"/>
      <c r="F454" s="699"/>
      <c r="G454" s="700"/>
      <c r="H454" s="598"/>
      <c r="I454" s="598"/>
      <c r="J454" s="598"/>
      <c r="K454" s="598"/>
      <c r="L454" s="598"/>
      <c r="Q454" s="280"/>
      <c r="R454" s="281" t="s">
        <v>220</v>
      </c>
      <c r="S454" s="294"/>
      <c r="T454" s="282"/>
      <c r="U454" s="282"/>
      <c r="V454" s="364"/>
      <c r="W454" s="284">
        <f>$B$27</f>
        <v>2834.5625</v>
      </c>
      <c r="X454" s="284">
        <f>$B$29</f>
        <v>154</v>
      </c>
      <c r="Y454" s="284">
        <f>$B$30</f>
        <v>63.91</v>
      </c>
      <c r="Z454" s="284">
        <f>$B$31</f>
        <v>410.84312499999999</v>
      </c>
      <c r="AA454" s="690">
        <f>$B$32</f>
        <v>39.683875</v>
      </c>
      <c r="AB454" s="695">
        <f>$B$39</f>
        <v>500</v>
      </c>
      <c r="AC454" s="281"/>
    </row>
    <row r="455" spans="5:29">
      <c r="E455" s="598"/>
      <c r="F455" s="699"/>
      <c r="G455" s="700"/>
      <c r="H455" s="598"/>
      <c r="I455" s="598"/>
      <c r="J455" s="598"/>
      <c r="K455" s="598"/>
      <c r="L455" s="598"/>
      <c r="Q455" s="280"/>
      <c r="R455" s="281" t="s">
        <v>222</v>
      </c>
      <c r="S455" s="294"/>
      <c r="T455" s="282"/>
      <c r="U455" s="282"/>
      <c r="V455" s="364"/>
      <c r="W455" s="284">
        <f t="shared" ref="W455:AB455" si="225">W453-W454</f>
        <v>-314.72107142857112</v>
      </c>
      <c r="X455" s="284">
        <f t="shared" si="225"/>
        <v>38.927142857142854</v>
      </c>
      <c r="Y455" s="284">
        <f t="shared" si="225"/>
        <v>41.139142857142872</v>
      </c>
      <c r="Z455" s="284">
        <f t="shared" si="225"/>
        <v>-202.34026785714286</v>
      </c>
      <c r="AA455" s="690">
        <f t="shared" si="225"/>
        <v>-12.565017857142859</v>
      </c>
      <c r="AB455" s="689">
        <f t="shared" si="225"/>
        <v>-340</v>
      </c>
      <c r="AC455" s="281"/>
    </row>
    <row r="456" spans="5:29">
      <c r="E456" s="598"/>
      <c r="F456" s="699"/>
      <c r="G456" s="700"/>
      <c r="H456" s="598"/>
      <c r="I456" s="598"/>
      <c r="J456" s="598"/>
      <c r="K456" s="598"/>
      <c r="L456" s="598"/>
      <c r="Q456" s="288">
        <v>46063</v>
      </c>
      <c r="R456" s="276">
        <v>0.33333333333333331</v>
      </c>
      <c r="S456" s="277" t="s">
        <v>178</v>
      </c>
      <c r="T456" s="277" t="s">
        <v>468</v>
      </c>
      <c r="U456" s="278">
        <v>0.5</v>
      </c>
      <c r="V456" s="361" t="str">
        <f t="shared" ref="V456:V471" si="226">IFERROR(VLOOKUP(T456, $E$5:$L$818, 3, FALSE), "")</f>
        <v>apple</v>
      </c>
      <c r="W456" s="279">
        <f t="shared" ref="W456:W471" si="227">IFERROR(VLOOKUP(T456, $E$5:$L$818, 4, FALSE) * (U456 / VLOOKUP(T456, $E$5:$L$818, 2, FALSE)), "")</f>
        <v>47.5</v>
      </c>
      <c r="X456" s="279">
        <f t="shared" ref="X456:X471" si="228">IFERROR(VLOOKUP(T456, $E$5:$L$818, 5, FALSE) * (U456 / VLOOKUP(T456, $E$5:$L$818, 2, FALSE)), "")</f>
        <v>0.25</v>
      </c>
      <c r="Y456" s="279">
        <f t="shared" ref="Y456:Y471" si="229">IFERROR(VLOOKUP(T456, $E$5:$L$818, 6, FALSE) * (U456 / VLOOKUP(T456, $E$5:$L$818, 2, FALSE)), "")</f>
        <v>0.15</v>
      </c>
      <c r="Z456" s="279">
        <f t="shared" ref="Z456:Z471" si="230">IFERROR(VLOOKUP(T456, $E$5:$L$818, 7, FALSE) * (U456 / VLOOKUP(T456, $E$5:$L$818, 2, FALSE)), "")</f>
        <v>12.5</v>
      </c>
      <c r="AA456" s="279">
        <f t="shared" ref="AA456:AA471" si="231">IFERROR(VLOOKUP(T456, $E$5:$L$818, 8, FALSE) * (U456 / VLOOKUP(T456, $E$5:$L$818, 2, FALSE)), "")</f>
        <v>2</v>
      </c>
      <c r="AB456" s="674">
        <f t="shared" ref="AB456:AB471" si="232">IFERROR(VLOOKUP(T456, $E$5:$O$818, 9, FALSE) * (U456 / VLOOKUP(T456, $E$5:$O$818, 2, FALSE)), "")</f>
        <v>0</v>
      </c>
      <c r="AC456" s="277"/>
    </row>
    <row r="457" spans="5:29">
      <c r="E457" s="598"/>
      <c r="F457" s="699"/>
      <c r="G457" s="700"/>
      <c r="H457" s="598"/>
      <c r="I457" s="598"/>
      <c r="J457" s="598"/>
      <c r="K457" s="598"/>
      <c r="L457" s="598"/>
      <c r="Q457" s="288">
        <v>46063</v>
      </c>
      <c r="R457" s="276">
        <v>0.33333333333333331</v>
      </c>
      <c r="S457" s="277" t="s">
        <v>178</v>
      </c>
      <c r="T457" s="277" t="s">
        <v>190</v>
      </c>
      <c r="U457" s="278">
        <f>3/4</f>
        <v>0.75</v>
      </c>
      <c r="V457" s="361" t="str">
        <f t="shared" si="226"/>
        <v>medium</v>
      </c>
      <c r="W457" s="279">
        <f t="shared" si="227"/>
        <v>46.5</v>
      </c>
      <c r="X457" s="279">
        <f t="shared" si="228"/>
        <v>0.89999999999999991</v>
      </c>
      <c r="Y457" s="279">
        <f t="shared" si="229"/>
        <v>0.15000000000000002</v>
      </c>
      <c r="Z457" s="279">
        <f t="shared" si="230"/>
        <v>11.55</v>
      </c>
      <c r="AA457" s="279">
        <f t="shared" si="231"/>
        <v>2.3250000000000002</v>
      </c>
      <c r="AB457" s="584">
        <f t="shared" si="232"/>
        <v>0</v>
      </c>
      <c r="AC457" s="277"/>
    </row>
    <row r="458" spans="5:29">
      <c r="E458" s="598"/>
      <c r="F458" s="699"/>
      <c r="G458" s="700"/>
      <c r="H458" s="598"/>
      <c r="I458" s="598"/>
      <c r="J458" s="598"/>
      <c r="K458" s="598"/>
      <c r="L458" s="598"/>
      <c r="Q458" s="288">
        <v>46063</v>
      </c>
      <c r="R458" s="276">
        <v>0.33333333333333331</v>
      </c>
      <c r="S458" s="277" t="s">
        <v>178</v>
      </c>
      <c r="T458" s="277" t="s">
        <v>463</v>
      </c>
      <c r="U458" s="278">
        <v>1</v>
      </c>
      <c r="V458" s="361" t="str">
        <f t="shared" si="226"/>
        <v>bottle</v>
      </c>
      <c r="W458" s="279">
        <f t="shared" si="227"/>
        <v>190</v>
      </c>
      <c r="X458" s="279">
        <f t="shared" si="228"/>
        <v>35</v>
      </c>
      <c r="Y458" s="279">
        <f t="shared" si="229"/>
        <v>2</v>
      </c>
      <c r="Z458" s="279">
        <f t="shared" si="230"/>
        <v>9</v>
      </c>
      <c r="AA458" s="279">
        <f t="shared" si="231"/>
        <v>0</v>
      </c>
      <c r="AB458" s="584">
        <f t="shared" si="232"/>
        <v>0</v>
      </c>
      <c r="AC458" s="277"/>
    </row>
    <row r="459" spans="5:29">
      <c r="E459" s="598"/>
      <c r="F459" s="699"/>
      <c r="G459" s="700"/>
      <c r="H459" s="598"/>
      <c r="I459" s="598"/>
      <c r="J459" s="598"/>
      <c r="K459" s="598"/>
      <c r="L459" s="598"/>
      <c r="Q459" s="288">
        <v>46063</v>
      </c>
      <c r="R459" s="276">
        <v>0.54166666666666663</v>
      </c>
      <c r="S459" s="277" t="s">
        <v>185</v>
      </c>
      <c r="T459" s="277" t="s">
        <v>465</v>
      </c>
      <c r="U459" s="278">
        <v>195</v>
      </c>
      <c r="V459" s="361" t="str">
        <f t="shared" si="226"/>
        <v>g</v>
      </c>
      <c r="W459" s="279">
        <f t="shared" si="227"/>
        <v>351</v>
      </c>
      <c r="X459" s="279">
        <f t="shared" si="228"/>
        <v>42.9</v>
      </c>
      <c r="Y459" s="279">
        <f t="shared" si="229"/>
        <v>17.55</v>
      </c>
      <c r="Z459" s="279">
        <f t="shared" si="230"/>
        <v>3.9</v>
      </c>
      <c r="AA459" s="279">
        <f t="shared" si="231"/>
        <v>0</v>
      </c>
      <c r="AB459" s="584">
        <f t="shared" si="232"/>
        <v>0</v>
      </c>
      <c r="AC459" s="277"/>
    </row>
    <row r="460" spans="5:29">
      <c r="E460" s="598"/>
      <c r="F460" s="699"/>
      <c r="G460" s="700"/>
      <c r="H460" s="598"/>
      <c r="I460" s="598"/>
      <c r="J460" s="598"/>
      <c r="K460" s="598"/>
      <c r="L460" s="598"/>
      <c r="Q460" s="288">
        <v>46063</v>
      </c>
      <c r="R460" s="276">
        <v>0.54166666666666663</v>
      </c>
      <c r="S460" s="277" t="s">
        <v>185</v>
      </c>
      <c r="T460" s="277" t="s">
        <v>816</v>
      </c>
      <c r="U460" s="278">
        <v>91</v>
      </c>
      <c r="V460" s="361" t="str">
        <f t="shared" si="226"/>
        <v>g</v>
      </c>
      <c r="W460" s="279">
        <f t="shared" si="227"/>
        <v>197.47</v>
      </c>
      <c r="X460" s="279">
        <f t="shared" si="228"/>
        <v>23.66</v>
      </c>
      <c r="Y460" s="279">
        <f t="shared" si="229"/>
        <v>10.92</v>
      </c>
      <c r="Z460" s="279">
        <f t="shared" si="230"/>
        <v>0</v>
      </c>
      <c r="AA460" s="279">
        <f t="shared" si="231"/>
        <v>0</v>
      </c>
      <c r="AB460" s="584">
        <f t="shared" si="232"/>
        <v>0</v>
      </c>
      <c r="AC460" s="277"/>
    </row>
    <row r="461" spans="5:29">
      <c r="E461" s="598"/>
      <c r="F461" s="699"/>
      <c r="G461" s="700"/>
      <c r="H461" s="598"/>
      <c r="I461" s="598"/>
      <c r="J461" s="598"/>
      <c r="K461" s="598"/>
      <c r="L461" s="598"/>
      <c r="Q461" s="288">
        <v>46063</v>
      </c>
      <c r="R461" s="276">
        <v>0.54166666666666663</v>
      </c>
      <c r="S461" s="277" t="s">
        <v>185</v>
      </c>
      <c r="T461" s="277" t="s">
        <v>484</v>
      </c>
      <c r="U461" s="278">
        <v>245</v>
      </c>
      <c r="V461" s="361" t="str">
        <f t="shared" si="226"/>
        <v>g</v>
      </c>
      <c r="W461" s="279">
        <f t="shared" si="227"/>
        <v>227.85000000000002</v>
      </c>
      <c r="X461" s="279">
        <f t="shared" si="228"/>
        <v>6.125</v>
      </c>
      <c r="Y461" s="279">
        <f t="shared" si="229"/>
        <v>0.49000000000000005</v>
      </c>
      <c r="Z461" s="279">
        <f t="shared" si="230"/>
        <v>51.45</v>
      </c>
      <c r="AA461" s="279">
        <f t="shared" si="231"/>
        <v>6.370000000000001</v>
      </c>
      <c r="AB461" s="584">
        <f t="shared" si="232"/>
        <v>0</v>
      </c>
      <c r="AC461" s="277"/>
    </row>
    <row r="462" spans="5:29">
      <c r="E462" s="598"/>
      <c r="F462" s="699"/>
      <c r="G462" s="700"/>
      <c r="H462" s="598"/>
      <c r="I462" s="598"/>
      <c r="J462" s="598"/>
      <c r="K462" s="598"/>
      <c r="L462" s="598"/>
      <c r="Q462" s="288">
        <v>46063</v>
      </c>
      <c r="R462" s="276">
        <v>0.54166666666666663</v>
      </c>
      <c r="S462" s="277" t="s">
        <v>185</v>
      </c>
      <c r="T462" s="277" t="s">
        <v>374</v>
      </c>
      <c r="U462" s="278">
        <v>1.5</v>
      </c>
      <c r="V462" s="361" t="str">
        <f t="shared" si="226"/>
        <v>egg</v>
      </c>
      <c r="W462" s="279">
        <f t="shared" si="227"/>
        <v>120</v>
      </c>
      <c r="X462" s="279">
        <f t="shared" si="228"/>
        <v>10.5</v>
      </c>
      <c r="Y462" s="279">
        <f t="shared" si="229"/>
        <v>9</v>
      </c>
      <c r="Z462" s="279">
        <f t="shared" si="230"/>
        <v>0</v>
      </c>
      <c r="AA462" s="279">
        <f t="shared" si="231"/>
        <v>0</v>
      </c>
      <c r="AB462" s="584">
        <f t="shared" si="232"/>
        <v>60</v>
      </c>
      <c r="AC462" s="277"/>
    </row>
    <row r="463" spans="5:29">
      <c r="E463" s="598"/>
      <c r="F463" s="699"/>
      <c r="G463" s="700"/>
      <c r="H463" s="598"/>
      <c r="I463" s="598"/>
      <c r="J463" s="598"/>
      <c r="K463" s="598"/>
      <c r="L463" s="598"/>
      <c r="Q463" s="288">
        <v>46063</v>
      </c>
      <c r="R463" s="276">
        <v>0.58333333333333337</v>
      </c>
      <c r="S463" s="277" t="s">
        <v>289</v>
      </c>
      <c r="T463" s="277" t="s">
        <v>190</v>
      </c>
      <c r="U463" s="278">
        <v>1</v>
      </c>
      <c r="V463" s="361" t="str">
        <f t="shared" si="226"/>
        <v>medium</v>
      </c>
      <c r="W463" s="279">
        <f t="shared" si="227"/>
        <v>62</v>
      </c>
      <c r="X463" s="279">
        <f t="shared" si="228"/>
        <v>1.2</v>
      </c>
      <c r="Y463" s="279">
        <f t="shared" si="229"/>
        <v>0.2</v>
      </c>
      <c r="Z463" s="279">
        <f t="shared" si="230"/>
        <v>15.4</v>
      </c>
      <c r="AA463" s="279">
        <f t="shared" si="231"/>
        <v>3.1</v>
      </c>
      <c r="AB463" s="584">
        <f t="shared" si="232"/>
        <v>0</v>
      </c>
      <c r="AC463" s="277"/>
    </row>
    <row r="464" spans="5:29">
      <c r="E464" s="598"/>
      <c r="F464" s="699"/>
      <c r="G464" s="700"/>
      <c r="H464" s="598"/>
      <c r="I464" s="598"/>
      <c r="J464" s="598"/>
      <c r="K464" s="598"/>
      <c r="L464" s="598"/>
      <c r="Q464" s="288">
        <v>46063</v>
      </c>
      <c r="R464" s="276">
        <v>0.79166666666666663</v>
      </c>
      <c r="S464" s="277" t="s">
        <v>199</v>
      </c>
      <c r="T464" s="277" t="s">
        <v>181</v>
      </c>
      <c r="U464" s="278">
        <v>2</v>
      </c>
      <c r="V464" s="361" t="str">
        <f t="shared" si="226"/>
        <v>slice</v>
      </c>
      <c r="W464" s="279">
        <f t="shared" si="227"/>
        <v>140</v>
      </c>
      <c r="X464" s="279">
        <f t="shared" si="228"/>
        <v>5</v>
      </c>
      <c r="Y464" s="279">
        <f t="shared" si="229"/>
        <v>2.5</v>
      </c>
      <c r="Z464" s="279">
        <f t="shared" si="230"/>
        <v>24</v>
      </c>
      <c r="AA464" s="279">
        <f t="shared" si="231"/>
        <v>2</v>
      </c>
      <c r="AB464" s="584">
        <f t="shared" si="232"/>
        <v>0</v>
      </c>
      <c r="AC464" s="277"/>
    </row>
    <row r="465" spans="5:29">
      <c r="E465" s="598"/>
      <c r="F465" s="699"/>
      <c r="G465" s="700"/>
      <c r="H465" s="598"/>
      <c r="I465" s="598"/>
      <c r="J465" s="598"/>
      <c r="K465" s="598"/>
      <c r="L465" s="598"/>
      <c r="Q465" s="288">
        <v>46063</v>
      </c>
      <c r="R465" s="276">
        <v>0.79166666666666663</v>
      </c>
      <c r="S465" s="277" t="s">
        <v>289</v>
      </c>
      <c r="T465" s="277" t="s">
        <v>476</v>
      </c>
      <c r="U465" s="278">
        <v>0.25</v>
      </c>
      <c r="V465" s="361" t="str">
        <f t="shared" si="226"/>
        <v>bar</v>
      </c>
      <c r="W465" s="279">
        <f t="shared" si="227"/>
        <v>55</v>
      </c>
      <c r="X465" s="279">
        <f t="shared" si="228"/>
        <v>0.5</v>
      </c>
      <c r="Y465" s="279">
        <f t="shared" si="229"/>
        <v>3</v>
      </c>
      <c r="Z465" s="279">
        <f t="shared" si="230"/>
        <v>6.25</v>
      </c>
      <c r="AA465" s="279">
        <f t="shared" si="231"/>
        <v>0</v>
      </c>
      <c r="AB465" s="584">
        <f t="shared" si="232"/>
        <v>0</v>
      </c>
      <c r="AC465" s="277"/>
    </row>
    <row r="466" spans="5:29">
      <c r="E466" s="598"/>
      <c r="F466" s="699"/>
      <c r="G466" s="700"/>
      <c r="H466" s="598"/>
      <c r="I466" s="598"/>
      <c r="J466" s="598"/>
      <c r="K466" s="598"/>
      <c r="L466" s="598"/>
      <c r="Q466" s="288">
        <v>46063</v>
      </c>
      <c r="R466" s="276">
        <v>0.79166666666666663</v>
      </c>
      <c r="S466" s="277" t="s">
        <v>199</v>
      </c>
      <c r="T466" s="277" t="s">
        <v>219</v>
      </c>
      <c r="U466" s="278">
        <v>1</v>
      </c>
      <c r="V466" s="361" t="str">
        <f t="shared" si="226"/>
        <v>bottle</v>
      </c>
      <c r="W466" s="279">
        <f t="shared" si="227"/>
        <v>0</v>
      </c>
      <c r="X466" s="279">
        <f t="shared" si="228"/>
        <v>0</v>
      </c>
      <c r="Y466" s="279">
        <f t="shared" si="229"/>
        <v>0</v>
      </c>
      <c r="Z466" s="279">
        <f t="shared" si="230"/>
        <v>0</v>
      </c>
      <c r="AA466" s="279">
        <f t="shared" si="231"/>
        <v>0</v>
      </c>
      <c r="AB466" s="584">
        <f t="shared" si="232"/>
        <v>0</v>
      </c>
      <c r="AC466" s="277"/>
    </row>
    <row r="467" spans="5:29">
      <c r="E467" s="598"/>
      <c r="F467" s="699"/>
      <c r="G467" s="700"/>
      <c r="H467" s="598"/>
      <c r="I467" s="598"/>
      <c r="J467" s="598"/>
      <c r="K467" s="598"/>
      <c r="L467" s="598"/>
      <c r="Q467" s="288">
        <v>46063</v>
      </c>
      <c r="R467" s="276">
        <v>0.79166666666666663</v>
      </c>
      <c r="S467" s="277" t="s">
        <v>199</v>
      </c>
      <c r="T467" s="277" t="s">
        <v>176</v>
      </c>
      <c r="U467" s="278">
        <v>282</v>
      </c>
      <c r="V467" s="361" t="str">
        <f t="shared" si="226"/>
        <v>g</v>
      </c>
      <c r="W467" s="279">
        <f t="shared" si="227"/>
        <v>465.29999999999995</v>
      </c>
      <c r="X467" s="279">
        <f t="shared" si="228"/>
        <v>70.5</v>
      </c>
      <c r="Y467" s="279">
        <f t="shared" si="229"/>
        <v>10.151999999999999</v>
      </c>
      <c r="Z467" s="279">
        <f t="shared" si="230"/>
        <v>0</v>
      </c>
      <c r="AA467" s="279">
        <f t="shared" si="231"/>
        <v>0</v>
      </c>
      <c r="AB467" s="584">
        <f t="shared" si="232"/>
        <v>0</v>
      </c>
      <c r="AC467" s="277"/>
    </row>
    <row r="468" spans="5:29">
      <c r="E468" s="598"/>
      <c r="F468" s="699"/>
      <c r="G468" s="700"/>
      <c r="H468" s="598"/>
      <c r="I468" s="598"/>
      <c r="J468" s="598"/>
      <c r="K468" s="598"/>
      <c r="L468" s="598"/>
      <c r="Q468" s="288">
        <v>46063</v>
      </c>
      <c r="R468" s="276">
        <v>0.79166666666666663</v>
      </c>
      <c r="S468" s="277" t="s">
        <v>199</v>
      </c>
      <c r="T468" s="277" t="s">
        <v>181</v>
      </c>
      <c r="U468" s="278">
        <v>6</v>
      </c>
      <c r="V468" s="361" t="str">
        <f t="shared" si="226"/>
        <v>slice</v>
      </c>
      <c r="W468" s="279">
        <f t="shared" si="227"/>
        <v>420</v>
      </c>
      <c r="X468" s="279">
        <f t="shared" si="228"/>
        <v>15</v>
      </c>
      <c r="Y468" s="279">
        <f t="shared" si="229"/>
        <v>7.5</v>
      </c>
      <c r="Z468" s="279">
        <f t="shared" si="230"/>
        <v>72</v>
      </c>
      <c r="AA468" s="279">
        <f t="shared" si="231"/>
        <v>6</v>
      </c>
      <c r="AB468" s="584">
        <f t="shared" si="232"/>
        <v>0</v>
      </c>
      <c r="AC468" s="277"/>
    </row>
    <row r="469" spans="5:29">
      <c r="E469" s="598"/>
      <c r="F469" s="699"/>
      <c r="G469" s="700"/>
      <c r="H469" s="598"/>
      <c r="I469" s="598"/>
      <c r="J469" s="598"/>
      <c r="K469" s="598"/>
      <c r="L469" s="598"/>
      <c r="Q469" s="288">
        <v>46063</v>
      </c>
      <c r="R469" s="276">
        <v>0.875</v>
      </c>
      <c r="S469" s="277" t="s">
        <v>199</v>
      </c>
      <c r="T469" s="277" t="s">
        <v>323</v>
      </c>
      <c r="U469" s="278">
        <v>1</v>
      </c>
      <c r="V469" s="361" t="str">
        <f t="shared" si="226"/>
        <v>double bars</v>
      </c>
      <c r="W469" s="279">
        <f t="shared" si="227"/>
        <v>180</v>
      </c>
      <c r="X469" s="279">
        <f t="shared" si="228"/>
        <v>2</v>
      </c>
      <c r="Y469" s="279">
        <f t="shared" si="229"/>
        <v>9</v>
      </c>
      <c r="Z469" s="279">
        <f t="shared" si="230"/>
        <v>24</v>
      </c>
      <c r="AA469" s="279">
        <f t="shared" si="231"/>
        <v>0</v>
      </c>
      <c r="AB469" s="584">
        <f t="shared" si="232"/>
        <v>0</v>
      </c>
      <c r="AC469" s="277"/>
    </row>
    <row r="470" spans="5:29">
      <c r="E470" s="598"/>
      <c r="F470" s="699"/>
      <c r="G470" s="700"/>
      <c r="H470" s="598"/>
      <c r="I470" s="598"/>
      <c r="J470" s="598"/>
      <c r="K470" s="598"/>
      <c r="L470" s="598"/>
      <c r="Q470" s="288">
        <v>46063</v>
      </c>
      <c r="R470" s="276">
        <v>0.875</v>
      </c>
      <c r="S470" s="277" t="s">
        <v>199</v>
      </c>
      <c r="T470" s="277" t="s">
        <v>209</v>
      </c>
      <c r="U470" s="278">
        <v>3</v>
      </c>
      <c r="V470" s="361" t="str">
        <f t="shared" si="226"/>
        <v>tbsp</v>
      </c>
      <c r="W470" s="279">
        <f t="shared" si="227"/>
        <v>60</v>
      </c>
      <c r="X470" s="279">
        <f t="shared" si="228"/>
        <v>0</v>
      </c>
      <c r="Y470" s="279">
        <f t="shared" si="229"/>
        <v>0</v>
      </c>
      <c r="Z470" s="279">
        <f t="shared" si="230"/>
        <v>15</v>
      </c>
      <c r="AA470" s="279">
        <f t="shared" si="231"/>
        <v>13.5</v>
      </c>
      <c r="AB470" s="584">
        <f t="shared" si="232"/>
        <v>0</v>
      </c>
      <c r="AC470" s="277"/>
    </row>
    <row r="471" spans="5:29">
      <c r="E471" s="598"/>
      <c r="F471" s="699"/>
      <c r="G471" s="700"/>
      <c r="H471" s="598"/>
      <c r="I471" s="598"/>
      <c r="J471" s="598"/>
      <c r="K471" s="598"/>
      <c r="L471" s="598"/>
      <c r="Q471" s="288">
        <v>46063</v>
      </c>
      <c r="R471" s="276">
        <v>0.875</v>
      </c>
      <c r="S471" s="277" t="s">
        <v>199</v>
      </c>
      <c r="T471" s="277" t="s">
        <v>212</v>
      </c>
      <c r="U471" s="278">
        <v>1</v>
      </c>
      <c r="V471" s="361" t="str">
        <f t="shared" si="226"/>
        <v>bottle</v>
      </c>
      <c r="W471" s="279">
        <f t="shared" si="227"/>
        <v>70</v>
      </c>
      <c r="X471" s="279">
        <f t="shared" si="228"/>
        <v>0</v>
      </c>
      <c r="Y471" s="279">
        <f t="shared" si="229"/>
        <v>0</v>
      </c>
      <c r="Z471" s="279">
        <f t="shared" si="230"/>
        <v>17</v>
      </c>
      <c r="AA471" s="279">
        <f t="shared" si="231"/>
        <v>1</v>
      </c>
      <c r="AB471" s="684">
        <f t="shared" si="232"/>
        <v>0</v>
      </c>
      <c r="AC471" s="277"/>
    </row>
    <row r="472" spans="5:29">
      <c r="E472" s="598"/>
      <c r="F472" s="699"/>
      <c r="G472" s="700"/>
      <c r="H472" s="598"/>
      <c r="I472" s="598"/>
      <c r="J472" s="598"/>
      <c r="K472" s="598"/>
      <c r="L472" s="598"/>
      <c r="Q472" s="280"/>
      <c r="R472" s="281" t="s">
        <v>217</v>
      </c>
      <c r="S472" s="294"/>
      <c r="T472" s="282"/>
      <c r="U472" s="282"/>
      <c r="V472" s="364"/>
      <c r="W472" s="283">
        <f t="shared" ref="W472:AB472" si="233">SUM(W456:W471)</f>
        <v>2632.62</v>
      </c>
      <c r="X472" s="283">
        <f t="shared" si="233"/>
        <v>213.535</v>
      </c>
      <c r="Y472" s="283">
        <f t="shared" si="233"/>
        <v>72.612000000000009</v>
      </c>
      <c r="Z472" s="283">
        <f t="shared" si="233"/>
        <v>262.05</v>
      </c>
      <c r="AA472" s="683">
        <f t="shared" si="233"/>
        <v>36.295000000000002</v>
      </c>
      <c r="AB472" s="691">
        <f t="shared" si="233"/>
        <v>60</v>
      </c>
      <c r="AC472" s="281"/>
    </row>
    <row r="473" spans="5:29">
      <c r="E473" s="598"/>
      <c r="F473" s="699"/>
      <c r="G473" s="700"/>
      <c r="H473" s="598"/>
      <c r="I473" s="598"/>
      <c r="J473" s="598"/>
      <c r="K473" s="598"/>
      <c r="L473" s="598"/>
      <c r="Q473" s="280"/>
      <c r="R473" s="281" t="s">
        <v>220</v>
      </c>
      <c r="S473" s="294"/>
      <c r="T473" s="282"/>
      <c r="U473" s="282"/>
      <c r="V473" s="364"/>
      <c r="W473" s="284">
        <f>$B$27</f>
        <v>2834.5625</v>
      </c>
      <c r="X473" s="284">
        <f>$B$29</f>
        <v>154</v>
      </c>
      <c r="Y473" s="284">
        <f>$B$30</f>
        <v>63.91</v>
      </c>
      <c r="Z473" s="284">
        <f>$B$31</f>
        <v>410.84312499999999</v>
      </c>
      <c r="AA473" s="690">
        <f>$B$32</f>
        <v>39.683875</v>
      </c>
      <c r="AB473" s="695">
        <f>$B$39</f>
        <v>500</v>
      </c>
      <c r="AC473" s="281"/>
    </row>
    <row r="474" spans="5:29">
      <c r="E474" s="598"/>
      <c r="F474" s="699"/>
      <c r="G474" s="700"/>
      <c r="H474" s="598"/>
      <c r="I474" s="598"/>
      <c r="J474" s="598"/>
      <c r="K474" s="598"/>
      <c r="L474" s="598"/>
      <c r="Q474" s="280"/>
      <c r="R474" s="281" t="s">
        <v>222</v>
      </c>
      <c r="S474" s="294"/>
      <c r="T474" s="282"/>
      <c r="U474" s="282"/>
      <c r="V474" s="364"/>
      <c r="W474" s="284">
        <f t="shared" ref="W474:AB474" si="234">W472-W473</f>
        <v>-201.94250000000011</v>
      </c>
      <c r="X474" s="284">
        <f t="shared" si="234"/>
        <v>59.534999999999997</v>
      </c>
      <c r="Y474" s="284">
        <f t="shared" si="234"/>
        <v>8.7020000000000124</v>
      </c>
      <c r="Z474" s="284">
        <f t="shared" si="234"/>
        <v>-148.79312499999997</v>
      </c>
      <c r="AA474" s="690">
        <f t="shared" si="234"/>
        <v>-3.3888749999999987</v>
      </c>
      <c r="AB474" s="689">
        <f t="shared" si="234"/>
        <v>-440</v>
      </c>
      <c r="AC474" s="281"/>
    </row>
    <row r="475" spans="5:29">
      <c r="E475" s="598"/>
      <c r="F475" s="699"/>
      <c r="G475" s="700"/>
      <c r="H475" s="598"/>
      <c r="I475" s="598"/>
      <c r="J475" s="598"/>
      <c r="K475" s="598"/>
      <c r="L475" s="598"/>
      <c r="Q475" s="288">
        <v>46064</v>
      </c>
      <c r="R475" s="276">
        <v>0.33333333333333331</v>
      </c>
      <c r="S475" s="277" t="s">
        <v>178</v>
      </c>
      <c r="T475" s="277" t="s">
        <v>818</v>
      </c>
      <c r="U475" s="278">
        <v>1</v>
      </c>
      <c r="V475" s="361" t="str">
        <f t="shared" ref="V475:V485" si="235">IFERROR(VLOOKUP(T475, $E$5:$L$818, 3, FALSE), "")</f>
        <v>box</v>
      </c>
      <c r="W475" s="279">
        <f t="shared" ref="W475:W485" si="236">IFERROR(VLOOKUP(T475, $E$5:$L$818, 4, FALSE) * (U475 / VLOOKUP(T475, $E$5:$L$818, 2, FALSE)), "")</f>
        <v>430</v>
      </c>
      <c r="X475" s="279">
        <f t="shared" ref="X475:X485" si="237">IFERROR(VLOOKUP(T475, $E$5:$L$818, 5, FALSE) * (U475 / VLOOKUP(T475, $E$5:$L$818, 2, FALSE)), "")</f>
        <v>42</v>
      </c>
      <c r="Y475" s="279">
        <f t="shared" ref="Y475:Y485" si="238">IFERROR(VLOOKUP(T475, $E$5:$L$818, 6, FALSE) * (U475 / VLOOKUP(T475, $E$5:$L$818, 2, FALSE)), "")</f>
        <v>5</v>
      </c>
      <c r="Z475" s="279">
        <f t="shared" ref="Z475:Z485" si="239">IFERROR(VLOOKUP(T475, $E$5:$L$818, 7, FALSE) * (U475 / VLOOKUP(T475, $E$5:$L$818, 2, FALSE)), "")</f>
        <v>55</v>
      </c>
      <c r="AA475" s="279">
        <f t="shared" ref="AA475:AA485" si="240">IFERROR(VLOOKUP(T475, $E$5:$L$818, 8, FALSE) * (U475 / VLOOKUP(T475, $E$5:$L$818, 2, FALSE)), "")</f>
        <v>6</v>
      </c>
      <c r="AB475" s="674">
        <f t="shared" ref="AB475:AB485" si="241">IFERROR(VLOOKUP(T475, $E$5:$O$818, 9, FALSE) * (U475 / VLOOKUP(T475, $E$5:$O$818, 2, FALSE)), "")</f>
        <v>0</v>
      </c>
      <c r="AC475" s="277"/>
    </row>
    <row r="476" spans="5:29">
      <c r="E476" s="598"/>
      <c r="F476" s="699"/>
      <c r="G476" s="700"/>
      <c r="H476" s="598"/>
      <c r="I476" s="598"/>
      <c r="J476" s="598"/>
      <c r="K476" s="598"/>
      <c r="L476" s="598"/>
      <c r="Q476" s="288">
        <v>46064</v>
      </c>
      <c r="R476" s="276">
        <v>0.375</v>
      </c>
      <c r="S476" s="277" t="s">
        <v>289</v>
      </c>
      <c r="T476" s="277" t="s">
        <v>485</v>
      </c>
      <c r="U476" s="278">
        <v>100</v>
      </c>
      <c r="V476" s="361" t="str">
        <f t="shared" si="235"/>
        <v>g</v>
      </c>
      <c r="W476" s="279">
        <f t="shared" si="236"/>
        <v>180</v>
      </c>
      <c r="X476" s="279">
        <f t="shared" si="237"/>
        <v>3</v>
      </c>
      <c r="Y476" s="279">
        <f t="shared" si="238"/>
        <v>5</v>
      </c>
      <c r="Z476" s="279">
        <f t="shared" si="239"/>
        <v>32</v>
      </c>
      <c r="AA476" s="279">
        <f t="shared" si="240"/>
        <v>1</v>
      </c>
      <c r="AB476" s="584">
        <f t="shared" si="241"/>
        <v>0</v>
      </c>
      <c r="AC476" s="277"/>
    </row>
    <row r="477" spans="5:29">
      <c r="E477" s="598"/>
      <c r="F477" s="699"/>
      <c r="G477" s="700"/>
      <c r="H477" s="598"/>
      <c r="I477" s="598"/>
      <c r="J477" s="598"/>
      <c r="K477" s="598"/>
      <c r="L477" s="598"/>
      <c r="Q477" s="288">
        <v>46064</v>
      </c>
      <c r="R477" s="276">
        <v>0.41666666666666702</v>
      </c>
      <c r="S477" s="277" t="s">
        <v>289</v>
      </c>
      <c r="T477" s="277" t="s">
        <v>190</v>
      </c>
      <c r="U477" s="278">
        <v>2</v>
      </c>
      <c r="V477" s="361" t="str">
        <f t="shared" si="235"/>
        <v>medium</v>
      </c>
      <c r="W477" s="279">
        <f t="shared" si="236"/>
        <v>124</v>
      </c>
      <c r="X477" s="279">
        <f t="shared" si="237"/>
        <v>2.4</v>
      </c>
      <c r="Y477" s="279">
        <f t="shared" si="238"/>
        <v>0.4</v>
      </c>
      <c r="Z477" s="279">
        <f t="shared" si="239"/>
        <v>30.8</v>
      </c>
      <c r="AA477" s="279">
        <f t="shared" si="240"/>
        <v>6.2</v>
      </c>
      <c r="AB477" s="584">
        <f t="shared" si="241"/>
        <v>0</v>
      </c>
      <c r="AC477" s="277"/>
    </row>
    <row r="478" spans="5:29">
      <c r="E478" s="598"/>
      <c r="F478" s="699"/>
      <c r="G478" s="700"/>
      <c r="H478" s="598"/>
      <c r="I478" s="598"/>
      <c r="J478" s="598"/>
      <c r="K478" s="598"/>
      <c r="L478" s="598"/>
      <c r="Q478" s="288">
        <v>46064</v>
      </c>
      <c r="R478" s="276">
        <v>0.54166666666666663</v>
      </c>
      <c r="S478" s="277" t="s">
        <v>185</v>
      </c>
      <c r="T478" s="277" t="s">
        <v>486</v>
      </c>
      <c r="U478" s="278">
        <v>1</v>
      </c>
      <c r="V478" s="361" t="str">
        <f t="shared" si="235"/>
        <v>bowl</v>
      </c>
      <c r="W478" s="279">
        <f t="shared" si="236"/>
        <v>1050</v>
      </c>
      <c r="X478" s="279">
        <f t="shared" si="237"/>
        <v>45</v>
      </c>
      <c r="Y478" s="279">
        <f t="shared" si="238"/>
        <v>48</v>
      </c>
      <c r="Z478" s="279">
        <f t="shared" si="239"/>
        <v>115</v>
      </c>
      <c r="AA478" s="279">
        <f t="shared" si="240"/>
        <v>6</v>
      </c>
      <c r="AB478" s="584">
        <f t="shared" si="241"/>
        <v>30</v>
      </c>
      <c r="AC478" s="277"/>
    </row>
    <row r="479" spans="5:29">
      <c r="E479" s="598"/>
      <c r="F479" s="699"/>
      <c r="G479" s="700"/>
      <c r="H479" s="598"/>
      <c r="I479" s="598"/>
      <c r="J479" s="598"/>
      <c r="K479" s="598"/>
      <c r="L479" s="598"/>
      <c r="Q479" s="288">
        <v>46064</v>
      </c>
      <c r="R479" s="276">
        <v>0.54166666666666663</v>
      </c>
      <c r="S479" s="277" t="s">
        <v>289</v>
      </c>
      <c r="T479" s="277" t="s">
        <v>190</v>
      </c>
      <c r="U479" s="278">
        <v>3</v>
      </c>
      <c r="V479" s="361" t="str">
        <f t="shared" si="235"/>
        <v>medium</v>
      </c>
      <c r="W479" s="279">
        <f t="shared" si="236"/>
        <v>186</v>
      </c>
      <c r="X479" s="279">
        <f t="shared" si="237"/>
        <v>3.5999999999999996</v>
      </c>
      <c r="Y479" s="279">
        <f t="shared" si="238"/>
        <v>0.60000000000000009</v>
      </c>
      <c r="Z479" s="279">
        <f t="shared" si="239"/>
        <v>46.2</v>
      </c>
      <c r="AA479" s="279">
        <f t="shared" si="240"/>
        <v>9.3000000000000007</v>
      </c>
      <c r="AB479" s="584">
        <f t="shared" si="241"/>
        <v>0</v>
      </c>
      <c r="AC479" s="277"/>
    </row>
    <row r="480" spans="5:29">
      <c r="E480" s="598"/>
      <c r="F480" s="699"/>
      <c r="G480" s="700"/>
      <c r="H480" s="598"/>
      <c r="I480" s="598"/>
      <c r="J480" s="598"/>
      <c r="K480" s="598"/>
      <c r="L480" s="598"/>
      <c r="Q480" s="288">
        <v>46064</v>
      </c>
      <c r="R480" s="276">
        <v>0.875</v>
      </c>
      <c r="S480" s="277" t="s">
        <v>199</v>
      </c>
      <c r="T480" s="277" t="s">
        <v>176</v>
      </c>
      <c r="U480" s="278">
        <v>210</v>
      </c>
      <c r="V480" s="361" t="str">
        <f t="shared" si="235"/>
        <v>g</v>
      </c>
      <c r="W480" s="279">
        <f t="shared" si="236"/>
        <v>346.5</v>
      </c>
      <c r="X480" s="279">
        <f t="shared" si="237"/>
        <v>52.5</v>
      </c>
      <c r="Y480" s="279">
        <f t="shared" si="238"/>
        <v>7.5600000000000005</v>
      </c>
      <c r="Z480" s="279">
        <f t="shared" si="239"/>
        <v>0</v>
      </c>
      <c r="AA480" s="279">
        <f t="shared" si="240"/>
        <v>0</v>
      </c>
      <c r="AB480" s="584">
        <f t="shared" si="241"/>
        <v>0</v>
      </c>
      <c r="AC480" s="277"/>
    </row>
    <row r="481" spans="5:29">
      <c r="E481" s="598"/>
      <c r="F481" s="699"/>
      <c r="G481" s="700"/>
      <c r="H481" s="598"/>
      <c r="I481" s="598"/>
      <c r="J481" s="598"/>
      <c r="K481" s="598"/>
      <c r="L481" s="598"/>
      <c r="Q481" s="288">
        <v>46064</v>
      </c>
      <c r="R481" s="276">
        <v>0.875</v>
      </c>
      <c r="S481" s="277" t="s">
        <v>199</v>
      </c>
      <c r="T481" s="277" t="s">
        <v>816</v>
      </c>
      <c r="U481" s="278">
        <v>55</v>
      </c>
      <c r="V481" s="361" t="str">
        <f t="shared" si="235"/>
        <v>g</v>
      </c>
      <c r="W481" s="279">
        <f t="shared" si="236"/>
        <v>119.35000000000001</v>
      </c>
      <c r="X481" s="279">
        <f t="shared" si="237"/>
        <v>14.3</v>
      </c>
      <c r="Y481" s="279">
        <f t="shared" si="238"/>
        <v>6.6000000000000005</v>
      </c>
      <c r="Z481" s="279">
        <f t="shared" si="239"/>
        <v>0</v>
      </c>
      <c r="AA481" s="279">
        <f t="shared" si="240"/>
        <v>0</v>
      </c>
      <c r="AB481" s="584">
        <f t="shared" si="241"/>
        <v>0</v>
      </c>
      <c r="AC481" s="277"/>
    </row>
    <row r="482" spans="5:29">
      <c r="E482" s="598"/>
      <c r="F482" s="699"/>
      <c r="G482" s="700"/>
      <c r="H482" s="598"/>
      <c r="I482" s="598"/>
      <c r="J482" s="598"/>
      <c r="K482" s="598"/>
      <c r="L482" s="598"/>
      <c r="Q482" s="288">
        <v>46064</v>
      </c>
      <c r="R482" s="276">
        <v>0.875</v>
      </c>
      <c r="S482" s="277" t="s">
        <v>199</v>
      </c>
      <c r="T482" s="277" t="s">
        <v>181</v>
      </c>
      <c r="U482" s="278">
        <v>4</v>
      </c>
      <c r="V482" s="361" t="str">
        <f t="shared" si="235"/>
        <v>slice</v>
      </c>
      <c r="W482" s="279">
        <f t="shared" si="236"/>
        <v>280</v>
      </c>
      <c r="X482" s="279">
        <f t="shared" si="237"/>
        <v>10</v>
      </c>
      <c r="Y482" s="279">
        <f t="shared" si="238"/>
        <v>5</v>
      </c>
      <c r="Z482" s="279">
        <f t="shared" si="239"/>
        <v>48</v>
      </c>
      <c r="AA482" s="279">
        <f t="shared" si="240"/>
        <v>4</v>
      </c>
      <c r="AB482" s="584">
        <f t="shared" si="241"/>
        <v>0</v>
      </c>
      <c r="AC482" s="277"/>
    </row>
    <row r="483" spans="5:29">
      <c r="E483" s="598"/>
      <c r="F483" s="699"/>
      <c r="G483" s="700"/>
      <c r="H483" s="598"/>
      <c r="I483" s="598"/>
      <c r="J483" s="598"/>
      <c r="K483" s="598"/>
      <c r="L483" s="598"/>
      <c r="Q483" s="288">
        <v>46064</v>
      </c>
      <c r="R483" s="276">
        <v>0.875</v>
      </c>
      <c r="S483" s="277" t="s">
        <v>289</v>
      </c>
      <c r="T483" s="277" t="s">
        <v>323</v>
      </c>
      <c r="U483" s="278">
        <v>1</v>
      </c>
      <c r="V483" s="361" t="str">
        <f t="shared" si="235"/>
        <v>double bars</v>
      </c>
      <c r="W483" s="279">
        <f t="shared" si="236"/>
        <v>180</v>
      </c>
      <c r="X483" s="279">
        <f t="shared" si="237"/>
        <v>2</v>
      </c>
      <c r="Y483" s="279">
        <f t="shared" si="238"/>
        <v>9</v>
      </c>
      <c r="Z483" s="279">
        <f t="shared" si="239"/>
        <v>24</v>
      </c>
      <c r="AA483" s="279">
        <f t="shared" si="240"/>
        <v>0</v>
      </c>
      <c r="AB483" s="584">
        <f t="shared" si="241"/>
        <v>0</v>
      </c>
      <c r="AC483" s="277"/>
    </row>
    <row r="484" spans="5:29">
      <c r="E484" s="598"/>
      <c r="F484" s="699"/>
      <c r="G484" s="700"/>
      <c r="H484" s="598"/>
      <c r="I484" s="598"/>
      <c r="J484" s="598"/>
      <c r="K484" s="598"/>
      <c r="L484" s="598"/>
      <c r="Q484" s="288">
        <v>46064</v>
      </c>
      <c r="R484" s="276">
        <v>0.875</v>
      </c>
      <c r="S484" s="277" t="s">
        <v>199</v>
      </c>
      <c r="T484" s="277" t="s">
        <v>209</v>
      </c>
      <c r="U484" s="278">
        <v>2</v>
      </c>
      <c r="V484" s="361" t="str">
        <f t="shared" si="235"/>
        <v>tbsp</v>
      </c>
      <c r="W484" s="279">
        <f t="shared" si="236"/>
        <v>40</v>
      </c>
      <c r="X484" s="279">
        <f t="shared" si="237"/>
        <v>0</v>
      </c>
      <c r="Y484" s="279">
        <f t="shared" si="238"/>
        <v>0</v>
      </c>
      <c r="Z484" s="279">
        <f t="shared" si="239"/>
        <v>10</v>
      </c>
      <c r="AA484" s="279">
        <f t="shared" si="240"/>
        <v>9</v>
      </c>
      <c r="AB484" s="584">
        <f t="shared" si="241"/>
        <v>0</v>
      </c>
      <c r="AC484" s="277"/>
    </row>
    <row r="485" spans="5:29">
      <c r="E485" s="598"/>
      <c r="F485" s="699"/>
      <c r="G485" s="700"/>
      <c r="H485" s="598"/>
      <c r="I485" s="598"/>
      <c r="J485" s="598"/>
      <c r="K485" s="598"/>
      <c r="L485" s="598"/>
      <c r="Q485" s="288">
        <v>46064</v>
      </c>
      <c r="R485" s="276">
        <v>0.875</v>
      </c>
      <c r="S485" s="277" t="s">
        <v>199</v>
      </c>
      <c r="T485" s="277" t="s">
        <v>212</v>
      </c>
      <c r="U485" s="278">
        <v>1</v>
      </c>
      <c r="V485" s="361" t="str">
        <f t="shared" si="235"/>
        <v>bottle</v>
      </c>
      <c r="W485" s="279">
        <f t="shared" si="236"/>
        <v>70</v>
      </c>
      <c r="X485" s="279">
        <f t="shared" si="237"/>
        <v>0</v>
      </c>
      <c r="Y485" s="279">
        <f t="shared" si="238"/>
        <v>0</v>
      </c>
      <c r="Z485" s="279">
        <f t="shared" si="239"/>
        <v>17</v>
      </c>
      <c r="AA485" s="279">
        <f t="shared" si="240"/>
        <v>1</v>
      </c>
      <c r="AB485" s="684">
        <f t="shared" si="241"/>
        <v>0</v>
      </c>
      <c r="AC485" s="277"/>
    </row>
    <row r="486" spans="5:29">
      <c r="E486" s="598"/>
      <c r="F486" s="699"/>
      <c r="G486" s="700"/>
      <c r="H486" s="598"/>
      <c r="I486" s="598"/>
      <c r="J486" s="598"/>
      <c r="K486" s="598"/>
      <c r="L486" s="598"/>
      <c r="Q486" s="280"/>
      <c r="R486" s="281" t="s">
        <v>217</v>
      </c>
      <c r="S486" s="294"/>
      <c r="T486" s="282"/>
      <c r="U486" s="282"/>
      <c r="V486" s="364"/>
      <c r="W486" s="283">
        <f t="shared" ref="W486:AB486" si="242">SUM(W475:W485)</f>
        <v>3005.85</v>
      </c>
      <c r="X486" s="283">
        <f t="shared" si="242"/>
        <v>174.8</v>
      </c>
      <c r="Y486" s="283">
        <f t="shared" si="242"/>
        <v>87.16</v>
      </c>
      <c r="Z486" s="283">
        <f t="shared" si="242"/>
        <v>378</v>
      </c>
      <c r="AA486" s="683">
        <f t="shared" si="242"/>
        <v>42.5</v>
      </c>
      <c r="AB486" s="691">
        <f t="shared" si="242"/>
        <v>30</v>
      </c>
      <c r="AC486" s="281"/>
    </row>
    <row r="487" spans="5:29">
      <c r="E487" s="598"/>
      <c r="F487" s="699"/>
      <c r="G487" s="700"/>
      <c r="H487" s="598"/>
      <c r="I487" s="598"/>
      <c r="J487" s="598"/>
      <c r="K487" s="598"/>
      <c r="L487" s="598"/>
      <c r="Q487" s="280"/>
      <c r="R487" s="281" t="s">
        <v>220</v>
      </c>
      <c r="S487" s="294"/>
      <c r="T487" s="282"/>
      <c r="U487" s="282"/>
      <c r="V487" s="364"/>
      <c r="W487" s="284">
        <f>$B$27</f>
        <v>2834.5625</v>
      </c>
      <c r="X487" s="284">
        <f>$B$29</f>
        <v>154</v>
      </c>
      <c r="Y487" s="284">
        <f>$B$30</f>
        <v>63.91</v>
      </c>
      <c r="Z487" s="284">
        <f>$B$31</f>
        <v>410.84312499999999</v>
      </c>
      <c r="AA487" s="690">
        <f>$B$32</f>
        <v>39.683875</v>
      </c>
      <c r="AB487" s="695">
        <f>$B$39</f>
        <v>500</v>
      </c>
      <c r="AC487" s="281"/>
    </row>
    <row r="488" spans="5:29">
      <c r="E488" s="598"/>
      <c r="F488" s="699"/>
      <c r="G488" s="700"/>
      <c r="H488" s="598"/>
      <c r="I488" s="598"/>
      <c r="J488" s="598"/>
      <c r="K488" s="598"/>
      <c r="L488" s="598"/>
      <c r="Q488" s="280"/>
      <c r="R488" s="281" t="s">
        <v>222</v>
      </c>
      <c r="S488" s="294"/>
      <c r="T488" s="282"/>
      <c r="U488" s="282"/>
      <c r="V488" s="364"/>
      <c r="W488" s="284">
        <f t="shared" ref="W488:AB488" si="243">W486-W487</f>
        <v>171.28749999999991</v>
      </c>
      <c r="X488" s="284">
        <f t="shared" si="243"/>
        <v>20.800000000000011</v>
      </c>
      <c r="Y488" s="284">
        <f t="shared" si="243"/>
        <v>23.25</v>
      </c>
      <c r="Z488" s="284">
        <f t="shared" si="243"/>
        <v>-32.843124999999986</v>
      </c>
      <c r="AA488" s="690">
        <f t="shared" si="243"/>
        <v>2.8161249999999995</v>
      </c>
      <c r="AB488" s="689">
        <f t="shared" si="243"/>
        <v>-470</v>
      </c>
      <c r="AC488" s="281"/>
    </row>
    <row r="489" spans="5:29">
      <c r="E489" s="598"/>
      <c r="F489" s="699"/>
      <c r="G489" s="700"/>
      <c r="H489" s="598"/>
      <c r="I489" s="598"/>
      <c r="J489" s="598"/>
      <c r="K489" s="598"/>
      <c r="L489" s="598"/>
      <c r="Q489" s="288">
        <v>46065</v>
      </c>
      <c r="R489" s="276">
        <v>0.33333333333333331</v>
      </c>
      <c r="S489" s="277" t="s">
        <v>178</v>
      </c>
      <c r="T489" s="277" t="s">
        <v>295</v>
      </c>
      <c r="U489" s="278">
        <v>1</v>
      </c>
      <c r="V489" s="361" t="str">
        <f t="shared" ref="V489:V505" si="244">IFERROR(VLOOKUP(T489, $E$5:$L$818, 3, FALSE), "")</f>
        <v>bottle</v>
      </c>
      <c r="W489" s="279">
        <f t="shared" ref="W489:W505" si="245">IFERROR(VLOOKUP(T489, $E$5:$L$818, 4, FALSE) * (U489 / VLOOKUP(T489, $E$5:$L$818, 2, FALSE)), "")</f>
        <v>200</v>
      </c>
      <c r="X489" s="279">
        <f t="shared" ref="X489:X505" si="246">IFERROR(VLOOKUP(T489, $E$5:$L$818, 5, FALSE) * (U489 / VLOOKUP(T489, $E$5:$L$818, 2, FALSE)), "")</f>
        <v>35</v>
      </c>
      <c r="Y489" s="279">
        <f t="shared" ref="Y489:Y505" si="247">IFERROR(VLOOKUP(T489, $E$5:$L$818, 6, FALSE) * (U489 / VLOOKUP(T489, $E$5:$L$818, 2, FALSE)), "")</f>
        <v>2.5</v>
      </c>
      <c r="Z489" s="279">
        <f t="shared" ref="Z489:Z505" si="248">IFERROR(VLOOKUP(T489, $E$5:$L$818, 7, FALSE) * (U489 / VLOOKUP(T489, $E$5:$L$818, 2, FALSE)), "")</f>
        <v>9</v>
      </c>
      <c r="AA489" s="279">
        <f t="shared" ref="AA489:AA505" si="249">IFERROR(VLOOKUP(T489, $E$5:$L$818, 8, FALSE) * (U489 / VLOOKUP(T489, $E$5:$L$818, 2, FALSE)), "")</f>
        <v>0</v>
      </c>
      <c r="AB489" s="674">
        <f t="shared" ref="AB489:AB505" si="250">IFERROR(VLOOKUP(T489, $E$5:$O$818, 9, FALSE) * (U489 / VLOOKUP(T489, $E$5:$O$818, 2, FALSE)), "")</f>
        <v>0</v>
      </c>
      <c r="AC489" s="277"/>
    </row>
    <row r="490" spans="5:29">
      <c r="E490" s="598"/>
      <c r="F490" s="699"/>
      <c r="G490" s="700"/>
      <c r="H490" s="598"/>
      <c r="I490" s="598"/>
      <c r="J490" s="598"/>
      <c r="K490" s="598"/>
      <c r="L490" s="598"/>
      <c r="Q490" s="288">
        <v>46065</v>
      </c>
      <c r="R490" s="276">
        <v>0.33333333333333331</v>
      </c>
      <c r="S490" s="277" t="s">
        <v>289</v>
      </c>
      <c r="T490" s="277" t="s">
        <v>214</v>
      </c>
      <c r="U490" s="278">
        <v>1</v>
      </c>
      <c r="V490" s="361" t="str">
        <f t="shared" si="244"/>
        <v>bar</v>
      </c>
      <c r="W490" s="279">
        <f t="shared" si="245"/>
        <v>67</v>
      </c>
      <c r="X490" s="279">
        <f t="shared" si="246"/>
        <v>1</v>
      </c>
      <c r="Y490" s="279">
        <f t="shared" si="247"/>
        <v>3.5</v>
      </c>
      <c r="Z490" s="279">
        <f t="shared" si="248"/>
        <v>22</v>
      </c>
      <c r="AA490" s="279">
        <f t="shared" si="249"/>
        <v>0.3</v>
      </c>
      <c r="AB490" s="584">
        <f t="shared" si="250"/>
        <v>0</v>
      </c>
      <c r="AC490" s="277"/>
    </row>
    <row r="491" spans="5:29">
      <c r="E491" s="598"/>
      <c r="F491" s="699"/>
      <c r="G491" s="700"/>
      <c r="H491" s="598"/>
      <c r="I491" s="598"/>
      <c r="J491" s="598"/>
      <c r="K491" s="598"/>
      <c r="L491" s="598"/>
      <c r="Q491" s="288">
        <v>46065</v>
      </c>
      <c r="R491" s="276">
        <v>0.33333333333333331</v>
      </c>
      <c r="S491" s="277" t="s">
        <v>178</v>
      </c>
      <c r="T491" s="277" t="s">
        <v>374</v>
      </c>
      <c r="U491" s="278">
        <v>2</v>
      </c>
      <c r="V491" s="361" t="str">
        <f t="shared" si="244"/>
        <v>egg</v>
      </c>
      <c r="W491" s="279">
        <f t="shared" si="245"/>
        <v>160</v>
      </c>
      <c r="X491" s="279">
        <f t="shared" si="246"/>
        <v>14</v>
      </c>
      <c r="Y491" s="279">
        <f t="shared" si="247"/>
        <v>12</v>
      </c>
      <c r="Z491" s="279">
        <f t="shared" si="248"/>
        <v>0</v>
      </c>
      <c r="AA491" s="279">
        <f t="shared" si="249"/>
        <v>0</v>
      </c>
      <c r="AB491" s="584">
        <f t="shared" si="250"/>
        <v>80</v>
      </c>
      <c r="AC491" s="277"/>
    </row>
    <row r="492" spans="5:29">
      <c r="E492" s="598"/>
      <c r="F492" s="699"/>
      <c r="G492" s="700"/>
      <c r="H492" s="598"/>
      <c r="I492" s="598"/>
      <c r="J492" s="598"/>
      <c r="K492" s="598"/>
      <c r="L492" s="598"/>
      <c r="Q492" s="288">
        <v>46065</v>
      </c>
      <c r="R492" s="276">
        <v>0.41666666666666669</v>
      </c>
      <c r="S492" s="277" t="s">
        <v>289</v>
      </c>
      <c r="T492" s="277" t="s">
        <v>487</v>
      </c>
      <c r="U492" s="278">
        <v>1.5</v>
      </c>
      <c r="V492" s="361" t="str">
        <f t="shared" si="244"/>
        <v>biscuits</v>
      </c>
      <c r="W492" s="279">
        <f t="shared" si="245"/>
        <v>105</v>
      </c>
      <c r="X492" s="279">
        <f t="shared" si="246"/>
        <v>1.5</v>
      </c>
      <c r="Y492" s="279">
        <f t="shared" si="247"/>
        <v>4.5</v>
      </c>
      <c r="Z492" s="279">
        <f t="shared" si="248"/>
        <v>14.25</v>
      </c>
      <c r="AA492" s="279">
        <f t="shared" si="249"/>
        <v>0.375</v>
      </c>
      <c r="AB492" s="584">
        <f t="shared" si="250"/>
        <v>0</v>
      </c>
      <c r="AC492" s="277"/>
    </row>
    <row r="493" spans="5:29">
      <c r="E493" s="598"/>
      <c r="F493" s="699"/>
      <c r="G493" s="700"/>
      <c r="H493" s="598"/>
      <c r="I493" s="598"/>
      <c r="J493" s="598"/>
      <c r="K493" s="598"/>
      <c r="L493" s="598"/>
      <c r="Q493" s="288">
        <v>46065</v>
      </c>
      <c r="R493" s="276">
        <v>0.45833333333333331</v>
      </c>
      <c r="S493" s="277" t="s">
        <v>289</v>
      </c>
      <c r="T493" s="277" t="s">
        <v>464</v>
      </c>
      <c r="U493" s="278">
        <v>1</v>
      </c>
      <c r="V493" s="361" t="str">
        <f t="shared" si="244"/>
        <v>lozenge</v>
      </c>
      <c r="W493" s="279">
        <f t="shared" si="245"/>
        <v>10</v>
      </c>
      <c r="X493" s="279">
        <f t="shared" si="246"/>
        <v>0</v>
      </c>
      <c r="Y493" s="279">
        <f t="shared" si="247"/>
        <v>0</v>
      </c>
      <c r="Z493" s="279">
        <f t="shared" si="248"/>
        <v>3</v>
      </c>
      <c r="AA493" s="279">
        <f t="shared" si="249"/>
        <v>0</v>
      </c>
      <c r="AB493" s="584">
        <f t="shared" si="250"/>
        <v>0</v>
      </c>
      <c r="AC493" s="277"/>
    </row>
    <row r="494" spans="5:29">
      <c r="E494" s="598"/>
      <c r="F494" s="699"/>
      <c r="G494" s="700"/>
      <c r="H494" s="598"/>
      <c r="I494" s="598"/>
      <c r="J494" s="598"/>
      <c r="K494" s="598"/>
      <c r="L494" s="598"/>
      <c r="Q494" s="288">
        <v>46065</v>
      </c>
      <c r="R494" s="276">
        <v>0.54166666666666663</v>
      </c>
      <c r="S494" s="277" t="s">
        <v>185</v>
      </c>
      <c r="T494" s="277" t="s">
        <v>176</v>
      </c>
      <c r="U494" s="278">
        <v>198</v>
      </c>
      <c r="V494" s="361" t="str">
        <f t="shared" si="244"/>
        <v>g</v>
      </c>
      <c r="W494" s="279">
        <f t="shared" si="245"/>
        <v>326.7</v>
      </c>
      <c r="X494" s="279">
        <f t="shared" si="246"/>
        <v>49.5</v>
      </c>
      <c r="Y494" s="279">
        <f t="shared" si="247"/>
        <v>7.1280000000000001</v>
      </c>
      <c r="Z494" s="279">
        <f t="shared" si="248"/>
        <v>0</v>
      </c>
      <c r="AA494" s="279">
        <f t="shared" si="249"/>
        <v>0</v>
      </c>
      <c r="AB494" s="584">
        <f t="shared" si="250"/>
        <v>0</v>
      </c>
      <c r="AC494" s="277"/>
    </row>
    <row r="495" spans="5:29">
      <c r="E495" s="598"/>
      <c r="F495" s="699"/>
      <c r="G495" s="700"/>
      <c r="H495" s="598"/>
      <c r="I495" s="598"/>
      <c r="J495" s="598"/>
      <c r="K495" s="598"/>
      <c r="L495" s="598"/>
      <c r="Q495" s="288">
        <v>46065</v>
      </c>
      <c r="R495" s="276">
        <v>0.54166666666666663</v>
      </c>
      <c r="S495" s="277" t="s">
        <v>185</v>
      </c>
      <c r="T495" s="277" t="s">
        <v>816</v>
      </c>
      <c r="U495" s="278">
        <v>105</v>
      </c>
      <c r="V495" s="361" t="str">
        <f t="shared" si="244"/>
        <v>g</v>
      </c>
      <c r="W495" s="279">
        <f t="shared" si="245"/>
        <v>227.85000000000002</v>
      </c>
      <c r="X495" s="279">
        <f t="shared" si="246"/>
        <v>27.3</v>
      </c>
      <c r="Y495" s="279">
        <f t="shared" si="247"/>
        <v>12.600000000000001</v>
      </c>
      <c r="Z495" s="279">
        <f t="shared" si="248"/>
        <v>0</v>
      </c>
      <c r="AA495" s="279">
        <f t="shared" si="249"/>
        <v>0</v>
      </c>
      <c r="AB495" s="584">
        <f t="shared" si="250"/>
        <v>0</v>
      </c>
      <c r="AC495" s="277"/>
    </row>
    <row r="496" spans="5:29">
      <c r="E496" s="598"/>
      <c r="F496" s="699"/>
      <c r="G496" s="700"/>
      <c r="H496" s="598"/>
      <c r="I496" s="598"/>
      <c r="J496" s="598"/>
      <c r="K496" s="598"/>
      <c r="L496" s="598"/>
      <c r="Q496" s="288">
        <v>46065</v>
      </c>
      <c r="R496" s="276">
        <v>0.54166666666666663</v>
      </c>
      <c r="S496" s="277" t="s">
        <v>185</v>
      </c>
      <c r="T496" s="277" t="s">
        <v>180</v>
      </c>
      <c r="U496" s="278">
        <v>150</v>
      </c>
      <c r="V496" s="361" t="str">
        <f t="shared" si="244"/>
        <v>g</v>
      </c>
      <c r="W496" s="279">
        <f t="shared" si="245"/>
        <v>195</v>
      </c>
      <c r="X496" s="279">
        <f t="shared" si="246"/>
        <v>4.0500000000000007</v>
      </c>
      <c r="Y496" s="279">
        <f t="shared" si="247"/>
        <v>0.44999999999999996</v>
      </c>
      <c r="Z496" s="279">
        <f t="shared" si="248"/>
        <v>42</v>
      </c>
      <c r="AA496" s="279">
        <f t="shared" si="249"/>
        <v>0.60000000000000009</v>
      </c>
      <c r="AB496" s="584">
        <f t="shared" si="250"/>
        <v>0</v>
      </c>
      <c r="AC496" s="277"/>
    </row>
    <row r="497" spans="5:29">
      <c r="E497" s="598"/>
      <c r="F497" s="699"/>
      <c r="G497" s="700"/>
      <c r="H497" s="598"/>
      <c r="I497" s="598"/>
      <c r="J497" s="598"/>
      <c r="K497" s="598"/>
      <c r="L497" s="598"/>
      <c r="Q497" s="288">
        <v>46065</v>
      </c>
      <c r="R497" s="276">
        <v>0.625</v>
      </c>
      <c r="S497" s="277" t="s">
        <v>289</v>
      </c>
      <c r="T497" s="277" t="s">
        <v>461</v>
      </c>
      <c r="U497" s="278">
        <v>3</v>
      </c>
      <c r="V497" s="361" t="str">
        <f t="shared" si="244"/>
        <v>chunks</v>
      </c>
      <c r="W497" s="279">
        <f t="shared" si="245"/>
        <v>72.857142857142847</v>
      </c>
      <c r="X497" s="279">
        <f t="shared" si="246"/>
        <v>1.2857142857142856</v>
      </c>
      <c r="Y497" s="279">
        <f t="shared" si="247"/>
        <v>4.2857142857142856</v>
      </c>
      <c r="Z497" s="279">
        <f t="shared" si="248"/>
        <v>7.7142857142857135</v>
      </c>
      <c r="AA497" s="279">
        <f t="shared" si="249"/>
        <v>0.21428571428571427</v>
      </c>
      <c r="AB497" s="584">
        <f t="shared" si="250"/>
        <v>0</v>
      </c>
      <c r="AC497" s="277"/>
    </row>
    <row r="498" spans="5:29">
      <c r="E498" s="598"/>
      <c r="F498" s="699"/>
      <c r="G498" s="700"/>
      <c r="H498" s="598"/>
      <c r="I498" s="598"/>
      <c r="J498" s="598"/>
      <c r="K498" s="598"/>
      <c r="L498" s="598"/>
      <c r="Q498" s="288">
        <v>46065</v>
      </c>
      <c r="R498" s="276">
        <v>0.83333333333333337</v>
      </c>
      <c r="S498" s="277" t="s">
        <v>199</v>
      </c>
      <c r="T498" s="277" t="s">
        <v>816</v>
      </c>
      <c r="U498" s="278">
        <v>100</v>
      </c>
      <c r="V498" s="361" t="str">
        <f t="shared" si="244"/>
        <v>g</v>
      </c>
      <c r="W498" s="279">
        <f t="shared" si="245"/>
        <v>217</v>
      </c>
      <c r="X498" s="279">
        <f t="shared" si="246"/>
        <v>26</v>
      </c>
      <c r="Y498" s="279">
        <f t="shared" si="247"/>
        <v>12</v>
      </c>
      <c r="Z498" s="279">
        <f t="shared" si="248"/>
        <v>0</v>
      </c>
      <c r="AA498" s="279">
        <f t="shared" si="249"/>
        <v>0</v>
      </c>
      <c r="AB498" s="584">
        <f t="shared" si="250"/>
        <v>0</v>
      </c>
      <c r="AC498" s="277"/>
    </row>
    <row r="499" spans="5:29">
      <c r="E499" s="598"/>
      <c r="F499" s="699"/>
      <c r="G499" s="700"/>
      <c r="H499" s="598"/>
      <c r="I499" s="598"/>
      <c r="J499" s="598"/>
      <c r="K499" s="598"/>
      <c r="L499" s="598"/>
      <c r="Q499" s="288">
        <v>46065</v>
      </c>
      <c r="R499" s="276">
        <v>0.83333333333333337</v>
      </c>
      <c r="S499" s="277" t="s">
        <v>199</v>
      </c>
      <c r="T499" s="277" t="s">
        <v>219</v>
      </c>
      <c r="U499" s="278">
        <v>1</v>
      </c>
      <c r="V499" s="361" t="str">
        <f t="shared" si="244"/>
        <v>bottle</v>
      </c>
      <c r="W499" s="279">
        <f t="shared" si="245"/>
        <v>0</v>
      </c>
      <c r="X499" s="279">
        <f t="shared" si="246"/>
        <v>0</v>
      </c>
      <c r="Y499" s="279">
        <f t="shared" si="247"/>
        <v>0</v>
      </c>
      <c r="Z499" s="279">
        <f t="shared" si="248"/>
        <v>0</v>
      </c>
      <c r="AA499" s="279">
        <f t="shared" si="249"/>
        <v>0</v>
      </c>
      <c r="AB499" s="584">
        <f t="shared" si="250"/>
        <v>0</v>
      </c>
      <c r="AC499" s="277"/>
    </row>
    <row r="500" spans="5:29">
      <c r="E500" s="598"/>
      <c r="F500" s="699"/>
      <c r="G500" s="700"/>
      <c r="H500" s="598"/>
      <c r="I500" s="598"/>
      <c r="J500" s="598"/>
      <c r="K500" s="598"/>
      <c r="L500" s="598"/>
      <c r="Q500" s="288">
        <v>46065</v>
      </c>
      <c r="R500" s="276">
        <v>0.83333333333333337</v>
      </c>
      <c r="S500" s="277" t="s">
        <v>199</v>
      </c>
      <c r="T500" s="277" t="s">
        <v>488</v>
      </c>
      <c r="U500" s="278">
        <v>1</v>
      </c>
      <c r="V500" s="361" t="str">
        <f t="shared" si="244"/>
        <v>bag</v>
      </c>
      <c r="W500" s="279">
        <f t="shared" si="245"/>
        <v>160</v>
      </c>
      <c r="X500" s="279">
        <f t="shared" si="246"/>
        <v>2</v>
      </c>
      <c r="Y500" s="279">
        <f t="shared" si="247"/>
        <v>0</v>
      </c>
      <c r="Z500" s="279">
        <f t="shared" si="248"/>
        <v>37</v>
      </c>
      <c r="AA500" s="279">
        <f t="shared" si="249"/>
        <v>4</v>
      </c>
      <c r="AB500" s="584">
        <f t="shared" si="250"/>
        <v>0</v>
      </c>
      <c r="AC500" s="277"/>
    </row>
    <row r="501" spans="5:29">
      <c r="E501" s="598"/>
      <c r="F501" s="699"/>
      <c r="G501" s="700"/>
      <c r="H501" s="598"/>
      <c r="I501" s="598"/>
      <c r="J501" s="598"/>
      <c r="K501" s="598"/>
      <c r="L501" s="598"/>
      <c r="Q501" s="288">
        <v>46065</v>
      </c>
      <c r="R501" s="276">
        <v>0.83333333333333337</v>
      </c>
      <c r="S501" s="277" t="s">
        <v>199</v>
      </c>
      <c r="T501" s="277" t="s">
        <v>489</v>
      </c>
      <c r="U501" s="278">
        <v>1</v>
      </c>
      <c r="V501" s="361" t="str">
        <f t="shared" si="244"/>
        <v>bag</v>
      </c>
      <c r="W501" s="279">
        <f t="shared" si="245"/>
        <v>170</v>
      </c>
      <c r="X501" s="279">
        <f t="shared" si="246"/>
        <v>2</v>
      </c>
      <c r="Y501" s="279">
        <f t="shared" si="247"/>
        <v>0</v>
      </c>
      <c r="Z501" s="279">
        <f t="shared" si="248"/>
        <v>41</v>
      </c>
      <c r="AA501" s="279">
        <f t="shared" si="249"/>
        <v>4</v>
      </c>
      <c r="AB501" s="584">
        <f t="shared" si="250"/>
        <v>0</v>
      </c>
      <c r="AC501" s="277"/>
    </row>
    <row r="502" spans="5:29">
      <c r="E502" s="598"/>
      <c r="F502" s="699"/>
      <c r="G502" s="700"/>
      <c r="H502" s="598"/>
      <c r="I502" s="598"/>
      <c r="J502" s="598"/>
      <c r="K502" s="598"/>
      <c r="L502" s="598"/>
      <c r="Q502" s="288">
        <v>46065</v>
      </c>
      <c r="R502" s="276">
        <v>0.83333333333333337</v>
      </c>
      <c r="S502" s="277" t="s">
        <v>199</v>
      </c>
      <c r="T502" s="277" t="s">
        <v>190</v>
      </c>
      <c r="U502" s="278">
        <v>1</v>
      </c>
      <c r="V502" s="361" t="str">
        <f t="shared" si="244"/>
        <v>medium</v>
      </c>
      <c r="W502" s="279">
        <f t="shared" si="245"/>
        <v>62</v>
      </c>
      <c r="X502" s="279">
        <f t="shared" si="246"/>
        <v>1.2</v>
      </c>
      <c r="Y502" s="279">
        <f t="shared" si="247"/>
        <v>0.2</v>
      </c>
      <c r="Z502" s="279">
        <f t="shared" si="248"/>
        <v>15.4</v>
      </c>
      <c r="AA502" s="279">
        <f t="shared" si="249"/>
        <v>3.1</v>
      </c>
      <c r="AB502" s="584">
        <f t="shared" si="250"/>
        <v>0</v>
      </c>
      <c r="AC502" s="277"/>
    </row>
    <row r="503" spans="5:29">
      <c r="E503" s="598"/>
      <c r="F503" s="699"/>
      <c r="G503" s="700"/>
      <c r="H503" s="598"/>
      <c r="I503" s="598"/>
      <c r="J503" s="598"/>
      <c r="K503" s="598"/>
      <c r="L503" s="598"/>
      <c r="Q503" s="288">
        <v>46065</v>
      </c>
      <c r="R503" s="276">
        <v>0.83333333333333337</v>
      </c>
      <c r="S503" s="277" t="s">
        <v>199</v>
      </c>
      <c r="T503" s="277" t="s">
        <v>209</v>
      </c>
      <c r="U503" s="278">
        <v>3</v>
      </c>
      <c r="V503" s="361" t="str">
        <f t="shared" si="244"/>
        <v>tbsp</v>
      </c>
      <c r="W503" s="279">
        <f t="shared" si="245"/>
        <v>60</v>
      </c>
      <c r="X503" s="279">
        <f t="shared" si="246"/>
        <v>0</v>
      </c>
      <c r="Y503" s="279">
        <f t="shared" si="247"/>
        <v>0</v>
      </c>
      <c r="Z503" s="279">
        <f t="shared" si="248"/>
        <v>15</v>
      </c>
      <c r="AA503" s="279">
        <f t="shared" si="249"/>
        <v>13.5</v>
      </c>
      <c r="AB503" s="584">
        <f t="shared" si="250"/>
        <v>0</v>
      </c>
      <c r="AC503" s="277"/>
    </row>
    <row r="504" spans="5:29">
      <c r="E504" s="598"/>
      <c r="F504" s="699"/>
      <c r="G504" s="700"/>
      <c r="H504" s="598"/>
      <c r="I504" s="598"/>
      <c r="J504" s="598"/>
      <c r="K504" s="598"/>
      <c r="L504" s="598"/>
      <c r="Q504" s="288">
        <v>46065</v>
      </c>
      <c r="R504" s="276">
        <v>0.83333333333333337</v>
      </c>
      <c r="S504" s="277" t="s">
        <v>199</v>
      </c>
      <c r="T504" s="277" t="s">
        <v>212</v>
      </c>
      <c r="U504" s="278">
        <v>1</v>
      </c>
      <c r="V504" s="361" t="str">
        <f t="shared" si="244"/>
        <v>bottle</v>
      </c>
      <c r="W504" s="279">
        <f t="shared" si="245"/>
        <v>70</v>
      </c>
      <c r="X504" s="279">
        <f t="shared" si="246"/>
        <v>0</v>
      </c>
      <c r="Y504" s="279">
        <f t="shared" si="247"/>
        <v>0</v>
      </c>
      <c r="Z504" s="279">
        <f t="shared" si="248"/>
        <v>17</v>
      </c>
      <c r="AA504" s="279">
        <f t="shared" si="249"/>
        <v>1</v>
      </c>
      <c r="AB504" s="584">
        <f t="shared" si="250"/>
        <v>0</v>
      </c>
      <c r="AC504" s="277"/>
    </row>
    <row r="505" spans="5:29">
      <c r="E505" s="598"/>
      <c r="F505" s="699"/>
      <c r="G505" s="700"/>
      <c r="H505" s="598"/>
      <c r="I505" s="598"/>
      <c r="J505" s="598"/>
      <c r="K505" s="598"/>
      <c r="L505" s="598"/>
      <c r="Q505" s="288">
        <v>46065</v>
      </c>
      <c r="R505" s="276">
        <v>0.95833333333333337</v>
      </c>
      <c r="S505" s="277" t="s">
        <v>289</v>
      </c>
      <c r="T505" s="277" t="s">
        <v>285</v>
      </c>
      <c r="U505" s="278">
        <v>1</v>
      </c>
      <c r="V505" s="361" t="str">
        <f t="shared" si="244"/>
        <v>bar</v>
      </c>
      <c r="W505" s="279">
        <f t="shared" si="245"/>
        <v>240</v>
      </c>
      <c r="X505" s="279">
        <f t="shared" si="246"/>
        <v>4</v>
      </c>
      <c r="Y505" s="279">
        <f t="shared" si="247"/>
        <v>12</v>
      </c>
      <c r="Z505" s="279">
        <f t="shared" si="248"/>
        <v>30</v>
      </c>
      <c r="AA505" s="279">
        <f t="shared" si="249"/>
        <v>1.4</v>
      </c>
      <c r="AB505" s="684">
        <f t="shared" si="250"/>
        <v>0</v>
      </c>
      <c r="AC505" s="277"/>
    </row>
    <row r="506" spans="5:29">
      <c r="E506" s="598"/>
      <c r="F506" s="699"/>
      <c r="G506" s="700"/>
      <c r="H506" s="598"/>
      <c r="I506" s="598"/>
      <c r="J506" s="598"/>
      <c r="K506" s="598"/>
      <c r="L506" s="598"/>
      <c r="Q506" s="280"/>
      <c r="R506" s="281" t="s">
        <v>217</v>
      </c>
      <c r="S506" s="294"/>
      <c r="T506" s="282"/>
      <c r="U506" s="282"/>
      <c r="V506" s="364"/>
      <c r="W506" s="283">
        <f t="shared" ref="W506:AB506" si="251">SUM(W489:W505)</f>
        <v>2343.4071428571433</v>
      </c>
      <c r="X506" s="283">
        <f t="shared" si="251"/>
        <v>168.83571428571429</v>
      </c>
      <c r="Y506" s="283">
        <f t="shared" si="251"/>
        <v>71.163714285714292</v>
      </c>
      <c r="Z506" s="283">
        <f t="shared" si="251"/>
        <v>253.36428571428573</v>
      </c>
      <c r="AA506" s="683">
        <f t="shared" si="251"/>
        <v>28.489285714285714</v>
      </c>
      <c r="AB506" s="691">
        <f t="shared" si="251"/>
        <v>80</v>
      </c>
      <c r="AC506" s="281"/>
    </row>
    <row r="507" spans="5:29">
      <c r="E507" s="598"/>
      <c r="F507" s="699"/>
      <c r="G507" s="700"/>
      <c r="H507" s="598"/>
      <c r="I507" s="598"/>
      <c r="J507" s="598"/>
      <c r="K507" s="598"/>
      <c r="L507" s="598"/>
      <c r="Q507" s="280"/>
      <c r="R507" s="281" t="s">
        <v>220</v>
      </c>
      <c r="S507" s="294"/>
      <c r="T507" s="282"/>
      <c r="U507" s="282"/>
      <c r="V507" s="364"/>
      <c r="W507" s="284">
        <f>$B$27</f>
        <v>2834.5625</v>
      </c>
      <c r="X507" s="284">
        <f>$B$29</f>
        <v>154</v>
      </c>
      <c r="Y507" s="284">
        <f>$B$30</f>
        <v>63.91</v>
      </c>
      <c r="Z507" s="284">
        <f>$B$31</f>
        <v>410.84312499999999</v>
      </c>
      <c r="AA507" s="690">
        <f>$B$32</f>
        <v>39.683875</v>
      </c>
      <c r="AB507" s="695">
        <f>$B$39</f>
        <v>500</v>
      </c>
      <c r="AC507" s="281"/>
    </row>
    <row r="508" spans="5:29">
      <c r="E508" s="598"/>
      <c r="F508" s="699"/>
      <c r="G508" s="700"/>
      <c r="H508" s="598"/>
      <c r="I508" s="598"/>
      <c r="J508" s="598"/>
      <c r="K508" s="598"/>
      <c r="L508" s="598"/>
      <c r="Q508" s="280"/>
      <c r="R508" s="281" t="s">
        <v>222</v>
      </c>
      <c r="S508" s="294"/>
      <c r="T508" s="282"/>
      <c r="U508" s="282"/>
      <c r="V508" s="364"/>
      <c r="W508" s="284">
        <f t="shared" ref="W508:AB508" si="252">W506-W507</f>
        <v>-491.1553571428567</v>
      </c>
      <c r="X508" s="284">
        <f t="shared" si="252"/>
        <v>14.835714285714289</v>
      </c>
      <c r="Y508" s="284">
        <f t="shared" si="252"/>
        <v>7.2537142857142953</v>
      </c>
      <c r="Z508" s="284">
        <f t="shared" si="252"/>
        <v>-157.47883928571426</v>
      </c>
      <c r="AA508" s="690">
        <f t="shared" si="252"/>
        <v>-11.194589285714287</v>
      </c>
      <c r="AB508" s="689">
        <f t="shared" si="252"/>
        <v>-420</v>
      </c>
      <c r="AC508" s="281"/>
    </row>
    <row r="509" spans="5:29">
      <c r="E509" s="598"/>
      <c r="F509" s="699"/>
      <c r="G509" s="700"/>
      <c r="H509" s="598"/>
      <c r="I509" s="598"/>
      <c r="J509" s="598"/>
      <c r="K509" s="598"/>
      <c r="L509" s="598"/>
      <c r="Q509" s="288">
        <v>46066</v>
      </c>
      <c r="R509" s="276">
        <v>0.33333333333333331</v>
      </c>
      <c r="S509" s="277" t="s">
        <v>178</v>
      </c>
      <c r="T509" s="277" t="s">
        <v>490</v>
      </c>
      <c r="U509" s="278">
        <v>1</v>
      </c>
      <c r="V509" s="361" t="str">
        <f t="shared" ref="V509:V517" si="253">IFERROR(VLOOKUP(T509, $E$5:$L$818, 3, FALSE), "")</f>
        <v>box</v>
      </c>
      <c r="W509" s="279">
        <f t="shared" ref="W509:W517" si="254">IFERROR(VLOOKUP(T509, $E$5:$L$818, 4, FALSE) * (U509 / VLOOKUP(T509, $E$5:$L$818, 2, FALSE)), "")</f>
        <v>580</v>
      </c>
      <c r="X509" s="279">
        <f t="shared" ref="X509:X517" si="255">IFERROR(VLOOKUP(T509, $E$5:$L$818, 5, FALSE) * (U509 / VLOOKUP(T509, $E$5:$L$818, 2, FALSE)), "")</f>
        <v>37</v>
      </c>
      <c r="Y509" s="279">
        <f t="shared" ref="Y509:Y517" si="256">IFERROR(VLOOKUP(T509, $E$5:$L$818, 6, FALSE) * (U509 / VLOOKUP(T509, $E$5:$L$818, 2, FALSE)), "")</f>
        <v>22.5</v>
      </c>
      <c r="Z509" s="279">
        <f t="shared" ref="Z509:Z517" si="257">IFERROR(VLOOKUP(T509, $E$5:$L$818, 7, FALSE) * (U509 / VLOOKUP(T509, $E$5:$L$818, 2, FALSE)), "")</f>
        <v>59</v>
      </c>
      <c r="AA509" s="279">
        <f t="shared" ref="AA509:AA517" si="258">IFERROR(VLOOKUP(T509, $E$5:$L$818, 8, FALSE) * (U509 / VLOOKUP(T509, $E$5:$L$818, 2, FALSE)), "")</f>
        <v>1</v>
      </c>
      <c r="AB509" s="674">
        <f t="shared" ref="AB509:AB517" si="259">IFERROR(VLOOKUP(T509, $E$5:$O$818, 9, FALSE) * (U509 / VLOOKUP(T509, $E$5:$O$818, 2, FALSE)), "")</f>
        <v>0</v>
      </c>
      <c r="AC509" s="277"/>
    </row>
    <row r="510" spans="5:29">
      <c r="E510" s="598"/>
      <c r="F510" s="699"/>
      <c r="G510" s="700"/>
      <c r="H510" s="598"/>
      <c r="I510" s="598"/>
      <c r="J510" s="598"/>
      <c r="K510" s="598"/>
      <c r="L510" s="598"/>
      <c r="Q510" s="288">
        <v>46066</v>
      </c>
      <c r="R510" s="276">
        <v>0.33333333333333331</v>
      </c>
      <c r="S510" s="277" t="s">
        <v>289</v>
      </c>
      <c r="T510" s="277" t="s">
        <v>214</v>
      </c>
      <c r="U510" s="278">
        <v>1</v>
      </c>
      <c r="V510" s="361" t="str">
        <f t="shared" si="253"/>
        <v>bar</v>
      </c>
      <c r="W510" s="279">
        <f t="shared" si="254"/>
        <v>67</v>
      </c>
      <c r="X510" s="279">
        <f t="shared" si="255"/>
        <v>1</v>
      </c>
      <c r="Y510" s="279">
        <f t="shared" si="256"/>
        <v>3.5</v>
      </c>
      <c r="Z510" s="279">
        <f t="shared" si="257"/>
        <v>22</v>
      </c>
      <c r="AA510" s="279">
        <f t="shared" si="258"/>
        <v>0.3</v>
      </c>
      <c r="AB510" s="584">
        <f t="shared" si="259"/>
        <v>0</v>
      </c>
      <c r="AC510" s="277"/>
    </row>
    <row r="511" spans="5:29">
      <c r="E511" s="598"/>
      <c r="F511" s="699"/>
      <c r="G511" s="700"/>
      <c r="H511" s="598"/>
      <c r="I511" s="598"/>
      <c r="J511" s="598"/>
      <c r="K511" s="598"/>
      <c r="L511" s="598"/>
      <c r="Q511" s="288">
        <v>46066</v>
      </c>
      <c r="R511" s="276">
        <v>0.375</v>
      </c>
      <c r="S511" s="277" t="s">
        <v>178</v>
      </c>
      <c r="T511" s="277" t="s">
        <v>463</v>
      </c>
      <c r="U511" s="278">
        <v>1</v>
      </c>
      <c r="V511" s="361" t="str">
        <f t="shared" si="253"/>
        <v>bottle</v>
      </c>
      <c r="W511" s="279">
        <f t="shared" si="254"/>
        <v>190</v>
      </c>
      <c r="X511" s="279">
        <f t="shared" si="255"/>
        <v>35</v>
      </c>
      <c r="Y511" s="279">
        <f t="shared" si="256"/>
        <v>2</v>
      </c>
      <c r="Z511" s="279">
        <f t="shared" si="257"/>
        <v>9</v>
      </c>
      <c r="AA511" s="279">
        <f t="shared" si="258"/>
        <v>0</v>
      </c>
      <c r="AB511" s="584">
        <f t="shared" si="259"/>
        <v>0</v>
      </c>
      <c r="AC511" s="277"/>
    </row>
    <row r="512" spans="5:29">
      <c r="E512" s="598"/>
      <c r="F512" s="699"/>
      <c r="G512" s="700"/>
      <c r="H512" s="598"/>
      <c r="I512" s="598"/>
      <c r="J512" s="598"/>
      <c r="K512" s="598"/>
      <c r="L512" s="598"/>
      <c r="Q512" s="288">
        <v>46066</v>
      </c>
      <c r="R512" s="276">
        <v>0.54166666666666663</v>
      </c>
      <c r="S512" s="277" t="s">
        <v>185</v>
      </c>
      <c r="T512" s="277" t="s">
        <v>247</v>
      </c>
      <c r="U512" s="278">
        <v>2</v>
      </c>
      <c r="V512" s="361" t="str">
        <f t="shared" si="253"/>
        <v>large bowl</v>
      </c>
      <c r="W512" s="279">
        <f t="shared" si="254"/>
        <v>800</v>
      </c>
      <c r="X512" s="279">
        <f t="shared" si="255"/>
        <v>40</v>
      </c>
      <c r="Y512" s="279">
        <f t="shared" si="256"/>
        <v>20</v>
      </c>
      <c r="Z512" s="279">
        <f t="shared" si="257"/>
        <v>110</v>
      </c>
      <c r="AA512" s="279">
        <f t="shared" si="258"/>
        <v>6</v>
      </c>
      <c r="AB512" s="584">
        <f t="shared" si="259"/>
        <v>0</v>
      </c>
      <c r="AC512" s="277"/>
    </row>
    <row r="513" spans="5:29">
      <c r="E513" s="598"/>
      <c r="F513" s="699"/>
      <c r="G513" s="700"/>
      <c r="H513" s="598"/>
      <c r="I513" s="598"/>
      <c r="J513" s="598"/>
      <c r="K513" s="598"/>
      <c r="L513" s="598"/>
      <c r="Q513" s="288">
        <v>46066</v>
      </c>
      <c r="R513" s="276">
        <v>0.625</v>
      </c>
      <c r="S513" s="277" t="s">
        <v>289</v>
      </c>
      <c r="T513" s="277" t="s">
        <v>461</v>
      </c>
      <c r="U513" s="278">
        <v>2</v>
      </c>
      <c r="V513" s="361" t="str">
        <f t="shared" si="253"/>
        <v>chunks</v>
      </c>
      <c r="W513" s="279">
        <f t="shared" si="254"/>
        <v>48.571428571428569</v>
      </c>
      <c r="X513" s="279">
        <f t="shared" si="255"/>
        <v>0.8571428571428571</v>
      </c>
      <c r="Y513" s="279">
        <f t="shared" si="256"/>
        <v>2.8571428571428568</v>
      </c>
      <c r="Z513" s="279">
        <f t="shared" si="257"/>
        <v>5.1428571428571423</v>
      </c>
      <c r="AA513" s="279">
        <f t="shared" si="258"/>
        <v>0.14285714285714285</v>
      </c>
      <c r="AB513" s="584">
        <f t="shared" si="259"/>
        <v>0</v>
      </c>
      <c r="AC513" s="277"/>
    </row>
    <row r="514" spans="5:29">
      <c r="E514" s="598"/>
      <c r="F514" s="699"/>
      <c r="G514" s="700"/>
      <c r="H514" s="598"/>
      <c r="I514" s="598"/>
      <c r="J514" s="598"/>
      <c r="K514" s="598"/>
      <c r="L514" s="598"/>
      <c r="Q514" s="288">
        <v>46066</v>
      </c>
      <c r="R514" s="276">
        <v>0.66666666666666663</v>
      </c>
      <c r="S514" s="277" t="s">
        <v>289</v>
      </c>
      <c r="T514" s="277" t="s">
        <v>491</v>
      </c>
      <c r="U514" s="278">
        <v>1</v>
      </c>
      <c r="V514" s="361" t="str">
        <f t="shared" si="253"/>
        <v>bag</v>
      </c>
      <c r="W514" s="279">
        <f t="shared" si="254"/>
        <v>425</v>
      </c>
      <c r="X514" s="279">
        <f t="shared" si="255"/>
        <v>5</v>
      </c>
      <c r="Y514" s="279">
        <f t="shared" si="256"/>
        <v>27.5</v>
      </c>
      <c r="Z514" s="279">
        <f t="shared" si="257"/>
        <v>40</v>
      </c>
      <c r="AA514" s="279">
        <f t="shared" si="258"/>
        <v>2.5</v>
      </c>
      <c r="AB514" s="584">
        <f t="shared" si="259"/>
        <v>0</v>
      </c>
      <c r="AC514" s="277"/>
    </row>
    <row r="515" spans="5:29">
      <c r="E515" s="598"/>
      <c r="F515" s="699"/>
      <c r="G515" s="700"/>
      <c r="H515" s="598"/>
      <c r="I515" s="598"/>
      <c r="J515" s="598"/>
      <c r="K515" s="598"/>
      <c r="L515" s="598"/>
      <c r="Q515" s="288">
        <v>46066</v>
      </c>
      <c r="R515" s="276">
        <v>0.79166666666666663</v>
      </c>
      <c r="S515" s="277" t="s">
        <v>199</v>
      </c>
      <c r="T515" s="277" t="s">
        <v>816</v>
      </c>
      <c r="U515" s="278">
        <v>100</v>
      </c>
      <c r="V515" s="361" t="str">
        <f t="shared" si="253"/>
        <v>g</v>
      </c>
      <c r="W515" s="279">
        <f t="shared" si="254"/>
        <v>217</v>
      </c>
      <c r="X515" s="279">
        <f t="shared" si="255"/>
        <v>26</v>
      </c>
      <c r="Y515" s="279">
        <f t="shared" si="256"/>
        <v>12</v>
      </c>
      <c r="Z515" s="279">
        <f t="shared" si="257"/>
        <v>0</v>
      </c>
      <c r="AA515" s="279">
        <f t="shared" si="258"/>
        <v>0</v>
      </c>
      <c r="AB515" s="584">
        <f t="shared" si="259"/>
        <v>0</v>
      </c>
      <c r="AC515" s="277"/>
    </row>
    <row r="516" spans="5:29">
      <c r="E516" s="598"/>
      <c r="F516" s="699"/>
      <c r="G516" s="700"/>
      <c r="H516" s="598"/>
      <c r="I516" s="598"/>
      <c r="J516" s="598"/>
      <c r="K516" s="598"/>
      <c r="L516" s="598"/>
      <c r="Q516" s="288">
        <v>46066</v>
      </c>
      <c r="R516" s="276">
        <v>0.79166666666666663</v>
      </c>
      <c r="S516" s="277" t="s">
        <v>199</v>
      </c>
      <c r="T516" s="277" t="s">
        <v>176</v>
      </c>
      <c r="U516" s="278">
        <v>155</v>
      </c>
      <c r="V516" s="361" t="str">
        <f t="shared" si="253"/>
        <v>g</v>
      </c>
      <c r="W516" s="279">
        <f t="shared" si="254"/>
        <v>255.75</v>
      </c>
      <c r="X516" s="279">
        <f t="shared" si="255"/>
        <v>38.75</v>
      </c>
      <c r="Y516" s="279">
        <f t="shared" si="256"/>
        <v>5.58</v>
      </c>
      <c r="Z516" s="279">
        <f t="shared" si="257"/>
        <v>0</v>
      </c>
      <c r="AA516" s="279">
        <f t="shared" si="258"/>
        <v>0</v>
      </c>
      <c r="AB516" s="584">
        <f t="shared" si="259"/>
        <v>0</v>
      </c>
      <c r="AC516" s="277"/>
    </row>
    <row r="517" spans="5:29">
      <c r="E517" s="598"/>
      <c r="F517" s="699"/>
      <c r="G517" s="700"/>
      <c r="H517" s="598"/>
      <c r="I517" s="598"/>
      <c r="J517" s="598"/>
      <c r="K517" s="598"/>
      <c r="L517" s="598"/>
      <c r="Q517" s="288">
        <v>46066</v>
      </c>
      <c r="R517" s="276">
        <v>0.875</v>
      </c>
      <c r="S517" s="277" t="s">
        <v>289</v>
      </c>
      <c r="T517" s="277" t="s">
        <v>492</v>
      </c>
      <c r="U517" s="278">
        <v>2</v>
      </c>
      <c r="V517" s="361" t="str">
        <f t="shared" si="253"/>
        <v>pieces</v>
      </c>
      <c r="W517" s="279">
        <f t="shared" si="254"/>
        <v>85</v>
      </c>
      <c r="X517" s="279">
        <f t="shared" si="255"/>
        <v>1</v>
      </c>
      <c r="Y517" s="279">
        <f t="shared" si="256"/>
        <v>5</v>
      </c>
      <c r="Z517" s="279">
        <f t="shared" si="257"/>
        <v>9.5</v>
      </c>
      <c r="AA517" s="279">
        <f t="shared" si="258"/>
        <v>0</v>
      </c>
      <c r="AB517" s="684">
        <f t="shared" si="259"/>
        <v>0</v>
      </c>
      <c r="AC517" s="277"/>
    </row>
    <row r="518" spans="5:29">
      <c r="E518" s="598"/>
      <c r="F518" s="699"/>
      <c r="G518" s="700"/>
      <c r="H518" s="598"/>
      <c r="I518" s="598"/>
      <c r="J518" s="598"/>
      <c r="K518" s="598"/>
      <c r="L518" s="598"/>
      <c r="Q518" s="280"/>
      <c r="R518" s="281" t="s">
        <v>217</v>
      </c>
      <c r="S518" s="294"/>
      <c r="T518" s="282"/>
      <c r="U518" s="282"/>
      <c r="V518" s="364"/>
      <c r="W518" s="283">
        <f t="shared" ref="W518:AB518" si="260">SUM(W509:W517)</f>
        <v>2668.3214285714284</v>
      </c>
      <c r="X518" s="283">
        <f t="shared" si="260"/>
        <v>184.60714285714286</v>
      </c>
      <c r="Y518" s="283">
        <f t="shared" si="260"/>
        <v>100.93714285714286</v>
      </c>
      <c r="Z518" s="283">
        <f t="shared" si="260"/>
        <v>254.64285714285714</v>
      </c>
      <c r="AA518" s="683">
        <f t="shared" si="260"/>
        <v>9.9428571428571431</v>
      </c>
      <c r="AB518" s="691">
        <f t="shared" si="260"/>
        <v>0</v>
      </c>
      <c r="AC518" s="281"/>
    </row>
    <row r="519" spans="5:29">
      <c r="E519" s="598"/>
      <c r="F519" s="699"/>
      <c r="G519" s="700"/>
      <c r="H519" s="598"/>
      <c r="I519" s="598"/>
      <c r="J519" s="598"/>
      <c r="K519" s="598"/>
      <c r="L519" s="598"/>
      <c r="Q519" s="280"/>
      <c r="R519" s="281" t="s">
        <v>220</v>
      </c>
      <c r="S519" s="294"/>
      <c r="T519" s="282"/>
      <c r="U519" s="282"/>
      <c r="V519" s="364"/>
      <c r="W519" s="284">
        <f>$B$27</f>
        <v>2834.5625</v>
      </c>
      <c r="X519" s="284">
        <f>$B$29</f>
        <v>154</v>
      </c>
      <c r="Y519" s="284">
        <f>$B$30</f>
        <v>63.91</v>
      </c>
      <c r="Z519" s="284">
        <f>$B$31</f>
        <v>410.84312499999999</v>
      </c>
      <c r="AA519" s="690">
        <f>$B$32</f>
        <v>39.683875</v>
      </c>
      <c r="AB519" s="695">
        <f>$B$39</f>
        <v>500</v>
      </c>
      <c r="AC519" s="281"/>
    </row>
    <row r="520" spans="5:29">
      <c r="E520" s="598"/>
      <c r="F520" s="699"/>
      <c r="G520" s="700"/>
      <c r="H520" s="598"/>
      <c r="I520" s="598"/>
      <c r="J520" s="598"/>
      <c r="K520" s="598"/>
      <c r="L520" s="598"/>
      <c r="Q520" s="280"/>
      <c r="R520" s="281" t="s">
        <v>222</v>
      </c>
      <c r="S520" s="294"/>
      <c r="T520" s="282"/>
      <c r="U520" s="282"/>
      <c r="V520" s="364"/>
      <c r="W520" s="284">
        <f t="shared" ref="W520:AB520" si="261">W518-W519</f>
        <v>-166.24107142857156</v>
      </c>
      <c r="X520" s="284">
        <f t="shared" si="261"/>
        <v>30.607142857142861</v>
      </c>
      <c r="Y520" s="284">
        <f t="shared" si="261"/>
        <v>37.027142857142863</v>
      </c>
      <c r="Z520" s="284">
        <f t="shared" si="261"/>
        <v>-156.20026785714285</v>
      </c>
      <c r="AA520" s="690">
        <f t="shared" si="261"/>
        <v>-29.741017857142857</v>
      </c>
      <c r="AB520" s="689">
        <f t="shared" si="261"/>
        <v>-500</v>
      </c>
      <c r="AC520" s="281"/>
    </row>
    <row r="521" spans="5:29">
      <c r="E521" s="598"/>
      <c r="F521" s="699"/>
      <c r="G521" s="700"/>
      <c r="H521" s="598"/>
      <c r="I521" s="598"/>
      <c r="J521" s="598"/>
      <c r="K521" s="598"/>
      <c r="L521" s="598"/>
      <c r="Q521" s="288">
        <v>46067</v>
      </c>
      <c r="R521" s="276">
        <v>0.45833333333333331</v>
      </c>
      <c r="S521" s="277" t="s">
        <v>178</v>
      </c>
      <c r="T521" s="277" t="s">
        <v>812</v>
      </c>
      <c r="U521" s="278">
        <v>1</v>
      </c>
      <c r="V521" s="361" t="str">
        <f t="shared" ref="V521:V530" si="262">IFERROR(VLOOKUP(T521, $E$5:$L$818, 3, FALSE), "")</f>
        <v>sandwich</v>
      </c>
      <c r="W521" s="279">
        <f t="shared" ref="W521:W530" si="263">IFERROR(VLOOKUP(T521, $E$5:$L$818, 4, FALSE) * (U521 / VLOOKUP(T521, $E$5:$L$818, 2, FALSE)), "")</f>
        <v>430</v>
      </c>
      <c r="X521" s="279">
        <f t="shared" ref="X521:X530" si="264">IFERROR(VLOOKUP(T521, $E$5:$L$818, 5, FALSE) * (U521 / VLOOKUP(T521, $E$5:$L$818, 2, FALSE)), "")</f>
        <v>26</v>
      </c>
      <c r="Y521" s="279">
        <f t="shared" ref="Y521:Y530" si="265">IFERROR(VLOOKUP(T521, $E$5:$L$818, 6, FALSE) * (U521 / VLOOKUP(T521, $E$5:$L$818, 2, FALSE)), "")</f>
        <v>20</v>
      </c>
      <c r="Z521" s="279">
        <f t="shared" ref="Z521:Z530" si="266">IFERROR(VLOOKUP(T521, $E$5:$L$818, 7, FALSE) * (U521 / VLOOKUP(T521, $E$5:$L$818, 2, FALSE)), "")</f>
        <v>34</v>
      </c>
      <c r="AA521" s="279">
        <f t="shared" ref="AA521:AA530" si="267">IFERROR(VLOOKUP(T521, $E$5:$L$818, 8, FALSE) * (U521 / VLOOKUP(T521, $E$5:$L$818, 2, FALSE)), "")</f>
        <v>4</v>
      </c>
      <c r="AB521" s="674">
        <f t="shared" ref="AB521:AB530" si="268">IFERROR(VLOOKUP(T521, $E$5:$O$818, 9, FALSE) * (U521 / VLOOKUP(T521, $E$5:$O$818, 2, FALSE)), "")</f>
        <v>0</v>
      </c>
      <c r="AC521" s="277"/>
    </row>
    <row r="522" spans="5:29">
      <c r="E522" s="598"/>
      <c r="F522" s="699"/>
      <c r="G522" s="700"/>
      <c r="H522" s="598"/>
      <c r="I522" s="598"/>
      <c r="J522" s="598"/>
      <c r="K522" s="598"/>
      <c r="L522" s="598"/>
      <c r="Q522" s="288">
        <v>46067</v>
      </c>
      <c r="R522" s="276">
        <v>0.45833333333333331</v>
      </c>
      <c r="S522" s="277" t="s">
        <v>178</v>
      </c>
      <c r="T522" s="277" t="s">
        <v>494</v>
      </c>
      <c r="U522" s="278">
        <v>1</v>
      </c>
      <c r="V522" s="361" t="str">
        <f t="shared" si="262"/>
        <v>pieces</v>
      </c>
      <c r="W522" s="279">
        <f t="shared" si="263"/>
        <v>60</v>
      </c>
      <c r="X522" s="279">
        <f t="shared" si="264"/>
        <v>2</v>
      </c>
      <c r="Y522" s="279">
        <f t="shared" si="265"/>
        <v>5.4285714285714279</v>
      </c>
      <c r="Z522" s="279">
        <f t="shared" si="266"/>
        <v>0.8571428571428571</v>
      </c>
      <c r="AA522" s="279">
        <f t="shared" si="267"/>
        <v>0</v>
      </c>
      <c r="AB522" s="584">
        <f t="shared" si="268"/>
        <v>0</v>
      </c>
      <c r="AC522" s="277"/>
    </row>
    <row r="523" spans="5:29">
      <c r="E523" s="598"/>
      <c r="F523" s="699"/>
      <c r="G523" s="700"/>
      <c r="H523" s="598"/>
      <c r="I523" s="598"/>
      <c r="J523" s="598"/>
      <c r="K523" s="598"/>
      <c r="L523" s="598"/>
      <c r="Q523" s="288">
        <v>46067</v>
      </c>
      <c r="R523" s="276">
        <v>0.45833333333333331</v>
      </c>
      <c r="S523" s="277" t="s">
        <v>289</v>
      </c>
      <c r="T523" s="277" t="s">
        <v>457</v>
      </c>
      <c r="U523" s="278">
        <v>1</v>
      </c>
      <c r="V523" s="361" t="str">
        <f t="shared" si="262"/>
        <v>cup</v>
      </c>
      <c r="W523" s="279">
        <f t="shared" si="263"/>
        <v>700</v>
      </c>
      <c r="X523" s="279">
        <f t="shared" si="264"/>
        <v>11</v>
      </c>
      <c r="Y523" s="279">
        <f t="shared" si="265"/>
        <v>91</v>
      </c>
      <c r="Z523" s="279">
        <f t="shared" si="266"/>
        <v>36</v>
      </c>
      <c r="AA523" s="279">
        <f t="shared" si="267"/>
        <v>0</v>
      </c>
      <c r="AB523" s="584">
        <f t="shared" si="268"/>
        <v>0</v>
      </c>
      <c r="AC523" s="277"/>
    </row>
    <row r="524" spans="5:29">
      <c r="E524" s="598"/>
      <c r="F524" s="699"/>
      <c r="G524" s="700"/>
      <c r="H524" s="598"/>
      <c r="I524" s="598"/>
      <c r="J524" s="598"/>
      <c r="K524" s="598"/>
      <c r="L524" s="598"/>
      <c r="Q524" s="288">
        <v>46067</v>
      </c>
      <c r="R524" s="276">
        <v>0.58333333333333337</v>
      </c>
      <c r="S524" s="277" t="s">
        <v>185</v>
      </c>
      <c r="T524" s="277" t="s">
        <v>295</v>
      </c>
      <c r="U524" s="278">
        <v>1</v>
      </c>
      <c r="V524" s="361" t="str">
        <f t="shared" si="262"/>
        <v>bottle</v>
      </c>
      <c r="W524" s="279">
        <f t="shared" si="263"/>
        <v>200</v>
      </c>
      <c r="X524" s="279">
        <f t="shared" si="264"/>
        <v>35</v>
      </c>
      <c r="Y524" s="279">
        <f t="shared" si="265"/>
        <v>2.5</v>
      </c>
      <c r="Z524" s="279">
        <f t="shared" si="266"/>
        <v>9</v>
      </c>
      <c r="AA524" s="279">
        <f t="shared" si="267"/>
        <v>0</v>
      </c>
      <c r="AB524" s="584">
        <f t="shared" si="268"/>
        <v>0</v>
      </c>
      <c r="AC524" s="277"/>
    </row>
    <row r="525" spans="5:29">
      <c r="E525" s="598"/>
      <c r="F525" s="699"/>
      <c r="G525" s="700"/>
      <c r="H525" s="598"/>
      <c r="I525" s="598"/>
      <c r="J525" s="598"/>
      <c r="K525" s="598"/>
      <c r="L525" s="598"/>
      <c r="Q525" s="288">
        <v>46067</v>
      </c>
      <c r="R525" s="276">
        <v>0.625</v>
      </c>
      <c r="S525" s="277" t="s">
        <v>289</v>
      </c>
      <c r="T525" s="277" t="s">
        <v>493</v>
      </c>
      <c r="U525" s="278">
        <v>2</v>
      </c>
      <c r="V525" s="361" t="str">
        <f t="shared" si="262"/>
        <v>piece</v>
      </c>
      <c r="W525" s="279">
        <f t="shared" si="263"/>
        <v>180</v>
      </c>
      <c r="X525" s="279">
        <f t="shared" si="264"/>
        <v>1</v>
      </c>
      <c r="Y525" s="279">
        <f t="shared" si="265"/>
        <v>9</v>
      </c>
      <c r="Z525" s="279">
        <f t="shared" si="266"/>
        <v>26</v>
      </c>
      <c r="AA525" s="279">
        <f t="shared" si="267"/>
        <v>0</v>
      </c>
      <c r="AB525" s="584">
        <f t="shared" si="268"/>
        <v>0</v>
      </c>
      <c r="AC525" s="277"/>
    </row>
    <row r="526" spans="5:29">
      <c r="E526" s="598"/>
      <c r="F526" s="699"/>
      <c r="G526" s="700"/>
      <c r="H526" s="598"/>
      <c r="I526" s="598"/>
      <c r="J526" s="598"/>
      <c r="K526" s="598"/>
      <c r="L526" s="598"/>
      <c r="Q526" s="288">
        <v>46067</v>
      </c>
      <c r="R526" s="276">
        <v>0.83333333333333337</v>
      </c>
      <c r="S526" s="277" t="s">
        <v>199</v>
      </c>
      <c r="T526" s="277" t="s">
        <v>176</v>
      </c>
      <c r="U526" s="278">
        <v>263</v>
      </c>
      <c r="V526" s="361" t="str">
        <f t="shared" si="262"/>
        <v>g</v>
      </c>
      <c r="W526" s="279">
        <f t="shared" si="263"/>
        <v>433.95</v>
      </c>
      <c r="X526" s="279">
        <f t="shared" si="264"/>
        <v>65.75</v>
      </c>
      <c r="Y526" s="279">
        <f t="shared" si="265"/>
        <v>9.468</v>
      </c>
      <c r="Z526" s="279">
        <f t="shared" si="266"/>
        <v>0</v>
      </c>
      <c r="AA526" s="279">
        <f t="shared" si="267"/>
        <v>0</v>
      </c>
      <c r="AB526" s="584">
        <f t="shared" si="268"/>
        <v>0</v>
      </c>
      <c r="AC526" s="277"/>
    </row>
    <row r="527" spans="5:29">
      <c r="E527" s="598"/>
      <c r="F527" s="699"/>
      <c r="G527" s="700"/>
      <c r="H527" s="598"/>
      <c r="I527" s="598"/>
      <c r="J527" s="598"/>
      <c r="K527" s="598"/>
      <c r="L527" s="598"/>
      <c r="Q527" s="288">
        <v>46067</v>
      </c>
      <c r="R527" s="276">
        <v>0.83333333333333337</v>
      </c>
      <c r="S527" s="277" t="s">
        <v>199</v>
      </c>
      <c r="T527" s="277" t="s">
        <v>816</v>
      </c>
      <c r="U527" s="278">
        <v>150</v>
      </c>
      <c r="V527" s="361" t="str">
        <f t="shared" si="262"/>
        <v>g</v>
      </c>
      <c r="W527" s="279">
        <f t="shared" si="263"/>
        <v>325.5</v>
      </c>
      <c r="X527" s="279">
        <f t="shared" si="264"/>
        <v>39</v>
      </c>
      <c r="Y527" s="279">
        <f t="shared" si="265"/>
        <v>18</v>
      </c>
      <c r="Z527" s="279">
        <f t="shared" si="266"/>
        <v>0</v>
      </c>
      <c r="AA527" s="279">
        <f t="shared" si="267"/>
        <v>0</v>
      </c>
      <c r="AB527" s="584">
        <f t="shared" si="268"/>
        <v>0</v>
      </c>
      <c r="AC527" s="277"/>
    </row>
    <row r="528" spans="5:29">
      <c r="E528" s="598"/>
      <c r="F528" s="699"/>
      <c r="G528" s="700"/>
      <c r="H528" s="598"/>
      <c r="I528" s="598"/>
      <c r="J528" s="598"/>
      <c r="K528" s="598"/>
      <c r="L528" s="598"/>
      <c r="Q528" s="288">
        <v>46067</v>
      </c>
      <c r="R528" s="276">
        <v>0.83333333333333337</v>
      </c>
      <c r="S528" s="277" t="s">
        <v>199</v>
      </c>
      <c r="T528" s="277" t="s">
        <v>181</v>
      </c>
      <c r="U528" s="278">
        <v>3</v>
      </c>
      <c r="V528" s="361" t="str">
        <f t="shared" si="262"/>
        <v>slice</v>
      </c>
      <c r="W528" s="279">
        <f t="shared" si="263"/>
        <v>210</v>
      </c>
      <c r="X528" s="279">
        <f t="shared" si="264"/>
        <v>7.5</v>
      </c>
      <c r="Y528" s="279">
        <f t="shared" si="265"/>
        <v>3.75</v>
      </c>
      <c r="Z528" s="279">
        <f t="shared" si="266"/>
        <v>36</v>
      </c>
      <c r="AA528" s="279">
        <f t="shared" si="267"/>
        <v>3</v>
      </c>
      <c r="AB528" s="584">
        <f t="shared" si="268"/>
        <v>0</v>
      </c>
      <c r="AC528" s="277"/>
    </row>
    <row r="529" spans="5:29">
      <c r="E529" s="598"/>
      <c r="F529" s="699"/>
      <c r="G529" s="700"/>
      <c r="H529" s="598"/>
      <c r="I529" s="598"/>
      <c r="J529" s="598"/>
      <c r="K529" s="598"/>
      <c r="L529" s="598"/>
      <c r="Q529" s="288">
        <v>46067</v>
      </c>
      <c r="R529" s="276">
        <v>0.875</v>
      </c>
      <c r="S529" s="277" t="s">
        <v>199</v>
      </c>
      <c r="T529" s="277" t="s">
        <v>209</v>
      </c>
      <c r="U529" s="278">
        <v>3</v>
      </c>
      <c r="V529" s="361" t="str">
        <f t="shared" si="262"/>
        <v>tbsp</v>
      </c>
      <c r="W529" s="279">
        <f t="shared" si="263"/>
        <v>60</v>
      </c>
      <c r="X529" s="279">
        <f t="shared" si="264"/>
        <v>0</v>
      </c>
      <c r="Y529" s="279">
        <f t="shared" si="265"/>
        <v>0</v>
      </c>
      <c r="Z529" s="279">
        <f t="shared" si="266"/>
        <v>15</v>
      </c>
      <c r="AA529" s="279">
        <f t="shared" si="267"/>
        <v>13.5</v>
      </c>
      <c r="AB529" s="584">
        <f t="shared" si="268"/>
        <v>0</v>
      </c>
      <c r="AC529" s="277"/>
    </row>
    <row r="530" spans="5:29">
      <c r="E530" s="598"/>
      <c r="F530" s="699"/>
      <c r="G530" s="700"/>
      <c r="H530" s="598"/>
      <c r="I530" s="598"/>
      <c r="J530" s="598"/>
      <c r="K530" s="598"/>
      <c r="L530" s="598"/>
      <c r="Q530" s="288">
        <v>46067</v>
      </c>
      <c r="R530" s="276">
        <v>0.875</v>
      </c>
      <c r="S530" s="277" t="s">
        <v>199</v>
      </c>
      <c r="T530" s="277" t="s">
        <v>212</v>
      </c>
      <c r="U530" s="278">
        <v>1</v>
      </c>
      <c r="V530" s="361" t="str">
        <f t="shared" si="262"/>
        <v>bottle</v>
      </c>
      <c r="W530" s="279">
        <f t="shared" si="263"/>
        <v>70</v>
      </c>
      <c r="X530" s="279">
        <f t="shared" si="264"/>
        <v>0</v>
      </c>
      <c r="Y530" s="279">
        <f t="shared" si="265"/>
        <v>0</v>
      </c>
      <c r="Z530" s="279">
        <f t="shared" si="266"/>
        <v>17</v>
      </c>
      <c r="AA530" s="279">
        <f t="shared" si="267"/>
        <v>1</v>
      </c>
      <c r="AB530" s="684">
        <f t="shared" si="268"/>
        <v>0</v>
      </c>
      <c r="AC530" s="277"/>
    </row>
    <row r="531" spans="5:29">
      <c r="E531" s="598"/>
      <c r="F531" s="699"/>
      <c r="G531" s="700"/>
      <c r="H531" s="598"/>
      <c r="I531" s="598"/>
      <c r="J531" s="598"/>
      <c r="K531" s="598"/>
      <c r="L531" s="598"/>
      <c r="Q531" s="280"/>
      <c r="R531" s="281" t="s">
        <v>217</v>
      </c>
      <c r="S531" s="294"/>
      <c r="T531" s="282"/>
      <c r="U531" s="282"/>
      <c r="V531" s="364"/>
      <c r="W531" s="283">
        <f t="shared" ref="W531:AB531" si="269">SUM(W521:W530)</f>
        <v>2669.45</v>
      </c>
      <c r="X531" s="283">
        <f t="shared" si="269"/>
        <v>187.25</v>
      </c>
      <c r="Y531" s="283">
        <f t="shared" si="269"/>
        <v>159.14657142857143</v>
      </c>
      <c r="Z531" s="283">
        <f t="shared" si="269"/>
        <v>173.85714285714286</v>
      </c>
      <c r="AA531" s="683">
        <f t="shared" si="269"/>
        <v>21.5</v>
      </c>
      <c r="AB531" s="691">
        <f t="shared" si="269"/>
        <v>0</v>
      </c>
      <c r="AC531" s="281"/>
    </row>
    <row r="532" spans="5:29">
      <c r="E532" s="598"/>
      <c r="F532" s="699"/>
      <c r="G532" s="700"/>
      <c r="H532" s="598"/>
      <c r="I532" s="598"/>
      <c r="J532" s="598"/>
      <c r="K532" s="598"/>
      <c r="L532" s="598"/>
      <c r="Q532" s="280"/>
      <c r="R532" s="281" t="s">
        <v>220</v>
      </c>
      <c r="S532" s="294"/>
      <c r="T532" s="282"/>
      <c r="U532" s="282"/>
      <c r="V532" s="364"/>
      <c r="W532" s="284">
        <f>$B$27</f>
        <v>2834.5625</v>
      </c>
      <c r="X532" s="284">
        <f>$B$29</f>
        <v>154</v>
      </c>
      <c r="Y532" s="284">
        <f>$B$30</f>
        <v>63.91</v>
      </c>
      <c r="Z532" s="284">
        <f>$B$31</f>
        <v>410.84312499999999</v>
      </c>
      <c r="AA532" s="690">
        <f>$B$32</f>
        <v>39.683875</v>
      </c>
      <c r="AB532" s="695">
        <f>$B$39</f>
        <v>500</v>
      </c>
      <c r="AC532" s="281"/>
    </row>
    <row r="533" spans="5:29">
      <c r="E533" s="598"/>
      <c r="F533" s="699"/>
      <c r="G533" s="700"/>
      <c r="H533" s="598"/>
      <c r="I533" s="598"/>
      <c r="J533" s="598"/>
      <c r="K533" s="598"/>
      <c r="L533" s="598"/>
      <c r="Q533" s="280"/>
      <c r="R533" s="281" t="s">
        <v>222</v>
      </c>
      <c r="S533" s="294"/>
      <c r="T533" s="282"/>
      <c r="U533" s="282"/>
      <c r="V533" s="364"/>
      <c r="W533" s="284">
        <f t="shared" ref="W533:AB533" si="270">W531-W532</f>
        <v>-165.11250000000018</v>
      </c>
      <c r="X533" s="284">
        <f t="shared" si="270"/>
        <v>33.25</v>
      </c>
      <c r="Y533" s="284">
        <f t="shared" si="270"/>
        <v>95.236571428571438</v>
      </c>
      <c r="Z533" s="284">
        <f t="shared" si="270"/>
        <v>-236.98598214285713</v>
      </c>
      <c r="AA533" s="690">
        <f t="shared" si="270"/>
        <v>-18.183875</v>
      </c>
      <c r="AB533" s="689">
        <f t="shared" si="270"/>
        <v>-500</v>
      </c>
      <c r="AC533" s="281"/>
    </row>
    <row r="534" spans="5:29">
      <c r="E534" s="598"/>
      <c r="F534" s="699"/>
      <c r="G534" s="700"/>
      <c r="H534" s="598"/>
      <c r="I534" s="598"/>
      <c r="J534" s="598"/>
      <c r="K534" s="598"/>
      <c r="L534" s="598"/>
      <c r="Q534" s="288">
        <v>46068</v>
      </c>
      <c r="R534" s="276">
        <v>0.45833333333333331</v>
      </c>
      <c r="S534" s="277" t="s">
        <v>178</v>
      </c>
      <c r="T534" s="277" t="s">
        <v>493</v>
      </c>
      <c r="U534" s="278">
        <v>4</v>
      </c>
      <c r="V534" s="361" t="str">
        <f t="shared" ref="V534:V544" si="271">IFERROR(VLOOKUP(T534, $E$5:$L$818, 3, FALSE), "")</f>
        <v>piece</v>
      </c>
      <c r="W534" s="279">
        <f t="shared" ref="W534:W544" si="272">IFERROR(VLOOKUP(T534, $E$5:$L$818, 4, FALSE) * (U534 / VLOOKUP(T534, $E$5:$L$818, 2, FALSE)), "")</f>
        <v>360</v>
      </c>
      <c r="X534" s="279">
        <f t="shared" ref="X534:X544" si="273">IFERROR(VLOOKUP(T534, $E$5:$L$818, 5, FALSE) * (U534 / VLOOKUP(T534, $E$5:$L$818, 2, FALSE)), "")</f>
        <v>2</v>
      </c>
      <c r="Y534" s="279">
        <f t="shared" ref="Y534:Y544" si="274">IFERROR(VLOOKUP(T534, $E$5:$L$818, 6, FALSE) * (U534 / VLOOKUP(T534, $E$5:$L$818, 2, FALSE)), "")</f>
        <v>18</v>
      </c>
      <c r="Z534" s="279">
        <f t="shared" ref="Z534:Z544" si="275">IFERROR(VLOOKUP(T534, $E$5:$L$818, 7, FALSE) * (U534 / VLOOKUP(T534, $E$5:$L$818, 2, FALSE)), "")</f>
        <v>52</v>
      </c>
      <c r="AA534" s="279">
        <f t="shared" ref="AA534:AA544" si="276">IFERROR(VLOOKUP(T534, $E$5:$L$818, 8, FALSE) * (U534 / VLOOKUP(T534, $E$5:$L$818, 2, FALSE)), "")</f>
        <v>0</v>
      </c>
      <c r="AB534" s="674">
        <f t="shared" ref="AB534:AB544" si="277">IFERROR(VLOOKUP(T534, $E$5:$O$818, 9, FALSE) * (U534 / VLOOKUP(T534, $E$5:$O$818, 2, FALSE)), "")</f>
        <v>0</v>
      </c>
      <c r="AC534" s="277"/>
    </row>
    <row r="535" spans="5:29">
      <c r="E535" s="598"/>
      <c r="F535" s="699"/>
      <c r="G535" s="700"/>
      <c r="H535" s="598"/>
      <c r="I535" s="598"/>
      <c r="J535" s="598"/>
      <c r="K535" s="598"/>
      <c r="L535" s="598"/>
      <c r="Q535" s="288">
        <v>46068</v>
      </c>
      <c r="R535" s="276">
        <v>0.45833333333333331</v>
      </c>
      <c r="S535" s="277" t="s">
        <v>178</v>
      </c>
      <c r="T535" s="277" t="s">
        <v>463</v>
      </c>
      <c r="U535" s="278">
        <v>1</v>
      </c>
      <c r="V535" s="361" t="str">
        <f t="shared" si="271"/>
        <v>bottle</v>
      </c>
      <c r="W535" s="279">
        <f t="shared" si="272"/>
        <v>190</v>
      </c>
      <c r="X535" s="279">
        <f t="shared" si="273"/>
        <v>35</v>
      </c>
      <c r="Y535" s="279">
        <f t="shared" si="274"/>
        <v>2</v>
      </c>
      <c r="Z535" s="279">
        <f t="shared" si="275"/>
        <v>9</v>
      </c>
      <c r="AA535" s="279">
        <f t="shared" si="276"/>
        <v>0</v>
      </c>
      <c r="AB535" s="584">
        <f t="shared" si="277"/>
        <v>0</v>
      </c>
      <c r="AC535" s="277"/>
    </row>
    <row r="536" spans="5:29">
      <c r="E536" s="598"/>
      <c r="F536" s="699"/>
      <c r="G536" s="700"/>
      <c r="H536" s="598"/>
      <c r="I536" s="598"/>
      <c r="J536" s="598"/>
      <c r="K536" s="598"/>
      <c r="L536" s="598"/>
      <c r="Q536" s="288">
        <v>46068</v>
      </c>
      <c r="R536" s="276">
        <v>0.54166666666666663</v>
      </c>
      <c r="S536" s="277" t="s">
        <v>185</v>
      </c>
      <c r="T536" s="277" t="s">
        <v>816</v>
      </c>
      <c r="U536" s="278">
        <v>100</v>
      </c>
      <c r="V536" s="361" t="str">
        <f t="shared" si="271"/>
        <v>g</v>
      </c>
      <c r="W536" s="279">
        <f t="shared" si="272"/>
        <v>217</v>
      </c>
      <c r="X536" s="279">
        <f t="shared" si="273"/>
        <v>26</v>
      </c>
      <c r="Y536" s="279">
        <f t="shared" si="274"/>
        <v>12</v>
      </c>
      <c r="Z536" s="279">
        <f t="shared" si="275"/>
        <v>0</v>
      </c>
      <c r="AA536" s="279">
        <f t="shared" si="276"/>
        <v>0</v>
      </c>
      <c r="AB536" s="584">
        <f t="shared" si="277"/>
        <v>0</v>
      </c>
      <c r="AC536" s="277"/>
    </row>
    <row r="537" spans="5:29">
      <c r="E537" s="598"/>
      <c r="F537" s="699"/>
      <c r="G537" s="700"/>
      <c r="H537" s="598"/>
      <c r="I537" s="598"/>
      <c r="J537" s="598"/>
      <c r="K537" s="598"/>
      <c r="L537" s="598"/>
      <c r="Q537" s="288">
        <v>46068</v>
      </c>
      <c r="R537" s="276">
        <v>0.54166666666666663</v>
      </c>
      <c r="S537" s="277" t="s">
        <v>185</v>
      </c>
      <c r="T537" s="277" t="s">
        <v>176</v>
      </c>
      <c r="U537" s="278">
        <v>180</v>
      </c>
      <c r="V537" s="361" t="str">
        <f t="shared" si="271"/>
        <v>g</v>
      </c>
      <c r="W537" s="279">
        <f t="shared" si="272"/>
        <v>297</v>
      </c>
      <c r="X537" s="279">
        <f t="shared" si="273"/>
        <v>45</v>
      </c>
      <c r="Y537" s="279">
        <f t="shared" si="274"/>
        <v>6.48</v>
      </c>
      <c r="Z537" s="279">
        <f t="shared" si="275"/>
        <v>0</v>
      </c>
      <c r="AA537" s="279">
        <f t="shared" si="276"/>
        <v>0</v>
      </c>
      <c r="AB537" s="584">
        <f t="shared" si="277"/>
        <v>0</v>
      </c>
      <c r="AC537" s="277"/>
    </row>
    <row r="538" spans="5:29">
      <c r="E538" s="598"/>
      <c r="F538" s="699"/>
      <c r="G538" s="700"/>
      <c r="H538" s="598"/>
      <c r="I538" s="598"/>
      <c r="J538" s="598"/>
      <c r="K538" s="598"/>
      <c r="L538" s="598"/>
      <c r="Q538" s="288">
        <v>46068</v>
      </c>
      <c r="R538" s="276">
        <v>0.54166666666666663</v>
      </c>
      <c r="S538" s="277" t="s">
        <v>185</v>
      </c>
      <c r="T538" s="277" t="s">
        <v>374</v>
      </c>
      <c r="U538" s="278">
        <v>2</v>
      </c>
      <c r="V538" s="361" t="str">
        <f t="shared" si="271"/>
        <v>egg</v>
      </c>
      <c r="W538" s="279">
        <f t="shared" si="272"/>
        <v>160</v>
      </c>
      <c r="X538" s="279">
        <f t="shared" si="273"/>
        <v>14</v>
      </c>
      <c r="Y538" s="279">
        <f t="shared" si="274"/>
        <v>12</v>
      </c>
      <c r="Z538" s="279">
        <f t="shared" si="275"/>
        <v>0</v>
      </c>
      <c r="AA538" s="279">
        <f t="shared" si="276"/>
        <v>0</v>
      </c>
      <c r="AB538" s="584">
        <f t="shared" si="277"/>
        <v>80</v>
      </c>
      <c r="AC538" s="277"/>
    </row>
    <row r="539" spans="5:29">
      <c r="E539" s="598"/>
      <c r="F539" s="699"/>
      <c r="G539" s="700"/>
      <c r="H539" s="598"/>
      <c r="I539" s="598"/>
      <c r="J539" s="598"/>
      <c r="K539" s="598"/>
      <c r="L539" s="598"/>
      <c r="Q539" s="288">
        <v>46068</v>
      </c>
      <c r="R539" s="276">
        <v>0.54166666666666663</v>
      </c>
      <c r="S539" s="277" t="s">
        <v>185</v>
      </c>
      <c r="T539" s="277" t="s">
        <v>181</v>
      </c>
      <c r="U539" s="278">
        <v>2</v>
      </c>
      <c r="V539" s="361" t="str">
        <f t="shared" si="271"/>
        <v>slice</v>
      </c>
      <c r="W539" s="279">
        <f t="shared" si="272"/>
        <v>140</v>
      </c>
      <c r="X539" s="279">
        <f t="shared" si="273"/>
        <v>5</v>
      </c>
      <c r="Y539" s="279">
        <f t="shared" si="274"/>
        <v>2.5</v>
      </c>
      <c r="Z539" s="279">
        <f t="shared" si="275"/>
        <v>24</v>
      </c>
      <c r="AA539" s="279">
        <f t="shared" si="276"/>
        <v>2</v>
      </c>
      <c r="AB539" s="584">
        <f t="shared" si="277"/>
        <v>0</v>
      </c>
      <c r="AC539" s="277"/>
    </row>
    <row r="540" spans="5:29">
      <c r="E540" s="598"/>
      <c r="F540" s="699"/>
      <c r="G540" s="700"/>
      <c r="H540" s="598"/>
      <c r="I540" s="598"/>
      <c r="J540" s="598"/>
      <c r="K540" s="598"/>
      <c r="L540" s="598"/>
      <c r="Q540" s="288">
        <v>46068</v>
      </c>
      <c r="R540" s="276">
        <v>0.54166666666666663</v>
      </c>
      <c r="S540" s="277" t="s">
        <v>185</v>
      </c>
      <c r="T540" s="277" t="s">
        <v>214</v>
      </c>
      <c r="U540" s="278">
        <v>2</v>
      </c>
      <c r="V540" s="361" t="str">
        <f t="shared" si="271"/>
        <v>bar</v>
      </c>
      <c r="W540" s="279">
        <f t="shared" si="272"/>
        <v>134</v>
      </c>
      <c r="X540" s="279">
        <f t="shared" si="273"/>
        <v>2</v>
      </c>
      <c r="Y540" s="279">
        <f t="shared" si="274"/>
        <v>7</v>
      </c>
      <c r="Z540" s="279">
        <f t="shared" si="275"/>
        <v>44</v>
      </c>
      <c r="AA540" s="279">
        <f t="shared" si="276"/>
        <v>0.6</v>
      </c>
      <c r="AB540" s="584">
        <f t="shared" si="277"/>
        <v>0</v>
      </c>
      <c r="AC540" s="277"/>
    </row>
    <row r="541" spans="5:29">
      <c r="E541" s="598"/>
      <c r="F541" s="699"/>
      <c r="G541" s="700"/>
      <c r="H541" s="598"/>
      <c r="I541" s="598"/>
      <c r="J541" s="598"/>
      <c r="K541" s="598"/>
      <c r="L541" s="598"/>
      <c r="Q541" s="288">
        <v>46068</v>
      </c>
      <c r="R541" s="276">
        <v>0.79166666666666663</v>
      </c>
      <c r="S541" s="277" t="s">
        <v>289</v>
      </c>
      <c r="T541" s="277" t="s">
        <v>493</v>
      </c>
      <c r="U541" s="278">
        <v>2</v>
      </c>
      <c r="V541" s="361" t="str">
        <f t="shared" si="271"/>
        <v>piece</v>
      </c>
      <c r="W541" s="279">
        <f t="shared" si="272"/>
        <v>180</v>
      </c>
      <c r="X541" s="279">
        <f t="shared" si="273"/>
        <v>1</v>
      </c>
      <c r="Y541" s="279">
        <f t="shared" si="274"/>
        <v>9</v>
      </c>
      <c r="Z541" s="279">
        <f t="shared" si="275"/>
        <v>26</v>
      </c>
      <c r="AA541" s="279">
        <f t="shared" si="276"/>
        <v>0</v>
      </c>
      <c r="AB541" s="584">
        <f t="shared" si="277"/>
        <v>0</v>
      </c>
      <c r="AC541" s="277"/>
    </row>
    <row r="542" spans="5:29">
      <c r="E542" s="598"/>
      <c r="F542" s="699"/>
      <c r="G542" s="700"/>
      <c r="H542" s="598"/>
      <c r="I542" s="598"/>
      <c r="J542" s="598"/>
      <c r="K542" s="598"/>
      <c r="L542" s="598"/>
      <c r="Q542" s="288">
        <v>46068</v>
      </c>
      <c r="R542" s="276">
        <v>0.83333333333333337</v>
      </c>
      <c r="S542" s="277" t="s">
        <v>289</v>
      </c>
      <c r="T542" s="277" t="s">
        <v>468</v>
      </c>
      <c r="U542" s="278">
        <v>1.5</v>
      </c>
      <c r="V542" s="361" t="str">
        <f t="shared" si="271"/>
        <v>apple</v>
      </c>
      <c r="W542" s="279">
        <f t="shared" si="272"/>
        <v>142.5</v>
      </c>
      <c r="X542" s="279">
        <f t="shared" si="273"/>
        <v>0.75</v>
      </c>
      <c r="Y542" s="279">
        <f t="shared" si="274"/>
        <v>0.44999999999999996</v>
      </c>
      <c r="Z542" s="279">
        <f t="shared" si="275"/>
        <v>37.5</v>
      </c>
      <c r="AA542" s="279">
        <f t="shared" si="276"/>
        <v>6</v>
      </c>
      <c r="AB542" s="584">
        <f t="shared" si="277"/>
        <v>0</v>
      </c>
      <c r="AC542" s="277"/>
    </row>
    <row r="543" spans="5:29">
      <c r="E543" s="598"/>
      <c r="F543" s="699"/>
      <c r="G543" s="700"/>
      <c r="H543" s="598"/>
      <c r="I543" s="598"/>
      <c r="J543" s="598"/>
      <c r="K543" s="598"/>
      <c r="L543" s="598"/>
      <c r="Q543" s="288">
        <v>46068</v>
      </c>
      <c r="R543" s="276">
        <v>0.875</v>
      </c>
      <c r="S543" s="277" t="s">
        <v>289</v>
      </c>
      <c r="T543" s="277" t="s">
        <v>209</v>
      </c>
      <c r="U543" s="278">
        <v>3</v>
      </c>
      <c r="V543" s="361" t="str">
        <f t="shared" si="271"/>
        <v>tbsp</v>
      </c>
      <c r="W543" s="279">
        <f t="shared" si="272"/>
        <v>60</v>
      </c>
      <c r="X543" s="279">
        <f t="shared" si="273"/>
        <v>0</v>
      </c>
      <c r="Y543" s="279">
        <f t="shared" si="274"/>
        <v>0</v>
      </c>
      <c r="Z543" s="279">
        <f t="shared" si="275"/>
        <v>15</v>
      </c>
      <c r="AA543" s="279">
        <f t="shared" si="276"/>
        <v>13.5</v>
      </c>
      <c r="AB543" s="584">
        <f t="shared" si="277"/>
        <v>0</v>
      </c>
      <c r="AC543" s="277"/>
    </row>
    <row r="544" spans="5:29">
      <c r="E544" s="598"/>
      <c r="F544" s="699"/>
      <c r="G544" s="700"/>
      <c r="H544" s="598"/>
      <c r="I544" s="598"/>
      <c r="J544" s="598"/>
      <c r="K544" s="598"/>
      <c r="L544" s="598"/>
      <c r="Q544" s="288">
        <v>46068</v>
      </c>
      <c r="R544" s="276">
        <v>0.875</v>
      </c>
      <c r="S544" s="277" t="s">
        <v>199</v>
      </c>
      <c r="T544" s="277" t="s">
        <v>465</v>
      </c>
      <c r="U544" s="278">
        <v>267</v>
      </c>
      <c r="V544" s="361" t="str">
        <f t="shared" si="271"/>
        <v>g</v>
      </c>
      <c r="W544" s="279">
        <f t="shared" si="272"/>
        <v>480.59999999999997</v>
      </c>
      <c r="X544" s="279">
        <f t="shared" si="273"/>
        <v>58.739999999999995</v>
      </c>
      <c r="Y544" s="279">
        <f t="shared" si="274"/>
        <v>24.03</v>
      </c>
      <c r="Z544" s="279">
        <f t="shared" si="275"/>
        <v>5.34</v>
      </c>
      <c r="AA544" s="279">
        <f t="shared" si="276"/>
        <v>0</v>
      </c>
      <c r="AB544" s="684">
        <f t="shared" si="277"/>
        <v>0</v>
      </c>
      <c r="AC544" s="277"/>
    </row>
    <row r="545" spans="5:29">
      <c r="E545" s="598"/>
      <c r="F545" s="699"/>
      <c r="G545" s="700"/>
      <c r="H545" s="598"/>
      <c r="I545" s="598"/>
      <c r="J545" s="598"/>
      <c r="K545" s="598"/>
      <c r="L545" s="598"/>
      <c r="Q545" s="280"/>
      <c r="R545" s="281" t="s">
        <v>217</v>
      </c>
      <c r="S545" s="294"/>
      <c r="T545" s="282"/>
      <c r="U545" s="282"/>
      <c r="V545" s="364"/>
      <c r="W545" s="283">
        <f t="shared" ref="W545:AB545" si="278">SUM(W534:W544)</f>
        <v>2361.1</v>
      </c>
      <c r="X545" s="283">
        <f t="shared" si="278"/>
        <v>189.49</v>
      </c>
      <c r="Y545" s="283">
        <f t="shared" si="278"/>
        <v>93.460000000000008</v>
      </c>
      <c r="Z545" s="283">
        <f t="shared" si="278"/>
        <v>212.84</v>
      </c>
      <c r="AA545" s="683">
        <f t="shared" si="278"/>
        <v>22.1</v>
      </c>
      <c r="AB545" s="691">
        <f t="shared" si="278"/>
        <v>80</v>
      </c>
      <c r="AC545" s="281"/>
    </row>
    <row r="546" spans="5:29">
      <c r="E546" s="598"/>
      <c r="F546" s="699"/>
      <c r="G546" s="700"/>
      <c r="H546" s="598"/>
      <c r="I546" s="598"/>
      <c r="J546" s="598"/>
      <c r="K546" s="598"/>
      <c r="L546" s="598"/>
      <c r="Q546" s="280"/>
      <c r="R546" s="281" t="s">
        <v>220</v>
      </c>
      <c r="S546" s="294"/>
      <c r="T546" s="282"/>
      <c r="U546" s="282"/>
      <c r="V546" s="364"/>
      <c r="W546" s="284">
        <f>$B$27</f>
        <v>2834.5625</v>
      </c>
      <c r="X546" s="284">
        <f>$B$29</f>
        <v>154</v>
      </c>
      <c r="Y546" s="284">
        <f>$B$30</f>
        <v>63.91</v>
      </c>
      <c r="Z546" s="284">
        <f>$B$31</f>
        <v>410.84312499999999</v>
      </c>
      <c r="AA546" s="690">
        <f>$B$32</f>
        <v>39.683875</v>
      </c>
      <c r="AB546" s="695">
        <f>$B$39</f>
        <v>500</v>
      </c>
      <c r="AC546" s="281"/>
    </row>
    <row r="547" spans="5:29">
      <c r="E547" s="598"/>
      <c r="F547" s="699"/>
      <c r="G547" s="700"/>
      <c r="H547" s="598"/>
      <c r="I547" s="598"/>
      <c r="J547" s="598"/>
      <c r="K547" s="598"/>
      <c r="L547" s="598"/>
      <c r="Q547" s="280"/>
      <c r="R547" s="281" t="s">
        <v>222</v>
      </c>
      <c r="S547" s="294"/>
      <c r="T547" s="282"/>
      <c r="U547" s="282"/>
      <c r="V547" s="364"/>
      <c r="W547" s="284">
        <f t="shared" ref="W547:AB547" si="279">W545-W546</f>
        <v>-473.46250000000009</v>
      </c>
      <c r="X547" s="284">
        <f t="shared" si="279"/>
        <v>35.490000000000009</v>
      </c>
      <c r="Y547" s="284">
        <f t="shared" si="279"/>
        <v>29.550000000000011</v>
      </c>
      <c r="Z547" s="284">
        <f t="shared" si="279"/>
        <v>-198.00312499999998</v>
      </c>
      <c r="AA547" s="690">
        <f t="shared" si="279"/>
        <v>-17.583874999999999</v>
      </c>
      <c r="AB547" s="689">
        <f t="shared" si="279"/>
        <v>-420</v>
      </c>
      <c r="AC547" s="281"/>
    </row>
    <row r="548" spans="5:29">
      <c r="E548" s="598"/>
      <c r="F548" s="699"/>
      <c r="G548" s="700"/>
      <c r="H548" s="598"/>
      <c r="I548" s="598"/>
      <c r="J548" s="598"/>
      <c r="K548" s="598"/>
      <c r="L548" s="598"/>
      <c r="Q548" s="288">
        <v>46069</v>
      </c>
      <c r="R548" s="276">
        <v>0.33333333333333298</v>
      </c>
      <c r="S548" s="277" t="s">
        <v>178</v>
      </c>
      <c r="T548" s="277" t="s">
        <v>295</v>
      </c>
      <c r="U548" s="278">
        <v>1</v>
      </c>
      <c r="V548" s="361" t="str">
        <f t="shared" ref="V548:V560" si="280">IFERROR(VLOOKUP(T548, $E$5:$L$818, 3, FALSE), "")</f>
        <v>bottle</v>
      </c>
      <c r="W548" s="279">
        <f t="shared" ref="W548:W560" si="281">IFERROR(VLOOKUP(T548, $E$5:$L$818, 4, FALSE) * (U548 / VLOOKUP(T548, $E$5:$L$818, 2, FALSE)), "")</f>
        <v>200</v>
      </c>
      <c r="X548" s="279">
        <f t="shared" ref="X548:X560" si="282">IFERROR(VLOOKUP(T548, $E$5:$L$818, 5, FALSE) * (U548 / VLOOKUP(T548, $E$5:$L$818, 2, FALSE)), "")</f>
        <v>35</v>
      </c>
      <c r="Y548" s="279">
        <f t="shared" ref="Y548:Y560" si="283">IFERROR(VLOOKUP(T548, $E$5:$L$818, 6, FALSE) * (U548 / VLOOKUP(T548, $E$5:$L$818, 2, FALSE)), "")</f>
        <v>2.5</v>
      </c>
      <c r="Z548" s="279">
        <f t="shared" ref="Z548:Z560" si="284">IFERROR(VLOOKUP(T548, $E$5:$L$818, 7, FALSE) * (U548 / VLOOKUP(T548, $E$5:$L$818, 2, FALSE)), "")</f>
        <v>9</v>
      </c>
      <c r="AA548" s="279">
        <f t="shared" ref="AA548:AA560" si="285">IFERROR(VLOOKUP(T548, $E$5:$L$818, 8, FALSE) * (U548 / VLOOKUP(T548, $E$5:$L$818, 2, FALSE)), "")</f>
        <v>0</v>
      </c>
      <c r="AB548" s="674">
        <f t="shared" ref="AB548:AB560" si="286">IFERROR(VLOOKUP(T548, $E$5:$O$818, 9, FALSE) * (U548 / VLOOKUP(T548, $E$5:$O$818, 2, FALSE)), "")</f>
        <v>0</v>
      </c>
      <c r="AC548" s="277"/>
    </row>
    <row r="549" spans="5:29">
      <c r="E549" s="598"/>
      <c r="F549" s="699"/>
      <c r="G549" s="700"/>
      <c r="H549" s="598"/>
      <c r="I549" s="598"/>
      <c r="J549" s="598"/>
      <c r="K549" s="598"/>
      <c r="L549" s="598"/>
      <c r="Q549" s="288">
        <v>46069</v>
      </c>
      <c r="R549" s="276">
        <v>0.33333333333333298</v>
      </c>
      <c r="S549" s="277" t="s">
        <v>178</v>
      </c>
      <c r="T549" s="277" t="s">
        <v>495</v>
      </c>
      <c r="U549" s="278">
        <v>1</v>
      </c>
      <c r="V549" s="361" t="str">
        <f t="shared" si="280"/>
        <v>can</v>
      </c>
      <c r="W549" s="279">
        <f t="shared" si="281"/>
        <v>160</v>
      </c>
      <c r="X549" s="279">
        <f t="shared" si="282"/>
        <v>10</v>
      </c>
      <c r="Y549" s="279">
        <f t="shared" si="283"/>
        <v>10</v>
      </c>
      <c r="Z549" s="279">
        <f t="shared" si="284"/>
        <v>6</v>
      </c>
      <c r="AA549" s="279">
        <f t="shared" si="285"/>
        <v>0</v>
      </c>
      <c r="AB549" s="584">
        <f t="shared" si="286"/>
        <v>150</v>
      </c>
      <c r="AC549" s="277"/>
    </row>
    <row r="550" spans="5:29">
      <c r="E550" s="598"/>
      <c r="F550" s="699"/>
      <c r="G550" s="700"/>
      <c r="H550" s="598"/>
      <c r="I550" s="598"/>
      <c r="J550" s="598"/>
      <c r="K550" s="598"/>
      <c r="L550" s="598"/>
      <c r="Q550" s="288">
        <v>46069</v>
      </c>
      <c r="R550" s="276">
        <v>0.33333333333333298</v>
      </c>
      <c r="S550" s="277" t="s">
        <v>178</v>
      </c>
      <c r="T550" s="277" t="s">
        <v>496</v>
      </c>
      <c r="U550" s="278">
        <v>6</v>
      </c>
      <c r="V550" s="361" t="str">
        <f t="shared" si="280"/>
        <v>pieces</v>
      </c>
      <c r="W550" s="279">
        <f t="shared" si="281"/>
        <v>96</v>
      </c>
      <c r="X550" s="279">
        <f t="shared" si="282"/>
        <v>1</v>
      </c>
      <c r="Y550" s="279">
        <f t="shared" si="283"/>
        <v>4.5</v>
      </c>
      <c r="Z550" s="279">
        <f t="shared" si="284"/>
        <v>12</v>
      </c>
      <c r="AA550" s="279">
        <f t="shared" si="285"/>
        <v>0</v>
      </c>
      <c r="AB550" s="584">
        <f t="shared" si="286"/>
        <v>0</v>
      </c>
      <c r="AC550" s="277"/>
    </row>
    <row r="551" spans="5:29">
      <c r="E551" s="598"/>
      <c r="F551" s="699"/>
      <c r="G551" s="700"/>
      <c r="H551" s="598"/>
      <c r="I551" s="598"/>
      <c r="J551" s="598"/>
      <c r="K551" s="598"/>
      <c r="L551" s="598"/>
      <c r="Q551" s="288">
        <v>46069</v>
      </c>
      <c r="R551" s="276">
        <v>0.54166666666666696</v>
      </c>
      <c r="S551" s="277" t="s">
        <v>185</v>
      </c>
      <c r="T551" s="277" t="s">
        <v>812</v>
      </c>
      <c r="U551" s="278">
        <v>1</v>
      </c>
      <c r="V551" s="361" t="str">
        <f t="shared" si="280"/>
        <v>sandwich</v>
      </c>
      <c r="W551" s="279">
        <f t="shared" si="281"/>
        <v>430</v>
      </c>
      <c r="X551" s="279">
        <f t="shared" si="282"/>
        <v>26</v>
      </c>
      <c r="Y551" s="279">
        <f t="shared" si="283"/>
        <v>20</v>
      </c>
      <c r="Z551" s="279">
        <f t="shared" si="284"/>
        <v>34</v>
      </c>
      <c r="AA551" s="279">
        <f t="shared" si="285"/>
        <v>4</v>
      </c>
      <c r="AB551" s="584">
        <f t="shared" si="286"/>
        <v>0</v>
      </c>
      <c r="AC551" s="277"/>
    </row>
    <row r="552" spans="5:29">
      <c r="E552" s="598"/>
      <c r="F552" s="699"/>
      <c r="G552" s="700"/>
      <c r="H552" s="598"/>
      <c r="I552" s="598"/>
      <c r="J552" s="598"/>
      <c r="K552" s="598"/>
      <c r="L552" s="598"/>
      <c r="Q552" s="288">
        <v>46069</v>
      </c>
      <c r="R552" s="276">
        <v>0.54166666666666696</v>
      </c>
      <c r="S552" s="277" t="s">
        <v>289</v>
      </c>
      <c r="T552" s="277" t="s">
        <v>190</v>
      </c>
      <c r="U552" s="278">
        <v>4</v>
      </c>
      <c r="V552" s="361" t="str">
        <f t="shared" si="280"/>
        <v>medium</v>
      </c>
      <c r="W552" s="279">
        <f t="shared" si="281"/>
        <v>248</v>
      </c>
      <c r="X552" s="279">
        <f t="shared" si="282"/>
        <v>4.8</v>
      </c>
      <c r="Y552" s="279">
        <f t="shared" si="283"/>
        <v>0.8</v>
      </c>
      <c r="Z552" s="279">
        <f t="shared" si="284"/>
        <v>61.6</v>
      </c>
      <c r="AA552" s="279">
        <f t="shared" si="285"/>
        <v>12.4</v>
      </c>
      <c r="AB552" s="584">
        <f t="shared" si="286"/>
        <v>0</v>
      </c>
      <c r="AC552" s="277"/>
    </row>
    <row r="553" spans="5:29">
      <c r="E553" s="598"/>
      <c r="F553" s="699"/>
      <c r="G553" s="700"/>
      <c r="H553" s="598"/>
      <c r="I553" s="598"/>
      <c r="J553" s="598"/>
      <c r="K553" s="598"/>
      <c r="L553" s="598"/>
      <c r="Q553" s="288">
        <v>46069</v>
      </c>
      <c r="R553" s="276">
        <v>0.54166666666666696</v>
      </c>
      <c r="S553" s="277" t="s">
        <v>289</v>
      </c>
      <c r="T553" s="277" t="s">
        <v>483</v>
      </c>
      <c r="U553" s="278">
        <v>4</v>
      </c>
      <c r="V553" s="361" t="str">
        <f t="shared" si="280"/>
        <v>piece</v>
      </c>
      <c r="W553" s="279">
        <f t="shared" si="281"/>
        <v>800</v>
      </c>
      <c r="X553" s="279">
        <f t="shared" si="282"/>
        <v>12</v>
      </c>
      <c r="Y553" s="279">
        <f t="shared" si="283"/>
        <v>20</v>
      </c>
      <c r="Z553" s="279">
        <f t="shared" si="284"/>
        <v>152</v>
      </c>
      <c r="AA553" s="279">
        <f t="shared" si="285"/>
        <v>4</v>
      </c>
      <c r="AB553" s="584">
        <f t="shared" si="286"/>
        <v>0</v>
      </c>
      <c r="AC553" s="277"/>
    </row>
    <row r="554" spans="5:29">
      <c r="E554" s="598"/>
      <c r="F554" s="699"/>
      <c r="G554" s="700"/>
      <c r="H554" s="598"/>
      <c r="I554" s="598"/>
      <c r="J554" s="598"/>
      <c r="K554" s="598"/>
      <c r="L554" s="598"/>
      <c r="Q554" s="288">
        <v>46069</v>
      </c>
      <c r="R554" s="276">
        <v>0.83333333333333304</v>
      </c>
      <c r="S554" s="277" t="s">
        <v>199</v>
      </c>
      <c r="T554" s="277" t="s">
        <v>816</v>
      </c>
      <c r="U554" s="278">
        <v>144</v>
      </c>
      <c r="V554" s="361" t="str">
        <f t="shared" si="280"/>
        <v>g</v>
      </c>
      <c r="W554" s="279">
        <f t="shared" si="281"/>
        <v>312.47999999999996</v>
      </c>
      <c r="X554" s="279">
        <f t="shared" si="282"/>
        <v>37.44</v>
      </c>
      <c r="Y554" s="279">
        <f t="shared" si="283"/>
        <v>17.28</v>
      </c>
      <c r="Z554" s="279">
        <f t="shared" si="284"/>
        <v>0</v>
      </c>
      <c r="AA554" s="279">
        <f t="shared" si="285"/>
        <v>0</v>
      </c>
      <c r="AB554" s="584">
        <f t="shared" si="286"/>
        <v>0</v>
      </c>
      <c r="AC554" s="277"/>
    </row>
    <row r="555" spans="5:29">
      <c r="E555" s="598"/>
      <c r="F555" s="699"/>
      <c r="G555" s="700"/>
      <c r="H555" s="598"/>
      <c r="I555" s="598"/>
      <c r="J555" s="598"/>
      <c r="K555" s="598"/>
      <c r="L555" s="598"/>
      <c r="Q555" s="288">
        <v>46069</v>
      </c>
      <c r="R555" s="276">
        <v>0.83333333333333304</v>
      </c>
      <c r="S555" s="277" t="s">
        <v>199</v>
      </c>
      <c r="T555" s="277" t="s">
        <v>465</v>
      </c>
      <c r="U555" s="278">
        <v>211</v>
      </c>
      <c r="V555" s="361" t="str">
        <f t="shared" si="280"/>
        <v>g</v>
      </c>
      <c r="W555" s="279">
        <f t="shared" si="281"/>
        <v>379.79999999999995</v>
      </c>
      <c r="X555" s="279">
        <f t="shared" si="282"/>
        <v>46.419999999999995</v>
      </c>
      <c r="Y555" s="279">
        <f t="shared" si="283"/>
        <v>18.989999999999998</v>
      </c>
      <c r="Z555" s="279">
        <f t="shared" si="284"/>
        <v>4.22</v>
      </c>
      <c r="AA555" s="279">
        <f t="shared" si="285"/>
        <v>0</v>
      </c>
      <c r="AB555" s="584">
        <f t="shared" si="286"/>
        <v>0</v>
      </c>
      <c r="AC555" s="277"/>
    </row>
    <row r="556" spans="5:29">
      <c r="E556" s="598"/>
      <c r="F556" s="699"/>
      <c r="G556" s="700"/>
      <c r="H556" s="598"/>
      <c r="I556" s="598"/>
      <c r="J556" s="598"/>
      <c r="K556" s="598"/>
      <c r="L556" s="598"/>
      <c r="Q556" s="288">
        <v>46069</v>
      </c>
      <c r="R556" s="276">
        <v>0.83333333333333304</v>
      </c>
      <c r="S556" s="277" t="s">
        <v>199</v>
      </c>
      <c r="T556" s="277" t="s">
        <v>180</v>
      </c>
      <c r="U556" s="278">
        <v>250</v>
      </c>
      <c r="V556" s="361" t="str">
        <f t="shared" si="280"/>
        <v>g</v>
      </c>
      <c r="W556" s="279">
        <f t="shared" si="281"/>
        <v>325</v>
      </c>
      <c r="X556" s="279">
        <f t="shared" si="282"/>
        <v>6.75</v>
      </c>
      <c r="Y556" s="279">
        <f t="shared" si="283"/>
        <v>0.75</v>
      </c>
      <c r="Z556" s="279">
        <f t="shared" si="284"/>
        <v>70</v>
      </c>
      <c r="AA556" s="279">
        <f t="shared" si="285"/>
        <v>1</v>
      </c>
      <c r="AB556" s="584">
        <f t="shared" si="286"/>
        <v>0</v>
      </c>
      <c r="AC556" s="277"/>
    </row>
    <row r="557" spans="5:29">
      <c r="E557" s="598"/>
      <c r="F557" s="699"/>
      <c r="G557" s="700"/>
      <c r="H557" s="598"/>
      <c r="I557" s="598"/>
      <c r="J557" s="598"/>
      <c r="K557" s="598"/>
      <c r="L557" s="598"/>
      <c r="Q557" s="288">
        <v>46069</v>
      </c>
      <c r="R557" s="276">
        <v>0.83333333333333304</v>
      </c>
      <c r="S557" s="277" t="s">
        <v>289</v>
      </c>
      <c r="T557" s="277" t="s">
        <v>219</v>
      </c>
      <c r="U557" s="278">
        <v>1</v>
      </c>
      <c r="V557" s="361" t="str">
        <f t="shared" si="280"/>
        <v>bottle</v>
      </c>
      <c r="W557" s="279">
        <f t="shared" si="281"/>
        <v>0</v>
      </c>
      <c r="X557" s="279">
        <f t="shared" si="282"/>
        <v>0</v>
      </c>
      <c r="Y557" s="279">
        <f t="shared" si="283"/>
        <v>0</v>
      </c>
      <c r="Z557" s="279">
        <f t="shared" si="284"/>
        <v>0</v>
      </c>
      <c r="AA557" s="279">
        <f t="shared" si="285"/>
        <v>0</v>
      </c>
      <c r="AB557" s="584">
        <f t="shared" si="286"/>
        <v>0</v>
      </c>
      <c r="AC557" s="277"/>
    </row>
    <row r="558" spans="5:29">
      <c r="E558" s="598"/>
      <c r="F558" s="699"/>
      <c r="G558" s="700"/>
      <c r="H558" s="598"/>
      <c r="I558" s="598"/>
      <c r="J558" s="598"/>
      <c r="K558" s="598"/>
      <c r="L558" s="598"/>
      <c r="Q558" s="288">
        <v>46069</v>
      </c>
      <c r="R558" s="276">
        <v>0.83333333333333304</v>
      </c>
      <c r="S558" s="277" t="s">
        <v>199</v>
      </c>
      <c r="T558" s="277" t="s">
        <v>499</v>
      </c>
      <c r="U558" s="278">
        <v>0.5</v>
      </c>
      <c r="V558" s="361" t="str">
        <f t="shared" si="280"/>
        <v>chicken</v>
      </c>
      <c r="W558" s="279">
        <f t="shared" si="281"/>
        <v>700</v>
      </c>
      <c r="X558" s="279">
        <f t="shared" si="282"/>
        <v>70</v>
      </c>
      <c r="Y558" s="279">
        <f t="shared" si="283"/>
        <v>45</v>
      </c>
      <c r="Z558" s="279">
        <f t="shared" si="284"/>
        <v>0</v>
      </c>
      <c r="AA558" s="279">
        <f t="shared" si="285"/>
        <v>0</v>
      </c>
      <c r="AB558" s="584">
        <f t="shared" si="286"/>
        <v>0</v>
      </c>
      <c r="AC558" s="277"/>
    </row>
    <row r="559" spans="5:29">
      <c r="E559" s="598"/>
      <c r="F559" s="699"/>
      <c r="G559" s="700"/>
      <c r="H559" s="598"/>
      <c r="I559" s="598"/>
      <c r="J559" s="598"/>
      <c r="K559" s="598"/>
      <c r="L559" s="598"/>
      <c r="Q559" s="288">
        <v>46069</v>
      </c>
      <c r="R559" s="276">
        <v>0.83333333333333304</v>
      </c>
      <c r="S559" s="277" t="s">
        <v>199</v>
      </c>
      <c r="T559" s="277" t="s">
        <v>753</v>
      </c>
      <c r="U559" s="278">
        <v>168</v>
      </c>
      <c r="V559" s="361" t="str">
        <f t="shared" si="280"/>
        <v>g</v>
      </c>
      <c r="W559" s="279">
        <f t="shared" si="281"/>
        <v>218.4</v>
      </c>
      <c r="X559" s="279">
        <f t="shared" si="282"/>
        <v>1.68</v>
      </c>
      <c r="Y559" s="279">
        <f t="shared" si="283"/>
        <v>0</v>
      </c>
      <c r="Z559" s="279">
        <f t="shared" si="284"/>
        <v>52.08</v>
      </c>
      <c r="AA559" s="279">
        <f t="shared" si="285"/>
        <v>5.04</v>
      </c>
      <c r="AB559" s="584">
        <f t="shared" si="286"/>
        <v>0</v>
      </c>
      <c r="AC559" s="277"/>
    </row>
    <row r="560" spans="5:29">
      <c r="E560" s="598"/>
      <c r="F560" s="699"/>
      <c r="G560" s="700"/>
      <c r="H560" s="598"/>
      <c r="I560" s="598"/>
      <c r="J560" s="598"/>
      <c r="K560" s="598"/>
      <c r="L560" s="598"/>
      <c r="Q560" s="288">
        <v>46069</v>
      </c>
      <c r="R560" s="276">
        <v>0.83333333333333304</v>
      </c>
      <c r="S560" s="277" t="s">
        <v>199</v>
      </c>
      <c r="T560" s="277" t="s">
        <v>209</v>
      </c>
      <c r="U560" s="278">
        <v>3</v>
      </c>
      <c r="V560" s="361" t="str">
        <f t="shared" si="280"/>
        <v>tbsp</v>
      </c>
      <c r="W560" s="279">
        <f t="shared" si="281"/>
        <v>60</v>
      </c>
      <c r="X560" s="279">
        <f t="shared" si="282"/>
        <v>0</v>
      </c>
      <c r="Y560" s="279">
        <f t="shared" si="283"/>
        <v>0</v>
      </c>
      <c r="Z560" s="279">
        <f t="shared" si="284"/>
        <v>15</v>
      </c>
      <c r="AA560" s="279">
        <f t="shared" si="285"/>
        <v>13.5</v>
      </c>
      <c r="AB560" s="684">
        <f t="shared" si="286"/>
        <v>0</v>
      </c>
      <c r="AC560" s="277"/>
    </row>
    <row r="561" spans="5:29">
      <c r="E561" s="598"/>
      <c r="F561" s="699"/>
      <c r="G561" s="700"/>
      <c r="H561" s="598"/>
      <c r="I561" s="598"/>
      <c r="J561" s="598"/>
      <c r="K561" s="598"/>
      <c r="L561" s="598"/>
      <c r="Q561" s="280"/>
      <c r="R561" s="281" t="s">
        <v>217</v>
      </c>
      <c r="S561" s="294"/>
      <c r="T561" s="282"/>
      <c r="U561" s="282"/>
      <c r="V561" s="364"/>
      <c r="W561" s="283">
        <f t="shared" ref="W561:AB561" si="287">SUM(W548:W560)</f>
        <v>3929.68</v>
      </c>
      <c r="X561" s="283">
        <f t="shared" si="287"/>
        <v>251.09</v>
      </c>
      <c r="Y561" s="283">
        <f t="shared" si="287"/>
        <v>139.82</v>
      </c>
      <c r="Z561" s="283">
        <f t="shared" si="287"/>
        <v>415.90000000000003</v>
      </c>
      <c r="AA561" s="683">
        <f t="shared" si="287"/>
        <v>39.94</v>
      </c>
      <c r="AB561" s="691">
        <f t="shared" si="287"/>
        <v>150</v>
      </c>
      <c r="AC561" s="281"/>
    </row>
    <row r="562" spans="5:29">
      <c r="E562" s="598"/>
      <c r="F562" s="699"/>
      <c r="G562" s="700"/>
      <c r="H562" s="598"/>
      <c r="I562" s="598"/>
      <c r="J562" s="598"/>
      <c r="K562" s="598"/>
      <c r="L562" s="598"/>
      <c r="Q562" s="280"/>
      <c r="R562" s="281" t="s">
        <v>220</v>
      </c>
      <c r="S562" s="294"/>
      <c r="T562" s="282"/>
      <c r="U562" s="282"/>
      <c r="V562" s="364"/>
      <c r="W562" s="284">
        <f>$B$27</f>
        <v>2834.5625</v>
      </c>
      <c r="X562" s="284">
        <f>$B$29</f>
        <v>154</v>
      </c>
      <c r="Y562" s="284">
        <f>$B$30</f>
        <v>63.91</v>
      </c>
      <c r="Z562" s="284">
        <f>$B$31</f>
        <v>410.84312499999999</v>
      </c>
      <c r="AA562" s="690">
        <f>$B$32</f>
        <v>39.683875</v>
      </c>
      <c r="AB562" s="695">
        <f>$B$39</f>
        <v>500</v>
      </c>
      <c r="AC562" s="281"/>
    </row>
    <row r="563" spans="5:29">
      <c r="E563" s="598"/>
      <c r="F563" s="699"/>
      <c r="G563" s="700"/>
      <c r="H563" s="598"/>
      <c r="I563" s="598"/>
      <c r="J563" s="598"/>
      <c r="K563" s="598"/>
      <c r="L563" s="598"/>
      <c r="Q563" s="280"/>
      <c r="R563" s="281" t="s">
        <v>222</v>
      </c>
      <c r="S563" s="294"/>
      <c r="T563" s="282"/>
      <c r="U563" s="282"/>
      <c r="V563" s="364"/>
      <c r="W563" s="284">
        <f t="shared" ref="W563:AB563" si="288">W561-W562</f>
        <v>1095.1174999999998</v>
      </c>
      <c r="X563" s="284">
        <f t="shared" si="288"/>
        <v>97.09</v>
      </c>
      <c r="Y563" s="284">
        <f t="shared" si="288"/>
        <v>75.91</v>
      </c>
      <c r="Z563" s="284">
        <f t="shared" si="288"/>
        <v>5.0568750000000477</v>
      </c>
      <c r="AA563" s="690">
        <f t="shared" si="288"/>
        <v>0.25612499999999727</v>
      </c>
      <c r="AB563" s="689">
        <f t="shared" si="288"/>
        <v>-350</v>
      </c>
      <c r="AC563" s="281"/>
    </row>
    <row r="564" spans="5:29">
      <c r="E564" s="598"/>
      <c r="F564" s="699"/>
      <c r="G564" s="700"/>
      <c r="H564" s="598"/>
      <c r="I564" s="598"/>
      <c r="J564" s="598"/>
      <c r="K564" s="598"/>
      <c r="L564" s="598"/>
      <c r="Q564" s="288">
        <v>46070</v>
      </c>
      <c r="R564" s="276">
        <v>0.33333333333333331</v>
      </c>
      <c r="S564" s="277" t="s">
        <v>178</v>
      </c>
      <c r="T564" s="277" t="s">
        <v>753</v>
      </c>
      <c r="U564" s="278">
        <v>222</v>
      </c>
      <c r="V564" s="361" t="str">
        <f t="shared" ref="V564:V579" si="289">IFERROR(VLOOKUP(T564, $E$5:$L$818, 3, FALSE), "")</f>
        <v>g</v>
      </c>
      <c r="W564" s="279">
        <f t="shared" ref="W564:W579" si="290">IFERROR(VLOOKUP(T564, $E$5:$L$818, 4, FALSE) * (U564 / VLOOKUP(T564, $E$5:$L$818, 2, FALSE)), "")</f>
        <v>288.60000000000002</v>
      </c>
      <c r="X564" s="279">
        <f t="shared" ref="X564:X579" si="291">IFERROR(VLOOKUP(T564, $E$5:$L$818, 5, FALSE) * (U564 / VLOOKUP(T564, $E$5:$L$818, 2, FALSE)), "")</f>
        <v>2.2200000000000002</v>
      </c>
      <c r="Y564" s="279">
        <f t="shared" ref="Y564:Y579" si="292">IFERROR(VLOOKUP(T564, $E$5:$L$818, 6, FALSE) * (U564 / VLOOKUP(T564, $E$5:$L$818, 2, FALSE)), "")</f>
        <v>0</v>
      </c>
      <c r="Z564" s="279">
        <f t="shared" ref="Z564:Z579" si="293">IFERROR(VLOOKUP(T564, $E$5:$L$818, 7, FALSE) * (U564 / VLOOKUP(T564, $E$5:$L$818, 2, FALSE)), "")</f>
        <v>68.820000000000007</v>
      </c>
      <c r="AA564" s="279">
        <f t="shared" ref="AA564:AA579" si="294">IFERROR(VLOOKUP(T564, $E$5:$L$818, 8, FALSE) * (U564 / VLOOKUP(T564, $E$5:$L$818, 2, FALSE)), "")</f>
        <v>6.66</v>
      </c>
      <c r="AB564" s="674">
        <f t="shared" ref="AB564:AB579" si="295">IFERROR(VLOOKUP(T564, $E$5:$O$818, 9, FALSE) * (U564 / VLOOKUP(T564, $E$5:$O$818, 2, FALSE)), "")</f>
        <v>0</v>
      </c>
      <c r="AC564" s="277"/>
    </row>
    <row r="565" spans="5:29">
      <c r="E565" s="598"/>
      <c r="F565" s="699"/>
      <c r="G565" s="700"/>
      <c r="H565" s="598"/>
      <c r="I565" s="598"/>
      <c r="J565" s="598"/>
      <c r="K565" s="598"/>
      <c r="L565" s="598"/>
      <c r="Q565" s="288">
        <v>46070</v>
      </c>
      <c r="R565" s="276">
        <v>0.375</v>
      </c>
      <c r="S565" s="277" t="s">
        <v>178</v>
      </c>
      <c r="T565" s="277" t="s">
        <v>295</v>
      </c>
      <c r="U565" s="278">
        <v>1</v>
      </c>
      <c r="V565" s="361" t="str">
        <f t="shared" si="289"/>
        <v>bottle</v>
      </c>
      <c r="W565" s="279">
        <f t="shared" si="290"/>
        <v>200</v>
      </c>
      <c r="X565" s="279">
        <f t="shared" si="291"/>
        <v>35</v>
      </c>
      <c r="Y565" s="279">
        <f t="shared" si="292"/>
        <v>2.5</v>
      </c>
      <c r="Z565" s="279">
        <f t="shared" si="293"/>
        <v>9</v>
      </c>
      <c r="AA565" s="279">
        <f t="shared" si="294"/>
        <v>0</v>
      </c>
      <c r="AB565" s="584">
        <f t="shared" si="295"/>
        <v>0</v>
      </c>
      <c r="AC565" s="277"/>
    </row>
    <row r="566" spans="5:29">
      <c r="E566" s="598"/>
      <c r="F566" s="699"/>
      <c r="G566" s="700"/>
      <c r="H566" s="598"/>
      <c r="I566" s="598"/>
      <c r="J566" s="598"/>
      <c r="K566" s="598"/>
      <c r="L566" s="598"/>
      <c r="Q566" s="288">
        <v>46070</v>
      </c>
      <c r="R566" s="276">
        <v>0.5</v>
      </c>
      <c r="S566" s="277" t="s">
        <v>289</v>
      </c>
      <c r="T566" s="277" t="s">
        <v>190</v>
      </c>
      <c r="U566" s="278">
        <v>4</v>
      </c>
      <c r="V566" s="361" t="str">
        <f t="shared" si="289"/>
        <v>medium</v>
      </c>
      <c r="W566" s="279">
        <f t="shared" si="290"/>
        <v>248</v>
      </c>
      <c r="X566" s="279">
        <f t="shared" si="291"/>
        <v>4.8</v>
      </c>
      <c r="Y566" s="279">
        <f t="shared" si="292"/>
        <v>0.8</v>
      </c>
      <c r="Z566" s="279">
        <f t="shared" si="293"/>
        <v>61.6</v>
      </c>
      <c r="AA566" s="279">
        <f t="shared" si="294"/>
        <v>12.4</v>
      </c>
      <c r="AB566" s="584">
        <f t="shared" si="295"/>
        <v>0</v>
      </c>
      <c r="AC566" s="277"/>
    </row>
    <row r="567" spans="5:29">
      <c r="E567" s="598"/>
      <c r="F567" s="699"/>
      <c r="G567" s="700"/>
      <c r="H567" s="598"/>
      <c r="I567" s="598"/>
      <c r="J567" s="598"/>
      <c r="K567" s="598"/>
      <c r="L567" s="598"/>
      <c r="Q567" s="288">
        <v>46070</v>
      </c>
      <c r="R567" s="276">
        <v>0.5</v>
      </c>
      <c r="S567" s="277" t="s">
        <v>289</v>
      </c>
      <c r="T567" s="277" t="s">
        <v>449</v>
      </c>
      <c r="U567" s="278">
        <v>1</v>
      </c>
      <c r="V567" s="361" t="str">
        <f t="shared" si="289"/>
        <v>bag</v>
      </c>
      <c r="W567" s="279">
        <f t="shared" si="290"/>
        <v>70</v>
      </c>
      <c r="X567" s="279">
        <f t="shared" si="291"/>
        <v>1</v>
      </c>
      <c r="Y567" s="279">
        <f t="shared" si="292"/>
        <v>0</v>
      </c>
      <c r="Z567" s="279">
        <f t="shared" si="293"/>
        <v>17</v>
      </c>
      <c r="AA567" s="279">
        <f t="shared" si="294"/>
        <v>0</v>
      </c>
      <c r="AB567" s="584">
        <f t="shared" si="295"/>
        <v>0</v>
      </c>
      <c r="AC567" s="277"/>
    </row>
    <row r="568" spans="5:29">
      <c r="E568" s="598"/>
      <c r="F568" s="699"/>
      <c r="G568" s="700"/>
      <c r="H568" s="598"/>
      <c r="I568" s="598"/>
      <c r="J568" s="598"/>
      <c r="K568" s="598"/>
      <c r="L568" s="598"/>
      <c r="Q568" s="288">
        <v>46070</v>
      </c>
      <c r="R568" s="276">
        <v>0.54166666666666663</v>
      </c>
      <c r="S568" s="277" t="s">
        <v>185</v>
      </c>
      <c r="T568" s="277" t="s">
        <v>176</v>
      </c>
      <c r="U568" s="278">
        <v>50</v>
      </c>
      <c r="V568" s="361" t="str">
        <f t="shared" si="289"/>
        <v>g</v>
      </c>
      <c r="W568" s="279">
        <f t="shared" si="290"/>
        <v>82.5</v>
      </c>
      <c r="X568" s="279">
        <f t="shared" si="291"/>
        <v>12.5</v>
      </c>
      <c r="Y568" s="279">
        <f t="shared" si="292"/>
        <v>1.8</v>
      </c>
      <c r="Z568" s="279">
        <f t="shared" si="293"/>
        <v>0</v>
      </c>
      <c r="AA568" s="279">
        <f t="shared" si="294"/>
        <v>0</v>
      </c>
      <c r="AB568" s="584">
        <f t="shared" si="295"/>
        <v>0</v>
      </c>
      <c r="AC568" s="277"/>
    </row>
    <row r="569" spans="5:29">
      <c r="E569" s="598"/>
      <c r="F569" s="699"/>
      <c r="G569" s="700"/>
      <c r="H569" s="598"/>
      <c r="I569" s="598"/>
      <c r="J569" s="598"/>
      <c r="K569" s="598"/>
      <c r="L569" s="598"/>
      <c r="Q569" s="288">
        <v>46070</v>
      </c>
      <c r="R569" s="276">
        <v>0.54166666666666663</v>
      </c>
      <c r="S569" s="277" t="s">
        <v>185</v>
      </c>
      <c r="T569" s="277" t="s">
        <v>753</v>
      </c>
      <c r="U569" s="278">
        <v>173</v>
      </c>
      <c r="V569" s="361" t="str">
        <f t="shared" si="289"/>
        <v>g</v>
      </c>
      <c r="W569" s="279">
        <f t="shared" si="290"/>
        <v>224.9</v>
      </c>
      <c r="X569" s="279">
        <f t="shared" si="291"/>
        <v>1.73</v>
      </c>
      <c r="Y569" s="279">
        <f t="shared" si="292"/>
        <v>0</v>
      </c>
      <c r="Z569" s="279">
        <f t="shared" si="293"/>
        <v>53.63</v>
      </c>
      <c r="AA569" s="279">
        <f t="shared" si="294"/>
        <v>5.1899999999999995</v>
      </c>
      <c r="AB569" s="584">
        <f t="shared" si="295"/>
        <v>0</v>
      </c>
      <c r="AC569" s="277"/>
    </row>
    <row r="570" spans="5:29">
      <c r="E570" s="598"/>
      <c r="F570" s="699"/>
      <c r="G570" s="700"/>
      <c r="H570" s="598"/>
      <c r="I570" s="598"/>
      <c r="J570" s="598"/>
      <c r="K570" s="598"/>
      <c r="L570" s="598"/>
      <c r="Q570" s="288">
        <v>46070</v>
      </c>
      <c r="R570" s="276">
        <v>0.54166666666666663</v>
      </c>
      <c r="S570" s="277" t="s">
        <v>185</v>
      </c>
      <c r="T570" s="277" t="s">
        <v>499</v>
      </c>
      <c r="U570" s="278">
        <v>0.5</v>
      </c>
      <c r="V570" s="361" t="str">
        <f t="shared" si="289"/>
        <v>chicken</v>
      </c>
      <c r="W570" s="279">
        <f t="shared" si="290"/>
        <v>700</v>
      </c>
      <c r="X570" s="279">
        <f t="shared" si="291"/>
        <v>70</v>
      </c>
      <c r="Y570" s="279">
        <f t="shared" si="292"/>
        <v>45</v>
      </c>
      <c r="Z570" s="279">
        <f t="shared" si="293"/>
        <v>0</v>
      </c>
      <c r="AA570" s="279">
        <f t="shared" si="294"/>
        <v>0</v>
      </c>
      <c r="AB570" s="584">
        <f t="shared" si="295"/>
        <v>0</v>
      </c>
      <c r="AC570" s="277"/>
    </row>
    <row r="571" spans="5:29">
      <c r="E571" s="598"/>
      <c r="F571" s="699"/>
      <c r="G571" s="700"/>
      <c r="H571" s="598"/>
      <c r="I571" s="598"/>
      <c r="J571" s="598"/>
      <c r="K571" s="598"/>
      <c r="L571" s="598"/>
      <c r="Q571" s="288">
        <v>46070</v>
      </c>
      <c r="R571" s="276">
        <v>0.54166666666666663</v>
      </c>
      <c r="S571" s="277" t="s">
        <v>185</v>
      </c>
      <c r="T571" s="277" t="s">
        <v>180</v>
      </c>
      <c r="U571" s="278">
        <v>50</v>
      </c>
      <c r="V571" s="361" t="str">
        <f t="shared" si="289"/>
        <v>g</v>
      </c>
      <c r="W571" s="279">
        <f t="shared" si="290"/>
        <v>65</v>
      </c>
      <c r="X571" s="279">
        <f t="shared" si="291"/>
        <v>1.35</v>
      </c>
      <c r="Y571" s="279">
        <f t="shared" si="292"/>
        <v>0.15</v>
      </c>
      <c r="Z571" s="279">
        <f t="shared" si="293"/>
        <v>14</v>
      </c>
      <c r="AA571" s="279">
        <f t="shared" si="294"/>
        <v>0.2</v>
      </c>
      <c r="AB571" s="584">
        <f t="shared" si="295"/>
        <v>0</v>
      </c>
      <c r="AC571" s="277"/>
    </row>
    <row r="572" spans="5:29">
      <c r="E572" s="598"/>
      <c r="F572" s="699"/>
      <c r="G572" s="700"/>
      <c r="H572" s="598"/>
      <c r="I572" s="598"/>
      <c r="J572" s="598"/>
      <c r="K572" s="598"/>
      <c r="L572" s="598"/>
      <c r="Q572" s="288">
        <v>46070</v>
      </c>
      <c r="R572" s="276">
        <v>0.66666666666666663</v>
      </c>
      <c r="S572" s="277" t="s">
        <v>289</v>
      </c>
      <c r="T572" s="277" t="s">
        <v>497</v>
      </c>
      <c r="U572" s="278">
        <v>1</v>
      </c>
      <c r="V572" s="361" t="str">
        <f t="shared" si="289"/>
        <v>bag</v>
      </c>
      <c r="W572" s="279">
        <f t="shared" si="290"/>
        <v>100</v>
      </c>
      <c r="X572" s="279">
        <f t="shared" si="291"/>
        <v>0.5</v>
      </c>
      <c r="Y572" s="279">
        <f t="shared" si="292"/>
        <v>7</v>
      </c>
      <c r="Z572" s="279">
        <f t="shared" si="293"/>
        <v>10</v>
      </c>
      <c r="AA572" s="279">
        <f t="shared" si="294"/>
        <v>0</v>
      </c>
      <c r="AB572" s="584">
        <f t="shared" si="295"/>
        <v>0</v>
      </c>
      <c r="AC572" s="277"/>
    </row>
    <row r="573" spans="5:29">
      <c r="E573" s="598"/>
      <c r="F573" s="699"/>
      <c r="G573" s="700"/>
      <c r="H573" s="598"/>
      <c r="I573" s="598"/>
      <c r="J573" s="598"/>
      <c r="K573" s="598"/>
      <c r="L573" s="598"/>
      <c r="Q573" s="288">
        <v>46070</v>
      </c>
      <c r="R573" s="276">
        <v>0.66666666666666663</v>
      </c>
      <c r="S573" s="277" t="s">
        <v>289</v>
      </c>
      <c r="T573" s="277" t="s">
        <v>461</v>
      </c>
      <c r="U573" s="278">
        <v>2</v>
      </c>
      <c r="V573" s="361" t="str">
        <f t="shared" si="289"/>
        <v>chunks</v>
      </c>
      <c r="W573" s="279">
        <f t="shared" si="290"/>
        <v>48.571428571428569</v>
      </c>
      <c r="X573" s="279">
        <f t="shared" si="291"/>
        <v>0.8571428571428571</v>
      </c>
      <c r="Y573" s="279">
        <f t="shared" si="292"/>
        <v>2.8571428571428568</v>
      </c>
      <c r="Z573" s="279">
        <f t="shared" si="293"/>
        <v>5.1428571428571423</v>
      </c>
      <c r="AA573" s="279">
        <f t="shared" si="294"/>
        <v>0.14285714285714285</v>
      </c>
      <c r="AB573" s="584">
        <f t="shared" si="295"/>
        <v>0</v>
      </c>
      <c r="AC573" s="277"/>
    </row>
    <row r="574" spans="5:29">
      <c r="E574" s="598"/>
      <c r="F574" s="699"/>
      <c r="G574" s="700"/>
      <c r="H574" s="598"/>
      <c r="I574" s="598"/>
      <c r="J574" s="598"/>
      <c r="K574" s="598"/>
      <c r="L574" s="598"/>
      <c r="Q574" s="288">
        <v>46070</v>
      </c>
      <c r="R574" s="276">
        <v>0.70833333333333304</v>
      </c>
      <c r="S574" s="277" t="s">
        <v>289</v>
      </c>
      <c r="T574" s="277" t="s">
        <v>500</v>
      </c>
      <c r="U574" s="278">
        <v>1</v>
      </c>
      <c r="V574" s="361" t="str">
        <f t="shared" si="289"/>
        <v>bag</v>
      </c>
      <c r="W574" s="279">
        <f t="shared" si="290"/>
        <v>220</v>
      </c>
      <c r="X574" s="279">
        <f t="shared" si="291"/>
        <v>2</v>
      </c>
      <c r="Y574" s="279">
        <f t="shared" si="292"/>
        <v>14</v>
      </c>
      <c r="Z574" s="279">
        <f t="shared" si="293"/>
        <v>22</v>
      </c>
      <c r="AA574" s="279">
        <f t="shared" si="294"/>
        <v>0</v>
      </c>
      <c r="AB574" s="584">
        <f t="shared" si="295"/>
        <v>0</v>
      </c>
      <c r="AC574" s="277"/>
    </row>
    <row r="575" spans="5:29">
      <c r="E575" s="598"/>
      <c r="F575" s="699"/>
      <c r="G575" s="700"/>
      <c r="H575" s="598"/>
      <c r="I575" s="598"/>
      <c r="J575" s="598"/>
      <c r="K575" s="598"/>
      <c r="L575" s="598"/>
      <c r="Q575" s="288">
        <v>46070</v>
      </c>
      <c r="R575" s="276">
        <v>0.79166666666666663</v>
      </c>
      <c r="S575" s="277" t="s">
        <v>199</v>
      </c>
      <c r="T575" s="277" t="s">
        <v>817</v>
      </c>
      <c r="U575" s="278">
        <v>188</v>
      </c>
      <c r="V575" s="361" t="str">
        <f t="shared" si="289"/>
        <v>g</v>
      </c>
      <c r="W575" s="279">
        <f t="shared" si="290"/>
        <v>206.8</v>
      </c>
      <c r="X575" s="279">
        <f t="shared" si="291"/>
        <v>39.480000000000004</v>
      </c>
      <c r="Y575" s="279">
        <f t="shared" si="292"/>
        <v>5.6400000000000006</v>
      </c>
      <c r="Z575" s="279">
        <f t="shared" si="293"/>
        <v>0</v>
      </c>
      <c r="AA575" s="279">
        <f t="shared" si="294"/>
        <v>0</v>
      </c>
      <c r="AB575" s="584">
        <f t="shared" si="295"/>
        <v>0</v>
      </c>
      <c r="AC575" s="277"/>
    </row>
    <row r="576" spans="5:29">
      <c r="E576" s="598"/>
      <c r="F576" s="699"/>
      <c r="G576" s="700"/>
      <c r="H576" s="598"/>
      <c r="I576" s="598"/>
      <c r="J576" s="598"/>
      <c r="K576" s="598"/>
      <c r="L576" s="598"/>
      <c r="Q576" s="288">
        <v>46070</v>
      </c>
      <c r="R576" s="276">
        <v>0.79166666666666663</v>
      </c>
      <c r="S576" s="277" t="s">
        <v>199</v>
      </c>
      <c r="T576" s="277" t="s">
        <v>181</v>
      </c>
      <c r="U576" s="278">
        <v>2</v>
      </c>
      <c r="V576" s="361" t="str">
        <f t="shared" si="289"/>
        <v>slice</v>
      </c>
      <c r="W576" s="279">
        <f t="shared" si="290"/>
        <v>140</v>
      </c>
      <c r="X576" s="279">
        <f t="shared" si="291"/>
        <v>5</v>
      </c>
      <c r="Y576" s="279">
        <f t="shared" si="292"/>
        <v>2.5</v>
      </c>
      <c r="Z576" s="279">
        <f t="shared" si="293"/>
        <v>24</v>
      </c>
      <c r="AA576" s="279">
        <f t="shared" si="294"/>
        <v>2</v>
      </c>
      <c r="AB576" s="584">
        <f t="shared" si="295"/>
        <v>0</v>
      </c>
      <c r="AC576" s="277"/>
    </row>
    <row r="577" spans="5:29">
      <c r="E577" s="598"/>
      <c r="F577" s="699"/>
      <c r="G577" s="700"/>
      <c r="H577" s="598"/>
      <c r="I577" s="598"/>
      <c r="J577" s="598"/>
      <c r="K577" s="598"/>
      <c r="L577" s="598"/>
      <c r="Q577" s="288">
        <v>46070</v>
      </c>
      <c r="R577" s="276">
        <v>0.79166666666666663</v>
      </c>
      <c r="S577" s="277" t="s">
        <v>289</v>
      </c>
      <c r="T577" s="277" t="s">
        <v>214</v>
      </c>
      <c r="U577" s="278">
        <v>1</v>
      </c>
      <c r="V577" s="361" t="str">
        <f t="shared" si="289"/>
        <v>bar</v>
      </c>
      <c r="W577" s="279">
        <f t="shared" si="290"/>
        <v>67</v>
      </c>
      <c r="X577" s="279">
        <f t="shared" si="291"/>
        <v>1</v>
      </c>
      <c r="Y577" s="279">
        <f t="shared" si="292"/>
        <v>3.5</v>
      </c>
      <c r="Z577" s="279">
        <f t="shared" si="293"/>
        <v>22</v>
      </c>
      <c r="AA577" s="279">
        <f t="shared" si="294"/>
        <v>0.3</v>
      </c>
      <c r="AB577" s="584">
        <f t="shared" si="295"/>
        <v>0</v>
      </c>
      <c r="AC577" s="277"/>
    </row>
    <row r="578" spans="5:29">
      <c r="E578" s="598"/>
      <c r="F578" s="699"/>
      <c r="G578" s="700"/>
      <c r="H578" s="598"/>
      <c r="I578" s="598"/>
      <c r="J578" s="598"/>
      <c r="K578" s="598"/>
      <c r="L578" s="598"/>
      <c r="Q578" s="288">
        <v>46070</v>
      </c>
      <c r="R578" s="276">
        <v>0.79166666666666663</v>
      </c>
      <c r="S578" s="277" t="s">
        <v>199</v>
      </c>
      <c r="T578" s="277" t="s">
        <v>209</v>
      </c>
      <c r="U578" s="278">
        <v>3</v>
      </c>
      <c r="V578" s="361" t="str">
        <f t="shared" si="289"/>
        <v>tbsp</v>
      </c>
      <c r="W578" s="279">
        <f t="shared" si="290"/>
        <v>60</v>
      </c>
      <c r="X578" s="279">
        <f t="shared" si="291"/>
        <v>0</v>
      </c>
      <c r="Y578" s="279">
        <f t="shared" si="292"/>
        <v>0</v>
      </c>
      <c r="Z578" s="279">
        <f t="shared" si="293"/>
        <v>15</v>
      </c>
      <c r="AA578" s="279">
        <f t="shared" si="294"/>
        <v>13.5</v>
      </c>
      <c r="AB578" s="584">
        <f t="shared" si="295"/>
        <v>0</v>
      </c>
      <c r="AC578" s="277"/>
    </row>
    <row r="579" spans="5:29">
      <c r="E579" s="598"/>
      <c r="F579" s="699"/>
      <c r="G579" s="700"/>
      <c r="H579" s="598"/>
      <c r="I579" s="598"/>
      <c r="J579" s="598"/>
      <c r="K579" s="598"/>
      <c r="L579" s="598"/>
      <c r="Q579" s="288">
        <v>46070</v>
      </c>
      <c r="R579" s="276">
        <v>0.79166666666666663</v>
      </c>
      <c r="S579" s="277" t="s">
        <v>199</v>
      </c>
      <c r="T579" s="277" t="s">
        <v>212</v>
      </c>
      <c r="U579" s="278">
        <v>1</v>
      </c>
      <c r="V579" s="361" t="str">
        <f t="shared" si="289"/>
        <v>bottle</v>
      </c>
      <c r="W579" s="279">
        <f t="shared" si="290"/>
        <v>70</v>
      </c>
      <c r="X579" s="279">
        <f t="shared" si="291"/>
        <v>0</v>
      </c>
      <c r="Y579" s="279">
        <f t="shared" si="292"/>
        <v>0</v>
      </c>
      <c r="Z579" s="279">
        <f t="shared" si="293"/>
        <v>17</v>
      </c>
      <c r="AA579" s="279">
        <f t="shared" si="294"/>
        <v>1</v>
      </c>
      <c r="AB579" s="684">
        <f t="shared" si="295"/>
        <v>0</v>
      </c>
      <c r="AC579" s="277"/>
    </row>
    <row r="580" spans="5:29">
      <c r="E580" s="598"/>
      <c r="F580" s="699"/>
      <c r="G580" s="700"/>
      <c r="H580" s="598"/>
      <c r="I580" s="598"/>
      <c r="J580" s="598"/>
      <c r="K580" s="598"/>
      <c r="L580" s="598"/>
      <c r="Q580" s="280"/>
      <c r="R580" s="281" t="s">
        <v>217</v>
      </c>
      <c r="S580" s="294"/>
      <c r="T580" s="282"/>
      <c r="U580" s="282"/>
      <c r="V580" s="364"/>
      <c r="W580" s="283">
        <f t="shared" ref="W580:AB580" si="296">SUM(W564:W579)</f>
        <v>2791.3714285714286</v>
      </c>
      <c r="X580" s="283">
        <f t="shared" si="296"/>
        <v>177.43714285714287</v>
      </c>
      <c r="Y580" s="283">
        <f t="shared" si="296"/>
        <v>85.747142857142862</v>
      </c>
      <c r="Z580" s="283">
        <f t="shared" si="296"/>
        <v>339.19285714285718</v>
      </c>
      <c r="AA580" s="683">
        <f t="shared" si="296"/>
        <v>41.392857142857139</v>
      </c>
      <c r="AB580" s="691">
        <f t="shared" si="296"/>
        <v>0</v>
      </c>
      <c r="AC580" s="281"/>
    </row>
    <row r="581" spans="5:29">
      <c r="E581" s="598"/>
      <c r="F581" s="699"/>
      <c r="G581" s="700"/>
      <c r="H581" s="598"/>
      <c r="I581" s="598"/>
      <c r="J581" s="598"/>
      <c r="K581" s="598"/>
      <c r="L581" s="598"/>
      <c r="Q581" s="280"/>
      <c r="R581" s="281" t="s">
        <v>220</v>
      </c>
      <c r="S581" s="294"/>
      <c r="T581" s="282"/>
      <c r="U581" s="282"/>
      <c r="V581" s="364"/>
      <c r="W581" s="284">
        <f>$B$27</f>
        <v>2834.5625</v>
      </c>
      <c r="X581" s="284">
        <f>$B$29</f>
        <v>154</v>
      </c>
      <c r="Y581" s="284">
        <f>$B$30</f>
        <v>63.91</v>
      </c>
      <c r="Z581" s="284">
        <f>$B$31</f>
        <v>410.84312499999999</v>
      </c>
      <c r="AA581" s="690">
        <f>$B$32</f>
        <v>39.683875</v>
      </c>
      <c r="AB581" s="695">
        <f>$B$39</f>
        <v>500</v>
      </c>
      <c r="AC581" s="281"/>
    </row>
    <row r="582" spans="5:29">
      <c r="E582" s="598"/>
      <c r="F582" s="699"/>
      <c r="G582" s="700"/>
      <c r="H582" s="598"/>
      <c r="I582" s="598"/>
      <c r="J582" s="598"/>
      <c r="K582" s="598"/>
      <c r="L582" s="598"/>
      <c r="Q582" s="280"/>
      <c r="R582" s="281" t="s">
        <v>222</v>
      </c>
      <c r="S582" s="294"/>
      <c r="T582" s="282"/>
      <c r="U582" s="282"/>
      <c r="V582" s="364"/>
      <c r="W582" s="284">
        <f t="shared" ref="W582:AB582" si="297">W580-W581</f>
        <v>-43.191071428571377</v>
      </c>
      <c r="X582" s="284">
        <f t="shared" si="297"/>
        <v>23.437142857142874</v>
      </c>
      <c r="Y582" s="284">
        <f t="shared" si="297"/>
        <v>21.837142857142865</v>
      </c>
      <c r="Z582" s="284">
        <f t="shared" si="297"/>
        <v>-71.650267857142808</v>
      </c>
      <c r="AA582" s="690">
        <f t="shared" si="297"/>
        <v>1.7089821428571383</v>
      </c>
      <c r="AB582" s="689">
        <f t="shared" si="297"/>
        <v>-500</v>
      </c>
      <c r="AC582" s="281"/>
    </row>
    <row r="583" spans="5:29">
      <c r="E583" s="598"/>
      <c r="F583" s="699"/>
      <c r="G583" s="700"/>
      <c r="H583" s="598"/>
      <c r="I583" s="598"/>
      <c r="J583" s="598"/>
      <c r="K583" s="598"/>
      <c r="L583" s="598"/>
      <c r="Q583" s="288">
        <v>46071</v>
      </c>
      <c r="R583" s="276">
        <v>0.33333333333333331</v>
      </c>
      <c r="S583" s="277" t="s">
        <v>178</v>
      </c>
      <c r="T583" s="277" t="s">
        <v>295</v>
      </c>
      <c r="U583" s="278">
        <v>1</v>
      </c>
      <c r="V583" s="361" t="str">
        <f t="shared" ref="V583:V600" si="298">IFERROR(VLOOKUP(T583, $E$5:$L$818, 3, FALSE), "")</f>
        <v>bottle</v>
      </c>
      <c r="W583" s="279">
        <f t="shared" ref="W583:W600" si="299">IFERROR(VLOOKUP(T583, $E$5:$L$818, 4, FALSE) * (U583 / VLOOKUP(T583, $E$5:$L$818, 2, FALSE)), "")</f>
        <v>200</v>
      </c>
      <c r="X583" s="279">
        <f t="shared" ref="X583:X600" si="300">IFERROR(VLOOKUP(T583, $E$5:$L$818, 5, FALSE) * (U583 / VLOOKUP(T583, $E$5:$L$818, 2, FALSE)), "")</f>
        <v>35</v>
      </c>
      <c r="Y583" s="279">
        <f t="shared" ref="Y583:Y600" si="301">IFERROR(VLOOKUP(T583, $E$5:$L$818, 6, FALSE) * (U583 / VLOOKUP(T583, $E$5:$L$818, 2, FALSE)), "")</f>
        <v>2.5</v>
      </c>
      <c r="Z583" s="279">
        <f t="shared" ref="Z583:Z600" si="302">IFERROR(VLOOKUP(T583, $E$5:$L$818, 7, FALSE) * (U583 / VLOOKUP(T583, $E$5:$L$818, 2, FALSE)), "")</f>
        <v>9</v>
      </c>
      <c r="AA583" s="279">
        <f t="shared" ref="AA583:AA600" si="303">IFERROR(VLOOKUP(T583, $E$5:$L$818, 8, FALSE) * (U583 / VLOOKUP(T583, $E$5:$L$818, 2, FALSE)), "")</f>
        <v>0</v>
      </c>
      <c r="AB583" s="674">
        <f t="shared" ref="AB583:AB600" si="304">IFERROR(VLOOKUP(T583, $E$5:$O$818, 9, FALSE) * (U583 / VLOOKUP(T583, $E$5:$O$818, 2, FALSE)), "")</f>
        <v>0</v>
      </c>
      <c r="AC583" s="277"/>
    </row>
    <row r="584" spans="5:29">
      <c r="E584" s="598"/>
      <c r="F584" s="699"/>
      <c r="G584" s="700"/>
      <c r="H584" s="598"/>
      <c r="I584" s="598"/>
      <c r="J584" s="598"/>
      <c r="K584" s="598"/>
      <c r="L584" s="598"/>
      <c r="Q584" s="288">
        <v>46071</v>
      </c>
      <c r="R584" s="276">
        <v>0.33333333333333331</v>
      </c>
      <c r="S584" s="277" t="s">
        <v>178</v>
      </c>
      <c r="T584" s="277" t="s">
        <v>753</v>
      </c>
      <c r="U584" s="278">
        <v>200</v>
      </c>
      <c r="V584" s="361" t="str">
        <f t="shared" si="298"/>
        <v>g</v>
      </c>
      <c r="W584" s="279">
        <f t="shared" si="299"/>
        <v>260</v>
      </c>
      <c r="X584" s="279">
        <f t="shared" si="300"/>
        <v>2</v>
      </c>
      <c r="Y584" s="279">
        <f t="shared" si="301"/>
        <v>0</v>
      </c>
      <c r="Z584" s="279">
        <f t="shared" si="302"/>
        <v>62</v>
      </c>
      <c r="AA584" s="279">
        <f t="shared" si="303"/>
        <v>6</v>
      </c>
      <c r="AB584" s="584">
        <f t="shared" si="304"/>
        <v>0</v>
      </c>
      <c r="AC584" s="277"/>
    </row>
    <row r="585" spans="5:29">
      <c r="E585" s="598"/>
      <c r="F585" s="699"/>
      <c r="G585" s="700"/>
      <c r="H585" s="598"/>
      <c r="I585" s="598"/>
      <c r="J585" s="598"/>
      <c r="K585" s="598"/>
      <c r="L585" s="598"/>
      <c r="Q585" s="288">
        <v>46071</v>
      </c>
      <c r="R585" s="276">
        <v>0.375</v>
      </c>
      <c r="S585" s="277" t="s">
        <v>178</v>
      </c>
      <c r="T585" s="277" t="s">
        <v>214</v>
      </c>
      <c r="U585" s="278">
        <v>1</v>
      </c>
      <c r="V585" s="361" t="str">
        <f t="shared" si="298"/>
        <v>bar</v>
      </c>
      <c r="W585" s="279">
        <f t="shared" si="299"/>
        <v>67</v>
      </c>
      <c r="X585" s="279">
        <f t="shared" si="300"/>
        <v>1</v>
      </c>
      <c r="Y585" s="279">
        <f t="shared" si="301"/>
        <v>3.5</v>
      </c>
      <c r="Z585" s="279">
        <f t="shared" si="302"/>
        <v>22</v>
      </c>
      <c r="AA585" s="279">
        <f t="shared" si="303"/>
        <v>0.3</v>
      </c>
      <c r="AB585" s="584">
        <f t="shared" si="304"/>
        <v>0</v>
      </c>
      <c r="AC585" s="277"/>
    </row>
    <row r="586" spans="5:29">
      <c r="E586" s="598"/>
      <c r="F586" s="699"/>
      <c r="G586" s="700"/>
      <c r="H586" s="598"/>
      <c r="I586" s="598"/>
      <c r="J586" s="598"/>
      <c r="K586" s="598"/>
      <c r="L586" s="598"/>
      <c r="Q586" s="288">
        <v>46071</v>
      </c>
      <c r="R586" s="276">
        <v>0.41666666666666669</v>
      </c>
      <c r="S586" s="277" t="s">
        <v>289</v>
      </c>
      <c r="T586" s="277" t="s">
        <v>190</v>
      </c>
      <c r="U586" s="278">
        <v>2</v>
      </c>
      <c r="V586" s="361" t="str">
        <f t="shared" si="298"/>
        <v>medium</v>
      </c>
      <c r="W586" s="279">
        <f t="shared" si="299"/>
        <v>124</v>
      </c>
      <c r="X586" s="279">
        <f t="shared" si="300"/>
        <v>2.4</v>
      </c>
      <c r="Y586" s="279">
        <f t="shared" si="301"/>
        <v>0.4</v>
      </c>
      <c r="Z586" s="279">
        <f t="shared" si="302"/>
        <v>30.8</v>
      </c>
      <c r="AA586" s="279">
        <f t="shared" si="303"/>
        <v>6.2</v>
      </c>
      <c r="AB586" s="584">
        <f t="shared" si="304"/>
        <v>0</v>
      </c>
      <c r="AC586" s="277"/>
    </row>
    <row r="587" spans="5:29">
      <c r="E587" s="598"/>
      <c r="F587" s="699"/>
      <c r="G587" s="700"/>
      <c r="H587" s="598"/>
      <c r="I587" s="598"/>
      <c r="J587" s="598"/>
      <c r="K587" s="598"/>
      <c r="L587" s="598"/>
      <c r="Q587" s="288">
        <v>46071</v>
      </c>
      <c r="R587" s="276">
        <v>0.45833333333333331</v>
      </c>
      <c r="S587" s="277" t="s">
        <v>289</v>
      </c>
      <c r="T587" s="277" t="s">
        <v>323</v>
      </c>
      <c r="U587" s="278">
        <f>(1.5/2)*1</f>
        <v>0.75</v>
      </c>
      <c r="V587" s="361" t="str">
        <f t="shared" si="298"/>
        <v>double bars</v>
      </c>
      <c r="W587" s="279">
        <f t="shared" si="299"/>
        <v>135</v>
      </c>
      <c r="X587" s="279">
        <f t="shared" si="300"/>
        <v>1.5</v>
      </c>
      <c r="Y587" s="279">
        <f t="shared" si="301"/>
        <v>6.75</v>
      </c>
      <c r="Z587" s="279">
        <f t="shared" si="302"/>
        <v>18</v>
      </c>
      <c r="AA587" s="279">
        <f t="shared" si="303"/>
        <v>0</v>
      </c>
      <c r="AB587" s="584">
        <f t="shared" si="304"/>
        <v>0</v>
      </c>
      <c r="AC587" s="277"/>
    </row>
    <row r="588" spans="5:29">
      <c r="E588" s="598"/>
      <c r="F588" s="699"/>
      <c r="G588" s="700"/>
      <c r="H588" s="598"/>
      <c r="I588" s="598"/>
      <c r="J588" s="598"/>
      <c r="K588" s="598"/>
      <c r="L588" s="598"/>
      <c r="Q588" s="288">
        <v>46071</v>
      </c>
      <c r="R588" s="276">
        <v>0.45833333333333331</v>
      </c>
      <c r="S588" s="277" t="s">
        <v>289</v>
      </c>
      <c r="T588" s="277" t="s">
        <v>339</v>
      </c>
      <c r="U588" s="278">
        <v>0.5</v>
      </c>
      <c r="V588" s="361" t="str">
        <f t="shared" si="298"/>
        <v>bag</v>
      </c>
      <c r="W588" s="279">
        <f t="shared" si="299"/>
        <v>170</v>
      </c>
      <c r="X588" s="279">
        <f t="shared" si="300"/>
        <v>2</v>
      </c>
      <c r="Y588" s="279">
        <f t="shared" si="301"/>
        <v>10</v>
      </c>
      <c r="Z588" s="279">
        <f t="shared" si="302"/>
        <v>17</v>
      </c>
      <c r="AA588" s="279">
        <f t="shared" si="303"/>
        <v>0.5</v>
      </c>
      <c r="AB588" s="584">
        <f t="shared" si="304"/>
        <v>0</v>
      </c>
      <c r="AC588" s="277"/>
    </row>
    <row r="589" spans="5:29">
      <c r="E589" s="598"/>
      <c r="F589" s="699"/>
      <c r="G589" s="700"/>
      <c r="H589" s="598"/>
      <c r="I589" s="598"/>
      <c r="J589" s="598"/>
      <c r="K589" s="598"/>
      <c r="L589" s="598"/>
      <c r="Q589" s="288">
        <v>46071</v>
      </c>
      <c r="R589" s="276">
        <v>0.54166666666666663</v>
      </c>
      <c r="S589" s="277" t="s">
        <v>185</v>
      </c>
      <c r="T589" s="277" t="s">
        <v>374</v>
      </c>
      <c r="U589" s="278">
        <v>2</v>
      </c>
      <c r="V589" s="361" t="str">
        <f t="shared" si="298"/>
        <v>egg</v>
      </c>
      <c r="W589" s="279">
        <f t="shared" si="299"/>
        <v>160</v>
      </c>
      <c r="X589" s="279">
        <f t="shared" si="300"/>
        <v>14</v>
      </c>
      <c r="Y589" s="279">
        <f t="shared" si="301"/>
        <v>12</v>
      </c>
      <c r="Z589" s="279">
        <f t="shared" si="302"/>
        <v>0</v>
      </c>
      <c r="AA589" s="279">
        <f t="shared" si="303"/>
        <v>0</v>
      </c>
      <c r="AB589" s="584">
        <f t="shared" si="304"/>
        <v>80</v>
      </c>
      <c r="AC589" s="277"/>
    </row>
    <row r="590" spans="5:29">
      <c r="E590" s="598"/>
      <c r="F590" s="699"/>
      <c r="G590" s="700"/>
      <c r="H590" s="598"/>
      <c r="I590" s="598"/>
      <c r="J590" s="598"/>
      <c r="K590" s="598"/>
      <c r="L590" s="598"/>
      <c r="Q590" s="288">
        <v>46071</v>
      </c>
      <c r="R590" s="276">
        <v>0.54166666666666663</v>
      </c>
      <c r="S590" s="277" t="s">
        <v>185</v>
      </c>
      <c r="T590" s="277" t="s">
        <v>465</v>
      </c>
      <c r="U590" s="278">
        <v>75</v>
      </c>
      <c r="V590" s="361" t="str">
        <f t="shared" si="298"/>
        <v>g</v>
      </c>
      <c r="W590" s="279">
        <f t="shared" si="299"/>
        <v>135</v>
      </c>
      <c r="X590" s="279">
        <f t="shared" si="300"/>
        <v>16.5</v>
      </c>
      <c r="Y590" s="279">
        <f t="shared" si="301"/>
        <v>6.75</v>
      </c>
      <c r="Z590" s="279">
        <f t="shared" si="302"/>
        <v>1.5</v>
      </c>
      <c r="AA590" s="279">
        <f t="shared" si="303"/>
        <v>0</v>
      </c>
      <c r="AB590" s="584">
        <f t="shared" si="304"/>
        <v>0</v>
      </c>
      <c r="AC590" s="277"/>
    </row>
    <row r="591" spans="5:29">
      <c r="E591" s="598"/>
      <c r="F591" s="699"/>
      <c r="G591" s="700"/>
      <c r="H591" s="598"/>
      <c r="I591" s="598"/>
      <c r="J591" s="598"/>
      <c r="K591" s="598"/>
      <c r="L591" s="598"/>
      <c r="Q591" s="288">
        <v>46071</v>
      </c>
      <c r="R591" s="276">
        <v>0.54166666666666663</v>
      </c>
      <c r="S591" s="277" t="s">
        <v>185</v>
      </c>
      <c r="T591" s="277" t="s">
        <v>180</v>
      </c>
      <c r="U591" s="278">
        <v>140</v>
      </c>
      <c r="V591" s="361" t="str">
        <f t="shared" si="298"/>
        <v>g</v>
      </c>
      <c r="W591" s="279">
        <f t="shared" si="299"/>
        <v>182</v>
      </c>
      <c r="X591" s="279">
        <f t="shared" si="300"/>
        <v>3.78</v>
      </c>
      <c r="Y591" s="279">
        <f t="shared" si="301"/>
        <v>0.42</v>
      </c>
      <c r="Z591" s="279">
        <f t="shared" si="302"/>
        <v>39.199999999999996</v>
      </c>
      <c r="AA591" s="279">
        <f t="shared" si="303"/>
        <v>0.55999999999999994</v>
      </c>
      <c r="AB591" s="584">
        <f t="shared" si="304"/>
        <v>0</v>
      </c>
      <c r="AC591" s="277"/>
    </row>
    <row r="592" spans="5:29">
      <c r="E592" s="598"/>
      <c r="F592" s="699"/>
      <c r="G592" s="700"/>
      <c r="H592" s="598"/>
      <c r="I592" s="598"/>
      <c r="J592" s="598"/>
      <c r="K592" s="598"/>
      <c r="L592" s="598"/>
      <c r="Q592" s="288">
        <v>46071</v>
      </c>
      <c r="R592" s="276">
        <v>0.54166666666666663</v>
      </c>
      <c r="S592" s="277" t="s">
        <v>185</v>
      </c>
      <c r="T592" s="277" t="s">
        <v>817</v>
      </c>
      <c r="U592" s="278">
        <v>134</v>
      </c>
      <c r="V592" s="361" t="str">
        <f t="shared" si="298"/>
        <v>g</v>
      </c>
      <c r="W592" s="279">
        <f t="shared" si="299"/>
        <v>147.4</v>
      </c>
      <c r="X592" s="279">
        <f t="shared" si="300"/>
        <v>28.14</v>
      </c>
      <c r="Y592" s="279">
        <f t="shared" si="301"/>
        <v>4.0199999999999996</v>
      </c>
      <c r="Z592" s="279">
        <f t="shared" si="302"/>
        <v>0</v>
      </c>
      <c r="AA592" s="279">
        <f t="shared" si="303"/>
        <v>0</v>
      </c>
      <c r="AB592" s="584">
        <f t="shared" si="304"/>
        <v>0</v>
      </c>
      <c r="AC592" s="277"/>
    </row>
    <row r="593" spans="5:29">
      <c r="E593" s="598"/>
      <c r="F593" s="699"/>
      <c r="G593" s="700"/>
      <c r="H593" s="598"/>
      <c r="I593" s="598"/>
      <c r="J593" s="598"/>
      <c r="K593" s="598"/>
      <c r="L593" s="598"/>
      <c r="Q593" s="288">
        <v>46071</v>
      </c>
      <c r="R593" s="276">
        <v>0.58333333333333337</v>
      </c>
      <c r="S593" s="277" t="s">
        <v>289</v>
      </c>
      <c r="T593" s="277" t="s">
        <v>501</v>
      </c>
      <c r="U593" s="278">
        <v>1</v>
      </c>
      <c r="V593" s="361" t="str">
        <f t="shared" si="298"/>
        <v>bar</v>
      </c>
      <c r="W593" s="279">
        <f t="shared" si="299"/>
        <v>240</v>
      </c>
      <c r="X593" s="279">
        <f t="shared" si="300"/>
        <v>5.2</v>
      </c>
      <c r="Y593" s="279">
        <f t="shared" si="301"/>
        <v>16.2</v>
      </c>
      <c r="Z593" s="279">
        <f t="shared" si="302"/>
        <v>18</v>
      </c>
      <c r="AA593" s="279">
        <f t="shared" si="303"/>
        <v>0</v>
      </c>
      <c r="AB593" s="584">
        <f t="shared" si="304"/>
        <v>0</v>
      </c>
      <c r="AC593" s="277"/>
    </row>
    <row r="594" spans="5:29">
      <c r="E594" s="598"/>
      <c r="F594" s="699"/>
      <c r="G594" s="700"/>
      <c r="H594" s="598"/>
      <c r="I594" s="598"/>
      <c r="J594" s="598"/>
      <c r="K594" s="598"/>
      <c r="L594" s="598"/>
      <c r="Q594" s="288">
        <v>46071</v>
      </c>
      <c r="R594" s="276">
        <v>0.83333333333333337</v>
      </c>
      <c r="S594" s="277" t="s">
        <v>199</v>
      </c>
      <c r="T594" s="277" t="s">
        <v>181</v>
      </c>
      <c r="U594" s="278">
        <v>2</v>
      </c>
      <c r="V594" s="361" t="str">
        <f t="shared" si="298"/>
        <v>slice</v>
      </c>
      <c r="W594" s="279">
        <f t="shared" si="299"/>
        <v>140</v>
      </c>
      <c r="X594" s="279">
        <f t="shared" si="300"/>
        <v>5</v>
      </c>
      <c r="Y594" s="279">
        <f t="shared" si="301"/>
        <v>2.5</v>
      </c>
      <c r="Z594" s="279">
        <f t="shared" si="302"/>
        <v>24</v>
      </c>
      <c r="AA594" s="279">
        <f t="shared" si="303"/>
        <v>2</v>
      </c>
      <c r="AB594" s="584">
        <f t="shared" si="304"/>
        <v>0</v>
      </c>
      <c r="AC594" s="277"/>
    </row>
    <row r="595" spans="5:29">
      <c r="E595" s="598"/>
      <c r="F595" s="699"/>
      <c r="G595" s="700"/>
      <c r="H595" s="598"/>
      <c r="I595" s="598"/>
      <c r="J595" s="598"/>
      <c r="K595" s="598"/>
      <c r="L595" s="598"/>
      <c r="Q595" s="288">
        <v>46071</v>
      </c>
      <c r="R595" s="276">
        <v>0.83333333333333337</v>
      </c>
      <c r="S595" s="277" t="s">
        <v>199</v>
      </c>
      <c r="T595" s="277" t="s">
        <v>176</v>
      </c>
      <c r="U595" s="278">
        <v>282</v>
      </c>
      <c r="V595" s="361" t="str">
        <f t="shared" si="298"/>
        <v>g</v>
      </c>
      <c r="W595" s="279">
        <f t="shared" si="299"/>
        <v>465.29999999999995</v>
      </c>
      <c r="X595" s="279">
        <f t="shared" si="300"/>
        <v>70.5</v>
      </c>
      <c r="Y595" s="279">
        <f t="shared" si="301"/>
        <v>10.151999999999999</v>
      </c>
      <c r="Z595" s="279">
        <f t="shared" si="302"/>
        <v>0</v>
      </c>
      <c r="AA595" s="279">
        <f t="shared" si="303"/>
        <v>0</v>
      </c>
      <c r="AB595" s="584">
        <f t="shared" si="304"/>
        <v>0</v>
      </c>
      <c r="AC595" s="277"/>
    </row>
    <row r="596" spans="5:29">
      <c r="E596" s="598"/>
      <c r="F596" s="699"/>
      <c r="G596" s="700"/>
      <c r="H596" s="598"/>
      <c r="I596" s="598"/>
      <c r="J596" s="598"/>
      <c r="K596" s="598"/>
      <c r="L596" s="598"/>
      <c r="Q596" s="288">
        <v>46071</v>
      </c>
      <c r="R596" s="276">
        <v>0.83333333333333337</v>
      </c>
      <c r="S596" s="277" t="s">
        <v>199</v>
      </c>
      <c r="T596" s="277" t="s">
        <v>753</v>
      </c>
      <c r="U596" s="278">
        <v>179</v>
      </c>
      <c r="V596" s="361" t="str">
        <f t="shared" si="298"/>
        <v>g</v>
      </c>
      <c r="W596" s="279">
        <f t="shared" si="299"/>
        <v>232.70000000000002</v>
      </c>
      <c r="X596" s="279">
        <f t="shared" si="300"/>
        <v>1.79</v>
      </c>
      <c r="Y596" s="279">
        <f t="shared" si="301"/>
        <v>0</v>
      </c>
      <c r="Z596" s="279">
        <f t="shared" si="302"/>
        <v>55.49</v>
      </c>
      <c r="AA596" s="279">
        <f t="shared" si="303"/>
        <v>5.37</v>
      </c>
      <c r="AB596" s="584">
        <f t="shared" si="304"/>
        <v>0</v>
      </c>
      <c r="AC596" s="277"/>
    </row>
    <row r="597" spans="5:29">
      <c r="E597" s="598"/>
      <c r="F597" s="699"/>
      <c r="G597" s="700"/>
      <c r="H597" s="598"/>
      <c r="I597" s="598"/>
      <c r="J597" s="598"/>
      <c r="K597" s="598"/>
      <c r="L597" s="598"/>
      <c r="Q597" s="288">
        <v>46071</v>
      </c>
      <c r="R597" s="276">
        <v>0.83333333333333337</v>
      </c>
      <c r="S597" s="277" t="s">
        <v>199</v>
      </c>
      <c r="T597" s="277" t="s">
        <v>374</v>
      </c>
      <c r="U597" s="278">
        <v>2</v>
      </c>
      <c r="V597" s="361" t="str">
        <f t="shared" si="298"/>
        <v>egg</v>
      </c>
      <c r="W597" s="279">
        <f t="shared" si="299"/>
        <v>160</v>
      </c>
      <c r="X597" s="279">
        <f t="shared" si="300"/>
        <v>14</v>
      </c>
      <c r="Y597" s="279">
        <f t="shared" si="301"/>
        <v>12</v>
      </c>
      <c r="Z597" s="279">
        <f t="shared" si="302"/>
        <v>0</v>
      </c>
      <c r="AA597" s="279">
        <f t="shared" si="303"/>
        <v>0</v>
      </c>
      <c r="AB597" s="584">
        <f t="shared" si="304"/>
        <v>80</v>
      </c>
      <c r="AC597" s="277"/>
    </row>
    <row r="598" spans="5:29">
      <c r="E598" s="598"/>
      <c r="F598" s="699"/>
      <c r="G598" s="700"/>
      <c r="H598" s="598"/>
      <c r="I598" s="598"/>
      <c r="J598" s="598"/>
      <c r="K598" s="598"/>
      <c r="L598" s="598"/>
      <c r="Q598" s="288">
        <v>46071</v>
      </c>
      <c r="R598" s="276">
        <v>0.83333333333333337</v>
      </c>
      <c r="S598" s="277" t="s">
        <v>199</v>
      </c>
      <c r="T598" s="277" t="s">
        <v>212</v>
      </c>
      <c r="U598" s="278">
        <v>1</v>
      </c>
      <c r="V598" s="361" t="str">
        <f t="shared" si="298"/>
        <v>bottle</v>
      </c>
      <c r="W598" s="279">
        <f t="shared" si="299"/>
        <v>70</v>
      </c>
      <c r="X598" s="279">
        <f t="shared" si="300"/>
        <v>0</v>
      </c>
      <c r="Y598" s="279">
        <f t="shared" si="301"/>
        <v>0</v>
      </c>
      <c r="Z598" s="279">
        <f t="shared" si="302"/>
        <v>17</v>
      </c>
      <c r="AA598" s="279">
        <f t="shared" si="303"/>
        <v>1</v>
      </c>
      <c r="AB598" s="584">
        <f t="shared" si="304"/>
        <v>0</v>
      </c>
      <c r="AC598" s="277"/>
    </row>
    <row r="599" spans="5:29">
      <c r="E599" s="598"/>
      <c r="F599" s="699"/>
      <c r="G599" s="700"/>
      <c r="H599" s="598"/>
      <c r="I599" s="598"/>
      <c r="J599" s="598"/>
      <c r="K599" s="598"/>
      <c r="L599" s="598"/>
      <c r="Q599" s="288">
        <v>46071</v>
      </c>
      <c r="R599" s="276">
        <v>0.83333333333333337</v>
      </c>
      <c r="S599" s="277" t="s">
        <v>199</v>
      </c>
      <c r="T599" s="277" t="s">
        <v>209</v>
      </c>
      <c r="U599" s="278">
        <v>3</v>
      </c>
      <c r="V599" s="361" t="str">
        <f t="shared" si="298"/>
        <v>tbsp</v>
      </c>
      <c r="W599" s="279">
        <f t="shared" si="299"/>
        <v>60</v>
      </c>
      <c r="X599" s="279">
        <f t="shared" si="300"/>
        <v>0</v>
      </c>
      <c r="Y599" s="279">
        <f t="shared" si="301"/>
        <v>0</v>
      </c>
      <c r="Z599" s="279">
        <f t="shared" si="302"/>
        <v>15</v>
      </c>
      <c r="AA599" s="279">
        <f t="shared" si="303"/>
        <v>13.5</v>
      </c>
      <c r="AB599" s="584">
        <f t="shared" si="304"/>
        <v>0</v>
      </c>
      <c r="AC599" s="277"/>
    </row>
    <row r="600" spans="5:29">
      <c r="E600" s="598"/>
      <c r="F600" s="699"/>
      <c r="G600" s="700"/>
      <c r="H600" s="598"/>
      <c r="I600" s="598"/>
      <c r="J600" s="598"/>
      <c r="K600" s="598"/>
      <c r="L600" s="598"/>
      <c r="Q600" s="288">
        <v>46071</v>
      </c>
      <c r="R600" s="276">
        <v>0.83333333333333337</v>
      </c>
      <c r="S600" s="277" t="s">
        <v>199</v>
      </c>
      <c r="T600" s="277" t="s">
        <v>219</v>
      </c>
      <c r="U600" s="278">
        <v>1</v>
      </c>
      <c r="V600" s="361" t="str">
        <f t="shared" si="298"/>
        <v>bottle</v>
      </c>
      <c r="W600" s="279">
        <f t="shared" si="299"/>
        <v>0</v>
      </c>
      <c r="X600" s="279">
        <f t="shared" si="300"/>
        <v>0</v>
      </c>
      <c r="Y600" s="279">
        <f t="shared" si="301"/>
        <v>0</v>
      </c>
      <c r="Z600" s="279">
        <f t="shared" si="302"/>
        <v>0</v>
      </c>
      <c r="AA600" s="279">
        <f t="shared" si="303"/>
        <v>0</v>
      </c>
      <c r="AB600" s="684">
        <f t="shared" si="304"/>
        <v>0</v>
      </c>
      <c r="AC600" s="277"/>
    </row>
    <row r="601" spans="5:29">
      <c r="E601" s="598"/>
      <c r="F601" s="699"/>
      <c r="G601" s="700"/>
      <c r="H601" s="598"/>
      <c r="I601" s="598"/>
      <c r="J601" s="598"/>
      <c r="K601" s="598"/>
      <c r="L601" s="598"/>
      <c r="Q601" s="280"/>
      <c r="R601" s="281" t="s">
        <v>217</v>
      </c>
      <c r="S601" s="294"/>
      <c r="T601" s="282"/>
      <c r="U601" s="282"/>
      <c r="V601" s="364"/>
      <c r="W601" s="283">
        <f t="shared" ref="W601:AB601" si="305">SUM(W583:W600)</f>
        <v>2948.3999999999996</v>
      </c>
      <c r="X601" s="283">
        <f t="shared" si="305"/>
        <v>202.81</v>
      </c>
      <c r="Y601" s="283">
        <f t="shared" si="305"/>
        <v>87.192000000000007</v>
      </c>
      <c r="Z601" s="283">
        <f t="shared" si="305"/>
        <v>328.99</v>
      </c>
      <c r="AA601" s="683">
        <f t="shared" si="305"/>
        <v>35.43</v>
      </c>
      <c r="AB601" s="691">
        <f t="shared" si="305"/>
        <v>160</v>
      </c>
      <c r="AC601" s="281"/>
    </row>
    <row r="602" spans="5:29">
      <c r="E602" s="598"/>
      <c r="F602" s="699"/>
      <c r="G602" s="700"/>
      <c r="H602" s="598"/>
      <c r="I602" s="598"/>
      <c r="J602" s="598"/>
      <c r="K602" s="598"/>
      <c r="L602" s="598"/>
      <c r="Q602" s="280"/>
      <c r="R602" s="281" t="s">
        <v>220</v>
      </c>
      <c r="S602" s="294"/>
      <c r="T602" s="282"/>
      <c r="U602" s="282"/>
      <c r="V602" s="364"/>
      <c r="W602" s="284">
        <f>$B$27</f>
        <v>2834.5625</v>
      </c>
      <c r="X602" s="284">
        <f>$B$29</f>
        <v>154</v>
      </c>
      <c r="Y602" s="284">
        <f>$B$30</f>
        <v>63.91</v>
      </c>
      <c r="Z602" s="284">
        <f>$B$31</f>
        <v>410.84312499999999</v>
      </c>
      <c r="AA602" s="690">
        <f>$B$32</f>
        <v>39.683875</v>
      </c>
      <c r="AB602" s="695">
        <f>$B$39</f>
        <v>500</v>
      </c>
      <c r="AC602" s="281"/>
    </row>
    <row r="603" spans="5:29">
      <c r="E603" s="598"/>
      <c r="F603" s="699"/>
      <c r="G603" s="700"/>
      <c r="H603" s="598"/>
      <c r="I603" s="598"/>
      <c r="J603" s="598"/>
      <c r="K603" s="598"/>
      <c r="L603" s="598"/>
      <c r="Q603" s="280"/>
      <c r="R603" s="281" t="s">
        <v>222</v>
      </c>
      <c r="S603" s="294"/>
      <c r="T603" s="282"/>
      <c r="U603" s="282"/>
      <c r="V603" s="364"/>
      <c r="W603" s="284">
        <f t="shared" ref="W603:AB603" si="306">W601-W602</f>
        <v>113.83749999999964</v>
      </c>
      <c r="X603" s="284">
        <f t="shared" si="306"/>
        <v>48.81</v>
      </c>
      <c r="Y603" s="284">
        <f t="shared" si="306"/>
        <v>23.282000000000011</v>
      </c>
      <c r="Z603" s="284">
        <f t="shared" si="306"/>
        <v>-81.853124999999977</v>
      </c>
      <c r="AA603" s="690">
        <f t="shared" si="306"/>
        <v>-4.2538750000000007</v>
      </c>
      <c r="AB603" s="689">
        <f t="shared" si="306"/>
        <v>-340</v>
      </c>
      <c r="AC603" s="281"/>
    </row>
    <row r="604" spans="5:29">
      <c r="E604" s="598"/>
      <c r="F604" s="699"/>
      <c r="G604" s="700"/>
      <c r="H604" s="598"/>
      <c r="I604" s="598"/>
      <c r="J604" s="598"/>
      <c r="K604" s="598"/>
      <c r="L604" s="598"/>
      <c r="Q604" s="288">
        <v>46072</v>
      </c>
      <c r="R604" s="276">
        <v>0.33333333333333331</v>
      </c>
      <c r="S604" s="277" t="s">
        <v>178</v>
      </c>
      <c r="T604" s="277" t="s">
        <v>295</v>
      </c>
      <c r="U604" s="278">
        <v>1</v>
      </c>
      <c r="V604" s="361" t="str">
        <f t="shared" ref="V604:V614" si="307">IFERROR(VLOOKUP(T604, $E$5:$L$818, 3, FALSE), "")</f>
        <v>bottle</v>
      </c>
      <c r="W604" s="279">
        <f t="shared" ref="W604:W614" si="308">IFERROR(VLOOKUP(T604, $E$5:$L$818, 4, FALSE) * (U604 / VLOOKUP(T604, $E$5:$L$818, 2, FALSE)), "")</f>
        <v>200</v>
      </c>
      <c r="X604" s="279">
        <f t="shared" ref="X604:X614" si="309">IFERROR(VLOOKUP(T604, $E$5:$L$818, 5, FALSE) * (U604 / VLOOKUP(T604, $E$5:$L$818, 2, FALSE)), "")</f>
        <v>35</v>
      </c>
      <c r="Y604" s="279">
        <f t="shared" ref="Y604:Y614" si="310">IFERROR(VLOOKUP(T604, $E$5:$L$818, 6, FALSE) * (U604 / VLOOKUP(T604, $E$5:$L$818, 2, FALSE)), "")</f>
        <v>2.5</v>
      </c>
      <c r="Z604" s="279">
        <f t="shared" ref="Z604:Z614" si="311">IFERROR(VLOOKUP(T604, $E$5:$L$818, 7, FALSE) * (U604 / VLOOKUP(T604, $E$5:$L$818, 2, FALSE)), "")</f>
        <v>9</v>
      </c>
      <c r="AA604" s="279">
        <f t="shared" ref="AA604:AA614" si="312">IFERROR(VLOOKUP(T604, $E$5:$L$818, 8, FALSE) * (U604 / VLOOKUP(T604, $E$5:$L$818, 2, FALSE)), "")</f>
        <v>0</v>
      </c>
      <c r="AB604" s="674">
        <f t="shared" ref="AB604:AB614" si="313">IFERROR(VLOOKUP(T604, $E$5:$O$818, 9, FALSE) * (U604 / VLOOKUP(T604, $E$5:$O$818, 2, FALSE)), "")</f>
        <v>0</v>
      </c>
      <c r="AC604" s="277"/>
    </row>
    <row r="605" spans="5:29">
      <c r="E605" s="598"/>
      <c r="F605" s="699"/>
      <c r="G605" s="700"/>
      <c r="H605" s="598"/>
      <c r="I605" s="598"/>
      <c r="J605" s="598"/>
      <c r="K605" s="598"/>
      <c r="L605" s="598"/>
      <c r="Q605" s="288">
        <v>46072</v>
      </c>
      <c r="R605" s="276">
        <v>0.33333333333333331</v>
      </c>
      <c r="S605" s="277" t="s">
        <v>178</v>
      </c>
      <c r="T605" s="277" t="s">
        <v>374</v>
      </c>
      <c r="U605" s="278">
        <v>2</v>
      </c>
      <c r="V605" s="361" t="str">
        <f t="shared" si="307"/>
        <v>egg</v>
      </c>
      <c r="W605" s="279">
        <f t="shared" si="308"/>
        <v>160</v>
      </c>
      <c r="X605" s="279">
        <f t="shared" si="309"/>
        <v>14</v>
      </c>
      <c r="Y605" s="279">
        <f t="shared" si="310"/>
        <v>12</v>
      </c>
      <c r="Z605" s="279">
        <f t="shared" si="311"/>
        <v>0</v>
      </c>
      <c r="AA605" s="279">
        <f t="shared" si="312"/>
        <v>0</v>
      </c>
      <c r="AB605" s="584">
        <f t="shared" si="313"/>
        <v>80</v>
      </c>
      <c r="AC605" s="277"/>
    </row>
    <row r="606" spans="5:29">
      <c r="E606" s="598"/>
      <c r="F606" s="699"/>
      <c r="G606" s="700"/>
      <c r="H606" s="598"/>
      <c r="I606" s="598"/>
      <c r="J606" s="598"/>
      <c r="K606" s="598"/>
      <c r="L606" s="598"/>
      <c r="Q606" s="288">
        <v>46072</v>
      </c>
      <c r="R606" s="276">
        <v>0.41666666666666669</v>
      </c>
      <c r="S606" s="277" t="s">
        <v>289</v>
      </c>
      <c r="T606" s="277" t="s">
        <v>753</v>
      </c>
      <c r="U606" s="278">
        <v>100</v>
      </c>
      <c r="V606" s="361" t="str">
        <f t="shared" si="307"/>
        <v>g</v>
      </c>
      <c r="W606" s="279">
        <f t="shared" si="308"/>
        <v>130</v>
      </c>
      <c r="X606" s="279">
        <f t="shared" si="309"/>
        <v>1</v>
      </c>
      <c r="Y606" s="279">
        <f t="shared" si="310"/>
        <v>0</v>
      </c>
      <c r="Z606" s="279">
        <f t="shared" si="311"/>
        <v>31</v>
      </c>
      <c r="AA606" s="279">
        <f t="shared" si="312"/>
        <v>3</v>
      </c>
      <c r="AB606" s="584">
        <f t="shared" si="313"/>
        <v>0</v>
      </c>
      <c r="AC606" s="277"/>
    </row>
    <row r="607" spans="5:29">
      <c r="E607" s="598"/>
      <c r="F607" s="699"/>
      <c r="G607" s="700"/>
      <c r="H607" s="598"/>
      <c r="I607" s="598"/>
      <c r="J607" s="598"/>
      <c r="K607" s="598"/>
      <c r="L607" s="598"/>
      <c r="Q607" s="288">
        <v>46072</v>
      </c>
      <c r="R607" s="276">
        <v>0.41666666666666669</v>
      </c>
      <c r="S607" s="277" t="s">
        <v>289</v>
      </c>
      <c r="T607" s="277" t="s">
        <v>190</v>
      </c>
      <c r="U607" s="278">
        <v>4</v>
      </c>
      <c r="V607" s="361" t="str">
        <f t="shared" si="307"/>
        <v>medium</v>
      </c>
      <c r="W607" s="279">
        <f t="shared" si="308"/>
        <v>248</v>
      </c>
      <c r="X607" s="279">
        <f t="shared" si="309"/>
        <v>4.8</v>
      </c>
      <c r="Y607" s="279">
        <f t="shared" si="310"/>
        <v>0.8</v>
      </c>
      <c r="Z607" s="279">
        <f t="shared" si="311"/>
        <v>61.6</v>
      </c>
      <c r="AA607" s="279">
        <f t="shared" si="312"/>
        <v>12.4</v>
      </c>
      <c r="AB607" s="584">
        <f t="shared" si="313"/>
        <v>0</v>
      </c>
      <c r="AC607" s="277"/>
    </row>
    <row r="608" spans="5:29">
      <c r="E608" s="598"/>
      <c r="F608" s="699"/>
      <c r="G608" s="700"/>
      <c r="H608" s="598"/>
      <c r="I608" s="598"/>
      <c r="J608" s="598"/>
      <c r="K608" s="598"/>
      <c r="L608" s="598"/>
      <c r="Q608" s="288">
        <v>46072</v>
      </c>
      <c r="R608" s="276">
        <v>0.54166666666666663</v>
      </c>
      <c r="S608" s="277" t="s">
        <v>185</v>
      </c>
      <c r="T608" s="277" t="s">
        <v>545</v>
      </c>
      <c r="U608" s="278">
        <v>1</v>
      </c>
      <c r="V608" s="361" t="str">
        <f t="shared" si="307"/>
        <v>bowl</v>
      </c>
      <c r="W608" s="279">
        <f t="shared" si="308"/>
        <v>950</v>
      </c>
      <c r="X608" s="279">
        <f t="shared" si="309"/>
        <v>55</v>
      </c>
      <c r="Y608" s="279">
        <f t="shared" si="310"/>
        <v>45</v>
      </c>
      <c r="Z608" s="279">
        <f t="shared" si="311"/>
        <v>95</v>
      </c>
      <c r="AA608" s="279">
        <f t="shared" si="312"/>
        <v>4</v>
      </c>
      <c r="AB608" s="584">
        <f t="shared" si="313"/>
        <v>0</v>
      </c>
      <c r="AC608" s="277"/>
    </row>
    <row r="609" spans="5:29">
      <c r="E609" s="598"/>
      <c r="F609" s="699"/>
      <c r="G609" s="700"/>
      <c r="H609" s="598"/>
      <c r="I609" s="598"/>
      <c r="J609" s="598"/>
      <c r="K609" s="598"/>
      <c r="L609" s="598"/>
      <c r="Q609" s="288">
        <v>46072</v>
      </c>
      <c r="R609" s="276">
        <v>0.625</v>
      </c>
      <c r="S609" s="277" t="s">
        <v>289</v>
      </c>
      <c r="T609" s="277" t="s">
        <v>214</v>
      </c>
      <c r="U609" s="278">
        <v>1</v>
      </c>
      <c r="V609" s="361" t="str">
        <f t="shared" si="307"/>
        <v>bar</v>
      </c>
      <c r="W609" s="279">
        <f t="shared" si="308"/>
        <v>67</v>
      </c>
      <c r="X609" s="279">
        <f t="shared" si="309"/>
        <v>1</v>
      </c>
      <c r="Y609" s="279">
        <f t="shared" si="310"/>
        <v>3.5</v>
      </c>
      <c r="Z609" s="279">
        <f t="shared" si="311"/>
        <v>22</v>
      </c>
      <c r="AA609" s="279">
        <f t="shared" si="312"/>
        <v>0.3</v>
      </c>
      <c r="AB609" s="584">
        <f t="shared" si="313"/>
        <v>0</v>
      </c>
      <c r="AC609" s="277"/>
    </row>
    <row r="610" spans="5:29">
      <c r="E610" s="598"/>
      <c r="F610" s="699"/>
      <c r="G610" s="700"/>
      <c r="H610" s="598"/>
      <c r="I610" s="598"/>
      <c r="J610" s="598"/>
      <c r="K610" s="598"/>
      <c r="L610" s="598"/>
      <c r="Q610" s="288">
        <v>46072</v>
      </c>
      <c r="R610" s="276">
        <v>0.83333333333333337</v>
      </c>
      <c r="S610" s="277" t="s">
        <v>199</v>
      </c>
      <c r="T610" s="277" t="s">
        <v>618</v>
      </c>
      <c r="U610" s="278">
        <v>4</v>
      </c>
      <c r="V610" s="361" t="str">
        <f t="shared" si="307"/>
        <v>pieces</v>
      </c>
      <c r="W610" s="279">
        <f t="shared" si="308"/>
        <v>640</v>
      </c>
      <c r="X610" s="279">
        <f t="shared" si="309"/>
        <v>50.666666666666664</v>
      </c>
      <c r="Y610" s="279">
        <f t="shared" si="310"/>
        <v>34.666666666666664</v>
      </c>
      <c r="Z610" s="279">
        <f t="shared" si="311"/>
        <v>37.333333333333329</v>
      </c>
      <c r="AA610" s="279">
        <f t="shared" si="312"/>
        <v>1.3333333333333333</v>
      </c>
      <c r="AB610" s="584">
        <f t="shared" si="313"/>
        <v>0</v>
      </c>
      <c r="AC610" s="277"/>
    </row>
    <row r="611" spans="5:29">
      <c r="E611" s="598"/>
      <c r="F611" s="699"/>
      <c r="G611" s="700"/>
      <c r="H611" s="598"/>
      <c r="I611" s="598"/>
      <c r="J611" s="598"/>
      <c r="K611" s="598"/>
      <c r="L611" s="598"/>
      <c r="Q611" s="288">
        <v>46072</v>
      </c>
      <c r="R611" s="276">
        <v>0.83333333333333337</v>
      </c>
      <c r="S611" s="277" t="s">
        <v>289</v>
      </c>
      <c r="T611" s="277" t="s">
        <v>622</v>
      </c>
      <c r="U611" s="278">
        <v>3</v>
      </c>
      <c r="V611" s="361" t="str">
        <f t="shared" si="307"/>
        <v>pieces</v>
      </c>
      <c r="W611" s="279">
        <f t="shared" si="308"/>
        <v>190</v>
      </c>
      <c r="X611" s="279">
        <f t="shared" si="309"/>
        <v>2</v>
      </c>
      <c r="Y611" s="279">
        <f t="shared" si="310"/>
        <v>12</v>
      </c>
      <c r="Z611" s="279">
        <f t="shared" si="311"/>
        <v>22</v>
      </c>
      <c r="AA611" s="279">
        <f t="shared" si="312"/>
        <v>2</v>
      </c>
      <c r="AB611" s="584">
        <f t="shared" si="313"/>
        <v>0</v>
      </c>
      <c r="AC611" s="277"/>
    </row>
    <row r="612" spans="5:29">
      <c r="E612" s="598"/>
      <c r="F612" s="699"/>
      <c r="G612" s="700"/>
      <c r="H612" s="598"/>
      <c r="I612" s="598"/>
      <c r="J612" s="598"/>
      <c r="K612" s="598"/>
      <c r="L612" s="598"/>
      <c r="Q612" s="288">
        <v>46072</v>
      </c>
      <c r="R612" s="276">
        <v>0.83333333333333337</v>
      </c>
      <c r="S612" s="277" t="s">
        <v>289</v>
      </c>
      <c r="T612" s="277" t="s">
        <v>623</v>
      </c>
      <c r="U612" s="278">
        <v>3</v>
      </c>
      <c r="V612" s="361" t="str">
        <f t="shared" si="307"/>
        <v>pieces</v>
      </c>
      <c r="W612" s="279">
        <f t="shared" si="308"/>
        <v>160</v>
      </c>
      <c r="X612" s="279">
        <f t="shared" si="309"/>
        <v>1</v>
      </c>
      <c r="Y612" s="279">
        <f t="shared" si="310"/>
        <v>0</v>
      </c>
      <c r="Z612" s="279">
        <f t="shared" si="311"/>
        <v>40</v>
      </c>
      <c r="AA612" s="279">
        <f t="shared" si="312"/>
        <v>2</v>
      </c>
      <c r="AB612" s="584">
        <f t="shared" si="313"/>
        <v>0</v>
      </c>
      <c r="AC612" s="277"/>
    </row>
    <row r="613" spans="5:29">
      <c r="E613" s="598"/>
      <c r="F613" s="699"/>
      <c r="G613" s="700"/>
      <c r="H613" s="598"/>
      <c r="I613" s="598"/>
      <c r="J613" s="598"/>
      <c r="K613" s="598"/>
      <c r="L613" s="598"/>
      <c r="Q613" s="288">
        <v>46072</v>
      </c>
      <c r="R613" s="276">
        <v>0.875</v>
      </c>
      <c r="S613" s="277" t="s">
        <v>199</v>
      </c>
      <c r="T613" s="277" t="s">
        <v>619</v>
      </c>
      <c r="U613" s="278">
        <v>3</v>
      </c>
      <c r="V613" s="361" t="str">
        <f t="shared" si="307"/>
        <v>rolls</v>
      </c>
      <c r="W613" s="279">
        <f t="shared" si="308"/>
        <v>180</v>
      </c>
      <c r="X613" s="279">
        <f t="shared" si="309"/>
        <v>9</v>
      </c>
      <c r="Y613" s="279">
        <f t="shared" si="310"/>
        <v>3</v>
      </c>
      <c r="Z613" s="279">
        <f t="shared" si="311"/>
        <v>30</v>
      </c>
      <c r="AA613" s="279">
        <f t="shared" si="312"/>
        <v>2.25</v>
      </c>
      <c r="AB613" s="584">
        <f t="shared" si="313"/>
        <v>60</v>
      </c>
      <c r="AC613" s="277"/>
    </row>
    <row r="614" spans="5:29">
      <c r="E614" s="598"/>
      <c r="F614" s="699"/>
      <c r="G614" s="700"/>
      <c r="H614" s="598"/>
      <c r="I614" s="598"/>
      <c r="J614" s="598"/>
      <c r="K614" s="598"/>
      <c r="L614" s="598"/>
      <c r="Q614" s="288">
        <v>46072</v>
      </c>
      <c r="R614" s="276">
        <v>0.875</v>
      </c>
      <c r="S614" s="277" t="s">
        <v>199</v>
      </c>
      <c r="T614" s="277" t="s">
        <v>621</v>
      </c>
      <c r="U614" s="278">
        <v>200</v>
      </c>
      <c r="V614" s="361" t="str">
        <f t="shared" si="307"/>
        <v>g</v>
      </c>
      <c r="W614" s="279">
        <f t="shared" si="308"/>
        <v>466.66666666666663</v>
      </c>
      <c r="X614" s="279">
        <f t="shared" si="309"/>
        <v>40</v>
      </c>
      <c r="Y614" s="279">
        <f t="shared" si="310"/>
        <v>33.333333333333329</v>
      </c>
      <c r="Z614" s="279">
        <f t="shared" si="311"/>
        <v>4</v>
      </c>
      <c r="AA614" s="279">
        <f t="shared" si="312"/>
        <v>0</v>
      </c>
      <c r="AB614" s="684">
        <f t="shared" si="313"/>
        <v>0</v>
      </c>
      <c r="AC614" s="277"/>
    </row>
    <row r="615" spans="5:29">
      <c r="E615" s="598"/>
      <c r="F615" s="699"/>
      <c r="G615" s="700"/>
      <c r="H615" s="598"/>
      <c r="I615" s="598"/>
      <c r="J615" s="598"/>
      <c r="K615" s="598"/>
      <c r="L615" s="598"/>
      <c r="Q615" s="280"/>
      <c r="R615" s="281" t="s">
        <v>217</v>
      </c>
      <c r="S615" s="294"/>
      <c r="T615" s="282"/>
      <c r="U615" s="282"/>
      <c r="V615" s="364"/>
      <c r="W615" s="283">
        <f t="shared" ref="W615:AB615" si="314">SUM(W604:W614)</f>
        <v>3391.6666666666665</v>
      </c>
      <c r="X615" s="283">
        <f t="shared" si="314"/>
        <v>213.46666666666667</v>
      </c>
      <c r="Y615" s="283">
        <f t="shared" si="314"/>
        <v>146.80000000000001</v>
      </c>
      <c r="Z615" s="283">
        <f t="shared" si="314"/>
        <v>351.93333333333334</v>
      </c>
      <c r="AA615" s="683">
        <f t="shared" si="314"/>
        <v>27.283333333333331</v>
      </c>
      <c r="AB615" s="691">
        <f t="shared" si="314"/>
        <v>140</v>
      </c>
      <c r="AC615" s="281"/>
    </row>
    <row r="616" spans="5:29">
      <c r="E616" s="598"/>
      <c r="F616" s="699"/>
      <c r="G616" s="700"/>
      <c r="H616" s="598"/>
      <c r="I616" s="598"/>
      <c r="J616" s="598"/>
      <c r="K616" s="598"/>
      <c r="L616" s="598"/>
      <c r="Q616" s="280"/>
      <c r="R616" s="281" t="s">
        <v>220</v>
      </c>
      <c r="S616" s="294"/>
      <c r="T616" s="282"/>
      <c r="U616" s="282"/>
      <c r="V616" s="364"/>
      <c r="W616" s="284">
        <f>$B$27</f>
        <v>2834.5625</v>
      </c>
      <c r="X616" s="284">
        <f>$B$29</f>
        <v>154</v>
      </c>
      <c r="Y616" s="284">
        <f>$B$30</f>
        <v>63.91</v>
      </c>
      <c r="Z616" s="284">
        <f>$B$31</f>
        <v>410.84312499999999</v>
      </c>
      <c r="AA616" s="690">
        <f>$B$32</f>
        <v>39.683875</v>
      </c>
      <c r="AB616" s="695">
        <f>$B$39</f>
        <v>500</v>
      </c>
      <c r="AC616" s="281"/>
    </row>
    <row r="617" spans="5:29">
      <c r="E617" s="598"/>
      <c r="F617" s="699"/>
      <c r="G617" s="700"/>
      <c r="H617" s="598"/>
      <c r="I617" s="598"/>
      <c r="J617" s="598"/>
      <c r="K617" s="598"/>
      <c r="L617" s="598"/>
      <c r="Q617" s="280"/>
      <c r="R617" s="281" t="s">
        <v>222</v>
      </c>
      <c r="S617" s="294"/>
      <c r="T617" s="282"/>
      <c r="U617" s="282"/>
      <c r="V617" s="364"/>
      <c r="W617" s="284">
        <f t="shared" ref="W617:AB617" si="315">W615-W616</f>
        <v>557.10416666666652</v>
      </c>
      <c r="X617" s="284">
        <f t="shared" si="315"/>
        <v>59.466666666666669</v>
      </c>
      <c r="Y617" s="284">
        <f t="shared" si="315"/>
        <v>82.890000000000015</v>
      </c>
      <c r="Z617" s="284">
        <f t="shared" si="315"/>
        <v>-58.909791666666649</v>
      </c>
      <c r="AA617" s="690">
        <f t="shared" si="315"/>
        <v>-12.400541666666669</v>
      </c>
      <c r="AB617" s="689">
        <f t="shared" si="315"/>
        <v>-360</v>
      </c>
      <c r="AC617" s="281"/>
    </row>
    <row r="618" spans="5:29">
      <c r="E618" s="598"/>
      <c r="F618" s="699"/>
      <c r="G618" s="700"/>
      <c r="H618" s="598"/>
      <c r="I618" s="598"/>
      <c r="J618" s="598"/>
      <c r="K618" s="598"/>
      <c r="L618" s="598"/>
      <c r="Q618" s="288">
        <v>46073</v>
      </c>
      <c r="R618" s="276">
        <v>0.33333333333333331</v>
      </c>
      <c r="S618" s="277" t="s">
        <v>178</v>
      </c>
      <c r="T618" s="277" t="s">
        <v>616</v>
      </c>
      <c r="U618" s="278">
        <v>1</v>
      </c>
      <c r="V618" s="361" t="str">
        <f t="shared" ref="V618:V625" si="316">IFERROR(VLOOKUP(T618, $E$5:$L$818, 3, FALSE), "")</f>
        <v>meal</v>
      </c>
      <c r="W618" s="279">
        <f t="shared" ref="W618:W625" si="317">IFERROR(VLOOKUP(T618, $E$5:$L$818, 4, FALSE) * (U618 / VLOOKUP(T618, $E$5:$L$818, 2, FALSE)), "")</f>
        <v>880</v>
      </c>
      <c r="X618" s="279">
        <f t="shared" ref="X618:X625" si="318">IFERROR(VLOOKUP(T618, $E$5:$L$818, 5, FALSE) * (U618 / VLOOKUP(T618, $E$5:$L$818, 2, FALSE)), "")</f>
        <v>78</v>
      </c>
      <c r="Y618" s="279">
        <f t="shared" ref="Y618:Y625" si="319">IFERROR(VLOOKUP(T618, $E$5:$L$818, 6, FALSE) * (U618 / VLOOKUP(T618, $E$5:$L$818, 2, FALSE)), "")</f>
        <v>28</v>
      </c>
      <c r="Z618" s="279">
        <f t="shared" ref="Z618:Z625" si="320">IFERROR(VLOOKUP(T618, $E$5:$L$818, 7, FALSE) * (U618 / VLOOKUP(T618, $E$5:$L$818, 2, FALSE)), "")</f>
        <v>90</v>
      </c>
      <c r="AA618" s="279">
        <f t="shared" ref="AA618:AA625" si="321">IFERROR(VLOOKUP(T618, $E$5:$L$818, 8, FALSE) * (U618 / VLOOKUP(T618, $E$5:$L$818, 2, FALSE)), "")</f>
        <v>3</v>
      </c>
      <c r="AB618" s="674">
        <f t="shared" ref="AB618:AB625" si="322">IFERROR(VLOOKUP(T618, $E$5:$O$818, 9, FALSE) * (U618 / VLOOKUP(T618, $E$5:$O$818, 2, FALSE)), "")</f>
        <v>0</v>
      </c>
      <c r="AC618" s="277"/>
    </row>
    <row r="619" spans="5:29">
      <c r="E619" s="598"/>
      <c r="F619" s="699"/>
      <c r="G619" s="700"/>
      <c r="H619" s="598"/>
      <c r="I619" s="598"/>
      <c r="J619" s="598"/>
      <c r="K619" s="598"/>
      <c r="L619" s="598"/>
      <c r="Q619" s="288">
        <v>46073</v>
      </c>
      <c r="R619" s="276">
        <v>0.375</v>
      </c>
      <c r="S619" s="277" t="s">
        <v>178</v>
      </c>
      <c r="T619" s="277" t="s">
        <v>295</v>
      </c>
      <c r="U619" s="278">
        <v>1</v>
      </c>
      <c r="V619" s="361" t="str">
        <f t="shared" si="316"/>
        <v>bottle</v>
      </c>
      <c r="W619" s="279">
        <f t="shared" si="317"/>
        <v>200</v>
      </c>
      <c r="X619" s="279">
        <f t="shared" si="318"/>
        <v>35</v>
      </c>
      <c r="Y619" s="279">
        <f t="shared" si="319"/>
        <v>2.5</v>
      </c>
      <c r="Z619" s="279">
        <f t="shared" si="320"/>
        <v>9</v>
      </c>
      <c r="AA619" s="279">
        <f t="shared" si="321"/>
        <v>0</v>
      </c>
      <c r="AB619" s="584">
        <f t="shared" si="322"/>
        <v>0</v>
      </c>
      <c r="AC619" s="277"/>
    </row>
    <row r="620" spans="5:29">
      <c r="E620" s="598"/>
      <c r="F620" s="699"/>
      <c r="G620" s="700"/>
      <c r="H620" s="598"/>
      <c r="I620" s="598"/>
      <c r="J620" s="598"/>
      <c r="K620" s="598"/>
      <c r="L620" s="598"/>
      <c r="Q620" s="288">
        <v>46073</v>
      </c>
      <c r="R620" s="276">
        <v>0.375</v>
      </c>
      <c r="S620" s="277" t="s">
        <v>289</v>
      </c>
      <c r="T620" s="277" t="s">
        <v>753</v>
      </c>
      <c r="U620" s="278">
        <v>170</v>
      </c>
      <c r="V620" s="361" t="str">
        <f t="shared" si="316"/>
        <v>g</v>
      </c>
      <c r="W620" s="279">
        <f t="shared" si="317"/>
        <v>221</v>
      </c>
      <c r="X620" s="279">
        <f t="shared" si="318"/>
        <v>1.7</v>
      </c>
      <c r="Y620" s="279">
        <f t="shared" si="319"/>
        <v>0</v>
      </c>
      <c r="Z620" s="279">
        <f t="shared" si="320"/>
        <v>52.699999999999996</v>
      </c>
      <c r="AA620" s="279">
        <f t="shared" si="321"/>
        <v>5.0999999999999996</v>
      </c>
      <c r="AB620" s="584">
        <f t="shared" si="322"/>
        <v>0</v>
      </c>
      <c r="AC620" s="277"/>
    </row>
    <row r="621" spans="5:29">
      <c r="E621" s="598"/>
      <c r="F621" s="699"/>
      <c r="G621" s="700"/>
      <c r="H621" s="598"/>
      <c r="I621" s="598"/>
      <c r="J621" s="598"/>
      <c r="K621" s="598"/>
      <c r="L621" s="598"/>
      <c r="Q621" s="288">
        <v>46073</v>
      </c>
      <c r="R621" s="276">
        <v>0.41666666666666702</v>
      </c>
      <c r="S621" s="277" t="s">
        <v>289</v>
      </c>
      <c r="T621" s="277" t="s">
        <v>190</v>
      </c>
      <c r="U621" s="278">
        <v>2</v>
      </c>
      <c r="V621" s="361" t="str">
        <f t="shared" si="316"/>
        <v>medium</v>
      </c>
      <c r="W621" s="279">
        <f t="shared" si="317"/>
        <v>124</v>
      </c>
      <c r="X621" s="279">
        <f t="shared" si="318"/>
        <v>2.4</v>
      </c>
      <c r="Y621" s="279">
        <f t="shared" si="319"/>
        <v>0.4</v>
      </c>
      <c r="Z621" s="279">
        <f t="shared" si="320"/>
        <v>30.8</v>
      </c>
      <c r="AA621" s="279">
        <f t="shared" si="321"/>
        <v>6.2</v>
      </c>
      <c r="AB621" s="584">
        <f t="shared" si="322"/>
        <v>0</v>
      </c>
      <c r="AC621" s="277"/>
    </row>
    <row r="622" spans="5:29">
      <c r="E622" s="598"/>
      <c r="F622" s="699"/>
      <c r="G622" s="700"/>
      <c r="H622" s="598"/>
      <c r="I622" s="598"/>
      <c r="J622" s="598"/>
      <c r="K622" s="598"/>
      <c r="L622" s="598"/>
      <c r="Q622" s="288">
        <v>46073</v>
      </c>
      <c r="R622" s="276">
        <v>0.45833333333333331</v>
      </c>
      <c r="S622" s="277" t="s">
        <v>289</v>
      </c>
      <c r="T622" s="277" t="s">
        <v>423</v>
      </c>
      <c r="U622" s="278">
        <v>2</v>
      </c>
      <c r="V622" s="361" t="str">
        <f t="shared" si="316"/>
        <v>pieces</v>
      </c>
      <c r="W622" s="279">
        <f t="shared" si="317"/>
        <v>15</v>
      </c>
      <c r="X622" s="279">
        <f t="shared" si="318"/>
        <v>0</v>
      </c>
      <c r="Y622" s="279">
        <f t="shared" si="319"/>
        <v>0</v>
      </c>
      <c r="Z622" s="279">
        <f t="shared" si="320"/>
        <v>3</v>
      </c>
      <c r="AA622" s="279">
        <f t="shared" si="321"/>
        <v>0</v>
      </c>
      <c r="AB622" s="584">
        <f t="shared" si="322"/>
        <v>0</v>
      </c>
      <c r="AC622" s="277"/>
    </row>
    <row r="623" spans="5:29">
      <c r="E623" s="598"/>
      <c r="F623" s="699"/>
      <c r="G623" s="700"/>
      <c r="H623" s="598"/>
      <c r="I623" s="598"/>
      <c r="J623" s="598"/>
      <c r="K623" s="598"/>
      <c r="L623" s="598"/>
      <c r="Q623" s="288">
        <v>46073</v>
      </c>
      <c r="R623" s="276">
        <v>0.5</v>
      </c>
      <c r="S623" s="277" t="s">
        <v>289</v>
      </c>
      <c r="T623" s="277" t="s">
        <v>369</v>
      </c>
      <c r="U623" s="278">
        <v>1</v>
      </c>
      <c r="V623" s="361" t="str">
        <f t="shared" si="316"/>
        <v>lozenge</v>
      </c>
      <c r="W623" s="279">
        <f t="shared" si="317"/>
        <v>10</v>
      </c>
      <c r="X623" s="279">
        <f t="shared" si="318"/>
        <v>0</v>
      </c>
      <c r="Y623" s="279">
        <f t="shared" si="319"/>
        <v>0</v>
      </c>
      <c r="Z623" s="279">
        <f t="shared" si="320"/>
        <v>3</v>
      </c>
      <c r="AA623" s="279">
        <f t="shared" si="321"/>
        <v>0</v>
      </c>
      <c r="AB623" s="584">
        <f t="shared" si="322"/>
        <v>0</v>
      </c>
      <c r="AC623" s="277"/>
    </row>
    <row r="624" spans="5:29">
      <c r="E624" s="598"/>
      <c r="F624" s="699"/>
      <c r="G624" s="700"/>
      <c r="H624" s="598"/>
      <c r="I624" s="598"/>
      <c r="J624" s="598"/>
      <c r="K624" s="598"/>
      <c r="L624" s="598"/>
      <c r="Q624" s="288">
        <v>46073</v>
      </c>
      <c r="R624" s="276">
        <v>0.54166666666666663</v>
      </c>
      <c r="S624" s="277" t="s">
        <v>199</v>
      </c>
      <c r="T624" s="277" t="s">
        <v>656</v>
      </c>
      <c r="U624" s="278">
        <v>1</v>
      </c>
      <c r="V624" s="361" t="str">
        <f t="shared" si="316"/>
        <v>bowl</v>
      </c>
      <c r="W624" s="279">
        <f t="shared" si="317"/>
        <v>920</v>
      </c>
      <c r="X624" s="279">
        <f t="shared" si="318"/>
        <v>42</v>
      </c>
      <c r="Y624" s="279">
        <f t="shared" si="319"/>
        <v>38</v>
      </c>
      <c r="Z624" s="279">
        <f t="shared" si="320"/>
        <v>110</v>
      </c>
      <c r="AA624" s="279">
        <f t="shared" si="321"/>
        <v>7</v>
      </c>
      <c r="AB624" s="584">
        <f t="shared" si="322"/>
        <v>0</v>
      </c>
      <c r="AC624" s="277"/>
    </row>
    <row r="625" spans="5:29">
      <c r="E625" s="598"/>
      <c r="F625" s="699"/>
      <c r="G625" s="700"/>
      <c r="H625" s="598"/>
      <c r="I625" s="598"/>
      <c r="J625" s="598"/>
      <c r="K625" s="598"/>
      <c r="L625" s="598"/>
      <c r="Q625" s="288">
        <v>46073</v>
      </c>
      <c r="R625" s="276">
        <v>0.625</v>
      </c>
      <c r="S625" s="277" t="s">
        <v>289</v>
      </c>
      <c r="T625" s="277" t="s">
        <v>768</v>
      </c>
      <c r="U625" s="278">
        <v>42</v>
      </c>
      <c r="V625" s="361" t="str">
        <f t="shared" si="316"/>
        <v>pieces</v>
      </c>
      <c r="W625" s="279">
        <f t="shared" si="317"/>
        <v>420</v>
      </c>
      <c r="X625" s="279">
        <f t="shared" si="318"/>
        <v>12</v>
      </c>
      <c r="Y625" s="279">
        <f t="shared" si="319"/>
        <v>0</v>
      </c>
      <c r="Z625" s="279">
        <f t="shared" si="320"/>
        <v>96</v>
      </c>
      <c r="AA625" s="279">
        <f t="shared" si="321"/>
        <v>0</v>
      </c>
      <c r="AB625" s="684">
        <f t="shared" si="322"/>
        <v>0</v>
      </c>
      <c r="AC625" s="277"/>
    </row>
    <row r="626" spans="5:29">
      <c r="E626" s="598"/>
      <c r="F626" s="699"/>
      <c r="G626" s="700"/>
      <c r="H626" s="598"/>
      <c r="I626" s="598"/>
      <c r="J626" s="598"/>
      <c r="K626" s="598"/>
      <c r="L626" s="598"/>
      <c r="Q626" s="280"/>
      <c r="R626" s="281" t="s">
        <v>217</v>
      </c>
      <c r="S626" s="294"/>
      <c r="T626" s="282"/>
      <c r="U626" s="282"/>
      <c r="V626" s="364"/>
      <c r="W626" s="283">
        <f t="shared" ref="W626:AB626" si="323">SUM(W618:W625)</f>
        <v>2790</v>
      </c>
      <c r="X626" s="283">
        <f t="shared" si="323"/>
        <v>171.10000000000002</v>
      </c>
      <c r="Y626" s="283">
        <f t="shared" si="323"/>
        <v>68.900000000000006</v>
      </c>
      <c r="Z626" s="283">
        <f t="shared" si="323"/>
        <v>394.5</v>
      </c>
      <c r="AA626" s="683">
        <f t="shared" si="323"/>
        <v>21.3</v>
      </c>
      <c r="AB626" s="691">
        <f t="shared" si="323"/>
        <v>0</v>
      </c>
      <c r="AC626" s="281"/>
    </row>
    <row r="627" spans="5:29">
      <c r="E627" s="598"/>
      <c r="F627" s="699"/>
      <c r="G627" s="700"/>
      <c r="H627" s="598"/>
      <c r="I627" s="598"/>
      <c r="J627" s="598"/>
      <c r="K627" s="598"/>
      <c r="L627" s="598"/>
      <c r="Q627" s="280"/>
      <c r="R627" s="281" t="s">
        <v>220</v>
      </c>
      <c r="S627" s="294"/>
      <c r="T627" s="282"/>
      <c r="U627" s="282"/>
      <c r="V627" s="364"/>
      <c r="W627" s="284">
        <f>$B$27</f>
        <v>2834.5625</v>
      </c>
      <c r="X627" s="284">
        <f>$B$29</f>
        <v>154</v>
      </c>
      <c r="Y627" s="284">
        <f>$B$30</f>
        <v>63.91</v>
      </c>
      <c r="Z627" s="284">
        <f>$B$31</f>
        <v>410.84312499999999</v>
      </c>
      <c r="AA627" s="690">
        <f>$B$32</f>
        <v>39.683875</v>
      </c>
      <c r="AB627" s="695">
        <f>$B$39</f>
        <v>500</v>
      </c>
      <c r="AC627" s="281"/>
    </row>
    <row r="628" spans="5:29">
      <c r="E628" s="598"/>
      <c r="F628" s="699"/>
      <c r="G628" s="700"/>
      <c r="H628" s="598"/>
      <c r="I628" s="598"/>
      <c r="J628" s="598"/>
      <c r="K628" s="598"/>
      <c r="L628" s="598"/>
      <c r="Q628" s="280"/>
      <c r="R628" s="281" t="s">
        <v>222</v>
      </c>
      <c r="S628" s="294"/>
      <c r="T628" s="282"/>
      <c r="U628" s="282"/>
      <c r="V628" s="364"/>
      <c r="W628" s="284">
        <f t="shared" ref="W628:AB628" si="324">W626-W627</f>
        <v>-44.5625</v>
      </c>
      <c r="X628" s="284">
        <f t="shared" si="324"/>
        <v>17.100000000000023</v>
      </c>
      <c r="Y628" s="284">
        <f t="shared" si="324"/>
        <v>4.9900000000000091</v>
      </c>
      <c r="Z628" s="284">
        <f t="shared" si="324"/>
        <v>-16.343124999999986</v>
      </c>
      <c r="AA628" s="690">
        <f t="shared" si="324"/>
        <v>-18.383875</v>
      </c>
      <c r="AB628" s="689">
        <f t="shared" si="324"/>
        <v>-500</v>
      </c>
      <c r="AC628" s="281"/>
    </row>
    <row r="629" spans="5:29">
      <c r="E629" s="598"/>
      <c r="F629" s="699"/>
      <c r="G629" s="700"/>
      <c r="H629" s="598"/>
      <c r="I629" s="598"/>
      <c r="J629" s="598"/>
      <c r="K629" s="598"/>
      <c r="L629" s="598"/>
      <c r="Q629" s="432">
        <v>46074</v>
      </c>
      <c r="R629" s="433">
        <v>0.16666666666666666</v>
      </c>
      <c r="S629" s="434" t="s">
        <v>178</v>
      </c>
      <c r="T629" s="434" t="s">
        <v>295</v>
      </c>
      <c r="U629" s="435">
        <v>1</v>
      </c>
      <c r="V629" s="436" t="str">
        <f t="shared" ref="V629:V640" si="325">IFERROR(VLOOKUP(T629, $E$5:$L$818, 3, FALSE), "")</f>
        <v>bottle</v>
      </c>
      <c r="W629" s="437">
        <f t="shared" ref="W629:W640" si="326">IFERROR(VLOOKUP(T629, $E$5:$L$818, 4, FALSE) * (U629 / VLOOKUP(T629, $E$5:$L$818, 2, FALSE)), "")</f>
        <v>200</v>
      </c>
      <c r="X629" s="437">
        <f t="shared" ref="X629:X640" si="327">IFERROR(VLOOKUP(T629, $E$5:$L$818, 5, FALSE) * (U629 / VLOOKUP(T629, $E$5:$L$818, 2, FALSE)), "")</f>
        <v>35</v>
      </c>
      <c r="Y629" s="437">
        <f t="shared" ref="Y629:Y640" si="328">IFERROR(VLOOKUP(T629, $E$5:$L$818, 6, FALSE) * (U629 / VLOOKUP(T629, $E$5:$L$818, 2, FALSE)), "")</f>
        <v>2.5</v>
      </c>
      <c r="Z629" s="437">
        <f t="shared" ref="Z629:Z640" si="329">IFERROR(VLOOKUP(T629, $E$5:$L$818, 7, FALSE) * (U629 / VLOOKUP(T629, $E$5:$L$818, 2, FALSE)), "")</f>
        <v>9</v>
      </c>
      <c r="AA629" s="437">
        <f t="shared" ref="AA629:AA640" si="330">IFERROR(VLOOKUP(T629, $E$5:$L$818, 8, FALSE) * (U629 / VLOOKUP(T629, $E$5:$L$818, 2, FALSE)), "")</f>
        <v>0</v>
      </c>
      <c r="AB629" s="674">
        <f t="shared" ref="AB629:AB640" si="331">IFERROR(VLOOKUP(T629, $E$5:$O$818, 9, FALSE) * (U629 / VLOOKUP(T629, $E$5:$O$818, 2, FALSE)), "")</f>
        <v>0</v>
      </c>
      <c r="AC629" s="434"/>
    </row>
    <row r="630" spans="5:29">
      <c r="E630" s="598"/>
      <c r="F630" s="699"/>
      <c r="G630" s="700"/>
      <c r="H630" s="598"/>
      <c r="I630" s="598"/>
      <c r="J630" s="598"/>
      <c r="K630" s="598"/>
      <c r="L630" s="598"/>
      <c r="Q630" s="432">
        <v>46074</v>
      </c>
      <c r="R630" s="433">
        <v>0.16666666666666666</v>
      </c>
      <c r="S630" s="434" t="s">
        <v>178</v>
      </c>
      <c r="T630" s="434" t="s">
        <v>181</v>
      </c>
      <c r="U630" s="435">
        <v>2</v>
      </c>
      <c r="V630" s="436" t="str">
        <f t="shared" si="325"/>
        <v>slice</v>
      </c>
      <c r="W630" s="437">
        <f t="shared" si="326"/>
        <v>140</v>
      </c>
      <c r="X630" s="437">
        <f t="shared" si="327"/>
        <v>5</v>
      </c>
      <c r="Y630" s="437">
        <f t="shared" si="328"/>
        <v>2.5</v>
      </c>
      <c r="Z630" s="437">
        <f t="shared" si="329"/>
        <v>24</v>
      </c>
      <c r="AA630" s="437">
        <f t="shared" si="330"/>
        <v>2</v>
      </c>
      <c r="AB630" s="584">
        <f t="shared" si="331"/>
        <v>0</v>
      </c>
      <c r="AC630" s="434"/>
    </row>
    <row r="631" spans="5:29">
      <c r="E631" s="598"/>
      <c r="F631" s="699"/>
      <c r="G631" s="700"/>
      <c r="H631" s="598"/>
      <c r="I631" s="598"/>
      <c r="J631" s="598"/>
      <c r="K631" s="598"/>
      <c r="L631" s="598"/>
      <c r="Q631" s="432">
        <v>46074</v>
      </c>
      <c r="R631" s="433">
        <v>0.41666666666666669</v>
      </c>
      <c r="S631" s="434" t="s">
        <v>289</v>
      </c>
      <c r="T631" s="434" t="s">
        <v>181</v>
      </c>
      <c r="U631" s="435">
        <v>2</v>
      </c>
      <c r="V631" s="436" t="str">
        <f t="shared" si="325"/>
        <v>slice</v>
      </c>
      <c r="W631" s="437">
        <f t="shared" si="326"/>
        <v>140</v>
      </c>
      <c r="X631" s="437">
        <f t="shared" si="327"/>
        <v>5</v>
      </c>
      <c r="Y631" s="437">
        <f t="shared" si="328"/>
        <v>2.5</v>
      </c>
      <c r="Z631" s="437">
        <f t="shared" si="329"/>
        <v>24</v>
      </c>
      <c r="AA631" s="437">
        <f t="shared" si="330"/>
        <v>2</v>
      </c>
      <c r="AB631" s="584">
        <f t="shared" si="331"/>
        <v>0</v>
      </c>
      <c r="AC631" s="434"/>
    </row>
    <row r="632" spans="5:29">
      <c r="E632" s="598"/>
      <c r="F632" s="699"/>
      <c r="G632" s="700"/>
      <c r="H632" s="598"/>
      <c r="I632" s="598"/>
      <c r="J632" s="598"/>
      <c r="K632" s="598"/>
      <c r="L632" s="598"/>
      <c r="Q632" s="432">
        <v>46074</v>
      </c>
      <c r="R632" s="433">
        <v>0.54166666666666663</v>
      </c>
      <c r="S632" s="434" t="s">
        <v>185</v>
      </c>
      <c r="T632" s="434" t="s">
        <v>817</v>
      </c>
      <c r="U632" s="435">
        <v>127</v>
      </c>
      <c r="V632" s="436" t="str">
        <f t="shared" si="325"/>
        <v>g</v>
      </c>
      <c r="W632" s="437">
        <f t="shared" si="326"/>
        <v>139.69999999999999</v>
      </c>
      <c r="X632" s="437">
        <f t="shared" si="327"/>
        <v>26.67</v>
      </c>
      <c r="Y632" s="437">
        <f t="shared" si="328"/>
        <v>3.81</v>
      </c>
      <c r="Z632" s="437">
        <f t="shared" si="329"/>
        <v>0</v>
      </c>
      <c r="AA632" s="437">
        <f t="shared" si="330"/>
        <v>0</v>
      </c>
      <c r="AB632" s="584">
        <f t="shared" si="331"/>
        <v>0</v>
      </c>
      <c r="AC632" s="434"/>
    </row>
    <row r="633" spans="5:29">
      <c r="E633" s="598"/>
      <c r="F633" s="699"/>
      <c r="G633" s="700"/>
      <c r="H633" s="598"/>
      <c r="I633" s="598"/>
      <c r="J633" s="598"/>
      <c r="K633" s="598"/>
      <c r="L633" s="598"/>
      <c r="Q633" s="432">
        <v>46074</v>
      </c>
      <c r="R633" s="433">
        <v>0.54166666666666663</v>
      </c>
      <c r="S633" s="434" t="s">
        <v>185</v>
      </c>
      <c r="T633" s="434" t="s">
        <v>176</v>
      </c>
      <c r="U633" s="435">
        <v>260</v>
      </c>
      <c r="V633" s="436" t="str">
        <f t="shared" si="325"/>
        <v>g</v>
      </c>
      <c r="W633" s="437">
        <f t="shared" si="326"/>
        <v>429</v>
      </c>
      <c r="X633" s="437">
        <f t="shared" si="327"/>
        <v>65</v>
      </c>
      <c r="Y633" s="437">
        <f t="shared" si="328"/>
        <v>9.3600000000000012</v>
      </c>
      <c r="Z633" s="437">
        <f t="shared" si="329"/>
        <v>0</v>
      </c>
      <c r="AA633" s="437">
        <f t="shared" si="330"/>
        <v>0</v>
      </c>
      <c r="AB633" s="584">
        <f t="shared" si="331"/>
        <v>0</v>
      </c>
      <c r="AC633" s="434"/>
    </row>
    <row r="634" spans="5:29">
      <c r="E634" s="598"/>
      <c r="F634" s="699"/>
      <c r="G634" s="700"/>
      <c r="H634" s="598"/>
      <c r="I634" s="598"/>
      <c r="J634" s="598"/>
      <c r="K634" s="598"/>
      <c r="L634" s="598"/>
      <c r="Q634" s="432">
        <v>46074</v>
      </c>
      <c r="R634" s="433">
        <v>0.54166666666666663</v>
      </c>
      <c r="S634" s="434" t="s">
        <v>185</v>
      </c>
      <c r="T634" s="434" t="s">
        <v>374</v>
      </c>
      <c r="U634" s="435">
        <v>4</v>
      </c>
      <c r="V634" s="436" t="str">
        <f t="shared" si="325"/>
        <v>egg</v>
      </c>
      <c r="W634" s="437">
        <f t="shared" si="326"/>
        <v>320</v>
      </c>
      <c r="X634" s="437">
        <f t="shared" si="327"/>
        <v>28</v>
      </c>
      <c r="Y634" s="437">
        <f t="shared" si="328"/>
        <v>24</v>
      </c>
      <c r="Z634" s="437">
        <f t="shared" si="329"/>
        <v>0</v>
      </c>
      <c r="AA634" s="437">
        <f t="shared" si="330"/>
        <v>0</v>
      </c>
      <c r="AB634" s="584">
        <f t="shared" si="331"/>
        <v>160</v>
      </c>
      <c r="AC634" s="434"/>
    </row>
    <row r="635" spans="5:29">
      <c r="E635" s="598"/>
      <c r="F635" s="699"/>
      <c r="G635" s="700"/>
      <c r="H635" s="598"/>
      <c r="I635" s="598"/>
      <c r="J635" s="598"/>
      <c r="K635" s="598"/>
      <c r="L635" s="598"/>
      <c r="Q635" s="432">
        <v>46074</v>
      </c>
      <c r="R635" s="433">
        <v>0.54166666666666663</v>
      </c>
      <c r="S635" s="434" t="s">
        <v>185</v>
      </c>
      <c r="T635" s="434" t="s">
        <v>219</v>
      </c>
      <c r="U635" s="435">
        <v>1</v>
      </c>
      <c r="V635" s="436" t="str">
        <f t="shared" si="325"/>
        <v>bottle</v>
      </c>
      <c r="W635" s="437">
        <f t="shared" si="326"/>
        <v>0</v>
      </c>
      <c r="X635" s="437">
        <f t="shared" si="327"/>
        <v>0</v>
      </c>
      <c r="Y635" s="437">
        <f t="shared" si="328"/>
        <v>0</v>
      </c>
      <c r="Z635" s="437">
        <f t="shared" si="329"/>
        <v>0</v>
      </c>
      <c r="AA635" s="437">
        <f t="shared" si="330"/>
        <v>0</v>
      </c>
      <c r="AB635" s="584">
        <f t="shared" si="331"/>
        <v>0</v>
      </c>
      <c r="AC635" s="434"/>
    </row>
    <row r="636" spans="5:29">
      <c r="E636" s="598"/>
      <c r="F636" s="699"/>
      <c r="G636" s="700"/>
      <c r="H636" s="598"/>
      <c r="I636" s="598"/>
      <c r="J636" s="598"/>
      <c r="K636" s="598"/>
      <c r="L636" s="598"/>
      <c r="Q636" s="432">
        <v>46074</v>
      </c>
      <c r="R636" s="433">
        <v>0.54166666666666663</v>
      </c>
      <c r="S636" s="434" t="s">
        <v>185</v>
      </c>
      <c r="T636" s="434" t="s">
        <v>753</v>
      </c>
      <c r="U636" s="435">
        <v>170</v>
      </c>
      <c r="V636" s="436" t="str">
        <f t="shared" si="325"/>
        <v>g</v>
      </c>
      <c r="W636" s="437">
        <f t="shared" si="326"/>
        <v>221</v>
      </c>
      <c r="X636" s="437">
        <f t="shared" si="327"/>
        <v>1.7</v>
      </c>
      <c r="Y636" s="437">
        <f t="shared" si="328"/>
        <v>0</v>
      </c>
      <c r="Z636" s="437">
        <f t="shared" si="329"/>
        <v>52.699999999999996</v>
      </c>
      <c r="AA636" s="437">
        <f t="shared" si="330"/>
        <v>5.0999999999999996</v>
      </c>
      <c r="AB636" s="584">
        <f t="shared" si="331"/>
        <v>0</v>
      </c>
      <c r="AC636" s="434"/>
    </row>
    <row r="637" spans="5:29">
      <c r="E637" s="598"/>
      <c r="F637" s="699"/>
      <c r="G637" s="700"/>
      <c r="H637" s="598"/>
      <c r="I637" s="598"/>
      <c r="J637" s="598"/>
      <c r="K637" s="598"/>
      <c r="L637" s="598"/>
      <c r="Q637" s="432">
        <v>46074</v>
      </c>
      <c r="R637" s="433">
        <v>0.58333333333333337</v>
      </c>
      <c r="S637" s="434" t="s">
        <v>289</v>
      </c>
      <c r="T637" s="434" t="s">
        <v>190</v>
      </c>
      <c r="U637" s="435">
        <v>2</v>
      </c>
      <c r="V637" s="436" t="str">
        <f t="shared" si="325"/>
        <v>medium</v>
      </c>
      <c r="W637" s="437">
        <f t="shared" si="326"/>
        <v>124</v>
      </c>
      <c r="X637" s="437">
        <f t="shared" si="327"/>
        <v>2.4</v>
      </c>
      <c r="Y637" s="437">
        <f t="shared" si="328"/>
        <v>0.4</v>
      </c>
      <c r="Z637" s="437">
        <f t="shared" si="329"/>
        <v>30.8</v>
      </c>
      <c r="AA637" s="437">
        <f t="shared" si="330"/>
        <v>6.2</v>
      </c>
      <c r="AB637" s="584">
        <f t="shared" si="331"/>
        <v>0</v>
      </c>
      <c r="AC637" s="434"/>
    </row>
    <row r="638" spans="5:29">
      <c r="E638" s="598"/>
      <c r="F638" s="699"/>
      <c r="G638" s="700"/>
      <c r="H638" s="598"/>
      <c r="I638" s="598"/>
      <c r="J638" s="598"/>
      <c r="K638" s="598"/>
      <c r="L638" s="598"/>
      <c r="Q638" s="432">
        <v>46074</v>
      </c>
      <c r="R638" s="433">
        <v>0.83333333333333337</v>
      </c>
      <c r="S638" s="434" t="s">
        <v>199</v>
      </c>
      <c r="T638" s="434" t="s">
        <v>752</v>
      </c>
      <c r="U638" s="435">
        <v>1</v>
      </c>
      <c r="V638" s="436" t="str">
        <f t="shared" si="325"/>
        <v>bowl</v>
      </c>
      <c r="W638" s="437">
        <f t="shared" si="326"/>
        <v>520</v>
      </c>
      <c r="X638" s="437">
        <f t="shared" si="327"/>
        <v>28</v>
      </c>
      <c r="Y638" s="437">
        <f t="shared" si="328"/>
        <v>12</v>
      </c>
      <c r="Z638" s="437">
        <f t="shared" si="329"/>
        <v>75</v>
      </c>
      <c r="AA638" s="437">
        <f t="shared" si="330"/>
        <v>2</v>
      </c>
      <c r="AB638" s="584">
        <f t="shared" si="331"/>
        <v>0</v>
      </c>
      <c r="AC638" s="434"/>
    </row>
    <row r="639" spans="5:29">
      <c r="E639" s="598"/>
      <c r="F639" s="699"/>
      <c r="G639" s="700"/>
      <c r="H639" s="598"/>
      <c r="I639" s="598"/>
      <c r="J639" s="598"/>
      <c r="K639" s="598"/>
      <c r="L639" s="598"/>
      <c r="Q639" s="432">
        <v>46074</v>
      </c>
      <c r="R639" s="433">
        <v>0.83333333333333337</v>
      </c>
      <c r="S639" s="434" t="s">
        <v>199</v>
      </c>
      <c r="T639" s="434" t="s">
        <v>751</v>
      </c>
      <c r="U639" s="435">
        <v>1</v>
      </c>
      <c r="V639" s="436" t="str">
        <f t="shared" si="325"/>
        <v>order</v>
      </c>
      <c r="W639" s="437">
        <f t="shared" si="326"/>
        <v>200</v>
      </c>
      <c r="X639" s="437">
        <f t="shared" si="327"/>
        <v>6</v>
      </c>
      <c r="Y639" s="437">
        <f t="shared" si="328"/>
        <v>3</v>
      </c>
      <c r="Z639" s="437">
        <f t="shared" si="329"/>
        <v>38</v>
      </c>
      <c r="AA639" s="437">
        <f t="shared" si="330"/>
        <v>3</v>
      </c>
      <c r="AB639" s="584">
        <f t="shared" si="331"/>
        <v>60</v>
      </c>
      <c r="AC639" s="434"/>
    </row>
    <row r="640" spans="5:29">
      <c r="E640" s="598"/>
      <c r="F640" s="699"/>
      <c r="G640" s="700"/>
      <c r="H640" s="598"/>
      <c r="I640" s="598"/>
      <c r="J640" s="598"/>
      <c r="K640" s="598"/>
      <c r="L640" s="598"/>
      <c r="Q640" s="432">
        <v>46074</v>
      </c>
      <c r="R640" s="433">
        <v>0.83333333333333337</v>
      </c>
      <c r="S640" s="434" t="s">
        <v>289</v>
      </c>
      <c r="T640" s="434" t="s">
        <v>457</v>
      </c>
      <c r="U640" s="435">
        <v>1</v>
      </c>
      <c r="V640" s="436" t="str">
        <f t="shared" si="325"/>
        <v>cup</v>
      </c>
      <c r="W640" s="437">
        <f t="shared" si="326"/>
        <v>700</v>
      </c>
      <c r="X640" s="437">
        <f t="shared" si="327"/>
        <v>11</v>
      </c>
      <c r="Y640" s="437">
        <f t="shared" si="328"/>
        <v>91</v>
      </c>
      <c r="Z640" s="437">
        <f t="shared" si="329"/>
        <v>36</v>
      </c>
      <c r="AA640" s="437">
        <f t="shared" si="330"/>
        <v>0</v>
      </c>
      <c r="AB640" s="684">
        <f t="shared" si="331"/>
        <v>0</v>
      </c>
      <c r="AC640" s="434"/>
    </row>
    <row r="641" spans="5:29">
      <c r="E641" s="598"/>
      <c r="F641" s="699"/>
      <c r="G641" s="700"/>
      <c r="H641" s="598"/>
      <c r="I641" s="598"/>
      <c r="J641" s="598"/>
      <c r="K641" s="598"/>
      <c r="L641" s="598"/>
      <c r="Q641" s="438"/>
      <c r="R641" s="439" t="s">
        <v>217</v>
      </c>
      <c r="S641" s="440"/>
      <c r="T641" s="441"/>
      <c r="U641" s="441"/>
      <c r="V641" s="442"/>
      <c r="W641" s="443">
        <f t="shared" ref="W641:AB641" si="332">SUM(W629:W640)</f>
        <v>3133.7</v>
      </c>
      <c r="X641" s="443">
        <f t="shared" si="332"/>
        <v>213.77</v>
      </c>
      <c r="Y641" s="443">
        <f t="shared" si="332"/>
        <v>151.07</v>
      </c>
      <c r="Z641" s="443">
        <f t="shared" si="332"/>
        <v>289.5</v>
      </c>
      <c r="AA641" s="685">
        <f t="shared" si="332"/>
        <v>20.3</v>
      </c>
      <c r="AB641" s="691">
        <f t="shared" si="332"/>
        <v>220</v>
      </c>
      <c r="AC641" s="439"/>
    </row>
    <row r="642" spans="5:29">
      <c r="E642" s="598"/>
      <c r="F642" s="699"/>
      <c r="G642" s="700"/>
      <c r="H642" s="598"/>
      <c r="I642" s="598"/>
      <c r="J642" s="598"/>
      <c r="K642" s="598"/>
      <c r="L642" s="598"/>
      <c r="Q642" s="438"/>
      <c r="R642" s="439" t="s">
        <v>220</v>
      </c>
      <c r="S642" s="440"/>
      <c r="T642" s="441"/>
      <c r="U642" s="441"/>
      <c r="V642" s="442"/>
      <c r="W642" s="444">
        <f>$B$27</f>
        <v>2834.5625</v>
      </c>
      <c r="X642" s="444">
        <f>$B$29</f>
        <v>154</v>
      </c>
      <c r="Y642" s="444">
        <f>$B$30</f>
        <v>63.91</v>
      </c>
      <c r="Z642" s="444">
        <f>$B$31</f>
        <v>410.84312499999999</v>
      </c>
      <c r="AA642" s="692">
        <f>$B$32</f>
        <v>39.683875</v>
      </c>
      <c r="AB642" s="695">
        <f>$B$39</f>
        <v>500</v>
      </c>
      <c r="AC642" s="439"/>
    </row>
    <row r="643" spans="5:29">
      <c r="E643" s="598"/>
      <c r="F643" s="699"/>
      <c r="G643" s="700"/>
      <c r="H643" s="598"/>
      <c r="I643" s="598"/>
      <c r="J643" s="598"/>
      <c r="K643" s="598"/>
      <c r="L643" s="598"/>
      <c r="Q643" s="438"/>
      <c r="R643" s="439" t="s">
        <v>222</v>
      </c>
      <c r="S643" s="440"/>
      <c r="T643" s="441"/>
      <c r="U643" s="441"/>
      <c r="V643" s="442"/>
      <c r="W643" s="284">
        <f t="shared" ref="W643:AB643" si="333">W641-W642</f>
        <v>299.13749999999982</v>
      </c>
      <c r="X643" s="284">
        <f t="shared" si="333"/>
        <v>59.77000000000001</v>
      </c>
      <c r="Y643" s="284">
        <f t="shared" si="333"/>
        <v>87.16</v>
      </c>
      <c r="Z643" s="284">
        <f t="shared" si="333"/>
        <v>-121.34312499999999</v>
      </c>
      <c r="AA643" s="690">
        <f t="shared" si="333"/>
        <v>-19.383875</v>
      </c>
      <c r="AB643" s="689">
        <f t="shared" si="333"/>
        <v>-280</v>
      </c>
      <c r="AC643" s="439"/>
    </row>
    <row r="644" spans="5:29">
      <c r="E644" s="598"/>
      <c r="F644" s="699"/>
      <c r="G644" s="700"/>
      <c r="H644" s="598"/>
      <c r="I644" s="598"/>
      <c r="J644" s="598"/>
      <c r="K644" s="598"/>
      <c r="L644" s="598"/>
      <c r="Q644" s="432">
        <v>46075</v>
      </c>
      <c r="R644" s="433">
        <v>0.375</v>
      </c>
      <c r="S644" s="434" t="s">
        <v>178</v>
      </c>
      <c r="T644" s="434" t="s">
        <v>465</v>
      </c>
      <c r="U644" s="435">
        <v>135</v>
      </c>
      <c r="V644" s="436" t="str">
        <f t="shared" ref="V644:V656" si="334">IFERROR(VLOOKUP(T644, $E$5:$L$818, 3, FALSE), "")</f>
        <v>g</v>
      </c>
      <c r="W644" s="437">
        <f t="shared" ref="W644:W656" si="335">IFERROR(VLOOKUP(T644, $E$5:$L$818, 4, FALSE) * (U644 / VLOOKUP(T644, $E$5:$L$818, 2, FALSE)), "")</f>
        <v>243.00000000000003</v>
      </c>
      <c r="X644" s="437">
        <f t="shared" ref="X644:X656" si="336">IFERROR(VLOOKUP(T644, $E$5:$L$818, 5, FALSE) * (U644 / VLOOKUP(T644, $E$5:$L$818, 2, FALSE)), "")</f>
        <v>29.700000000000003</v>
      </c>
      <c r="Y644" s="437">
        <f t="shared" ref="Y644:Y656" si="337">IFERROR(VLOOKUP(T644, $E$5:$L$818, 6, FALSE) * (U644 / VLOOKUP(T644, $E$5:$L$818, 2, FALSE)), "")</f>
        <v>12.15</v>
      </c>
      <c r="Z644" s="437">
        <f t="shared" ref="Z644:Z656" si="338">IFERROR(VLOOKUP(T644, $E$5:$L$818, 7, FALSE) * (U644 / VLOOKUP(T644, $E$5:$L$818, 2, FALSE)), "")</f>
        <v>2.7</v>
      </c>
      <c r="AA644" s="437">
        <f t="shared" ref="AA644:AA656" si="339">IFERROR(VLOOKUP(T644, $E$5:$L$818, 8, FALSE) * (U644 / VLOOKUP(T644, $E$5:$L$818, 2, FALSE)), "")</f>
        <v>0</v>
      </c>
      <c r="AB644" s="674">
        <f t="shared" ref="AB644:AB656" si="340">IFERROR(VLOOKUP(T644, $E$5:$O$818, 9, FALSE) * (U644 / VLOOKUP(T644, $E$5:$O$818, 2, FALSE)), "")</f>
        <v>0</v>
      </c>
      <c r="AC644" s="434"/>
    </row>
    <row r="645" spans="5:29">
      <c r="E645" s="598"/>
      <c r="F645" s="699"/>
      <c r="G645" s="700"/>
      <c r="H645" s="598"/>
      <c r="I645" s="598"/>
      <c r="J645" s="598"/>
      <c r="K645" s="598"/>
      <c r="L645" s="598"/>
      <c r="Q645" s="432">
        <v>46075</v>
      </c>
      <c r="R645" s="433">
        <v>0.375</v>
      </c>
      <c r="S645" s="434" t="s">
        <v>178</v>
      </c>
      <c r="T645" s="434" t="s">
        <v>812</v>
      </c>
      <c r="U645" s="435">
        <v>1.25</v>
      </c>
      <c r="V645" s="436" t="str">
        <f t="shared" si="334"/>
        <v>sandwich</v>
      </c>
      <c r="W645" s="437">
        <f t="shared" si="335"/>
        <v>537.5</v>
      </c>
      <c r="X645" s="437">
        <f t="shared" si="336"/>
        <v>32.5</v>
      </c>
      <c r="Y645" s="437">
        <f t="shared" si="337"/>
        <v>25</v>
      </c>
      <c r="Z645" s="437">
        <f t="shared" si="338"/>
        <v>42.5</v>
      </c>
      <c r="AA645" s="437">
        <f t="shared" si="339"/>
        <v>5</v>
      </c>
      <c r="AB645" s="584">
        <f t="shared" si="340"/>
        <v>0</v>
      </c>
      <c r="AC645" s="434"/>
    </row>
    <row r="646" spans="5:29">
      <c r="E646" s="598"/>
      <c r="F646" s="699"/>
      <c r="G646" s="700"/>
      <c r="H646" s="598"/>
      <c r="I646" s="598"/>
      <c r="J646" s="598"/>
      <c r="K646" s="598"/>
      <c r="L646" s="598"/>
      <c r="Q646" s="432">
        <v>46075</v>
      </c>
      <c r="R646" s="433">
        <v>0.375</v>
      </c>
      <c r="S646" s="434" t="s">
        <v>178</v>
      </c>
      <c r="T646" s="434" t="s">
        <v>374</v>
      </c>
      <c r="U646" s="435">
        <v>1</v>
      </c>
      <c r="V646" s="436" t="str">
        <f t="shared" si="334"/>
        <v>egg</v>
      </c>
      <c r="W646" s="437">
        <f t="shared" si="335"/>
        <v>80</v>
      </c>
      <c r="X646" s="437">
        <f t="shared" si="336"/>
        <v>7</v>
      </c>
      <c r="Y646" s="437">
        <f t="shared" si="337"/>
        <v>6</v>
      </c>
      <c r="Z646" s="437">
        <f t="shared" si="338"/>
        <v>0</v>
      </c>
      <c r="AA646" s="437">
        <f t="shared" si="339"/>
        <v>0</v>
      </c>
      <c r="AB646" s="584">
        <f t="shared" si="340"/>
        <v>40</v>
      </c>
      <c r="AC646" s="434"/>
    </row>
    <row r="647" spans="5:29">
      <c r="E647" s="598"/>
      <c r="F647" s="699"/>
      <c r="G647" s="700"/>
      <c r="H647" s="598"/>
      <c r="I647" s="598"/>
      <c r="J647" s="598"/>
      <c r="K647" s="598"/>
      <c r="L647" s="598"/>
      <c r="Q647" s="432">
        <v>46075</v>
      </c>
      <c r="R647" s="433">
        <v>0.41666666666666669</v>
      </c>
      <c r="S647" s="434" t="s">
        <v>178</v>
      </c>
      <c r="T647" s="434" t="s">
        <v>753</v>
      </c>
      <c r="U647" s="435">
        <v>170</v>
      </c>
      <c r="V647" s="436" t="str">
        <f t="shared" si="334"/>
        <v>g</v>
      </c>
      <c r="W647" s="437">
        <f t="shared" si="335"/>
        <v>221</v>
      </c>
      <c r="X647" s="437">
        <f t="shared" si="336"/>
        <v>1.7</v>
      </c>
      <c r="Y647" s="437">
        <f t="shared" si="337"/>
        <v>0</v>
      </c>
      <c r="Z647" s="437">
        <f t="shared" si="338"/>
        <v>52.699999999999996</v>
      </c>
      <c r="AA647" s="437">
        <f t="shared" si="339"/>
        <v>5.0999999999999996</v>
      </c>
      <c r="AB647" s="584">
        <f t="shared" si="340"/>
        <v>0</v>
      </c>
      <c r="AC647" s="434"/>
    </row>
    <row r="648" spans="5:29">
      <c r="E648" s="598"/>
      <c r="F648" s="699"/>
      <c r="G648" s="700"/>
      <c r="H648" s="598"/>
      <c r="I648" s="598"/>
      <c r="J648" s="598"/>
      <c r="K648" s="598"/>
      <c r="L648" s="598"/>
      <c r="Q648" s="432">
        <v>46075</v>
      </c>
      <c r="R648" s="433">
        <v>0.41666666666666669</v>
      </c>
      <c r="S648" s="434" t="s">
        <v>178</v>
      </c>
      <c r="T648" s="434" t="s">
        <v>295</v>
      </c>
      <c r="U648" s="435">
        <v>1</v>
      </c>
      <c r="V648" s="436" t="str">
        <f t="shared" si="334"/>
        <v>bottle</v>
      </c>
      <c r="W648" s="437">
        <f t="shared" si="335"/>
        <v>200</v>
      </c>
      <c r="X648" s="437">
        <f t="shared" si="336"/>
        <v>35</v>
      </c>
      <c r="Y648" s="437">
        <f t="shared" si="337"/>
        <v>2.5</v>
      </c>
      <c r="Z648" s="437">
        <f t="shared" si="338"/>
        <v>9</v>
      </c>
      <c r="AA648" s="437">
        <f t="shared" si="339"/>
        <v>0</v>
      </c>
      <c r="AB648" s="584">
        <f t="shared" si="340"/>
        <v>0</v>
      </c>
      <c r="AC648" s="434"/>
    </row>
    <row r="649" spans="5:29">
      <c r="E649" s="598"/>
      <c r="F649" s="699"/>
      <c r="G649" s="700"/>
      <c r="H649" s="598"/>
      <c r="I649" s="598"/>
      <c r="J649" s="598"/>
      <c r="K649" s="598"/>
      <c r="L649" s="598"/>
      <c r="Q649" s="432">
        <v>46075</v>
      </c>
      <c r="R649" s="433">
        <v>0.45833333333333331</v>
      </c>
      <c r="S649" s="434" t="s">
        <v>289</v>
      </c>
      <c r="T649" s="434" t="s">
        <v>190</v>
      </c>
      <c r="U649" s="435">
        <v>2</v>
      </c>
      <c r="V649" s="436" t="str">
        <f t="shared" si="334"/>
        <v>medium</v>
      </c>
      <c r="W649" s="437">
        <f t="shared" si="335"/>
        <v>124</v>
      </c>
      <c r="X649" s="437">
        <f t="shared" si="336"/>
        <v>2.4</v>
      </c>
      <c r="Y649" s="437">
        <f t="shared" si="337"/>
        <v>0.4</v>
      </c>
      <c r="Z649" s="437">
        <f t="shared" si="338"/>
        <v>30.8</v>
      </c>
      <c r="AA649" s="437">
        <f t="shared" si="339"/>
        <v>6.2</v>
      </c>
      <c r="AB649" s="584">
        <f t="shared" si="340"/>
        <v>0</v>
      </c>
      <c r="AC649" s="434"/>
    </row>
    <row r="650" spans="5:29">
      <c r="E650" s="598"/>
      <c r="F650" s="699"/>
      <c r="G650" s="700"/>
      <c r="H650" s="598"/>
      <c r="I650" s="598"/>
      <c r="J650" s="598"/>
      <c r="K650" s="598"/>
      <c r="L650" s="598"/>
      <c r="Q650" s="432">
        <v>46075</v>
      </c>
      <c r="R650" s="433">
        <v>0.45833333333333331</v>
      </c>
      <c r="S650" s="434" t="s">
        <v>289</v>
      </c>
      <c r="T650" s="434" t="s">
        <v>209</v>
      </c>
      <c r="U650" s="435">
        <v>3</v>
      </c>
      <c r="V650" s="436" t="str">
        <f t="shared" si="334"/>
        <v>tbsp</v>
      </c>
      <c r="W650" s="437">
        <f t="shared" si="335"/>
        <v>60</v>
      </c>
      <c r="X650" s="437">
        <f t="shared" si="336"/>
        <v>0</v>
      </c>
      <c r="Y650" s="437">
        <f t="shared" si="337"/>
        <v>0</v>
      </c>
      <c r="Z650" s="437">
        <f t="shared" si="338"/>
        <v>15</v>
      </c>
      <c r="AA650" s="437">
        <f t="shared" si="339"/>
        <v>13.5</v>
      </c>
      <c r="AB650" s="584">
        <f t="shared" si="340"/>
        <v>0</v>
      </c>
      <c r="AC650" s="434"/>
    </row>
    <row r="651" spans="5:29">
      <c r="E651" s="598"/>
      <c r="F651" s="699"/>
      <c r="G651" s="700"/>
      <c r="H651" s="598"/>
      <c r="I651" s="598"/>
      <c r="J651" s="598"/>
      <c r="K651" s="598"/>
      <c r="L651" s="598"/>
      <c r="Q651" s="432">
        <v>46075</v>
      </c>
      <c r="R651" s="433">
        <v>0.45833333333333331</v>
      </c>
      <c r="S651" s="434" t="s">
        <v>289</v>
      </c>
      <c r="T651" s="434" t="s">
        <v>212</v>
      </c>
      <c r="U651" s="435">
        <v>1</v>
      </c>
      <c r="V651" s="436" t="str">
        <f t="shared" si="334"/>
        <v>bottle</v>
      </c>
      <c r="W651" s="437">
        <f t="shared" si="335"/>
        <v>70</v>
      </c>
      <c r="X651" s="437">
        <f t="shared" si="336"/>
        <v>0</v>
      </c>
      <c r="Y651" s="437">
        <f t="shared" si="337"/>
        <v>0</v>
      </c>
      <c r="Z651" s="437">
        <f t="shared" si="338"/>
        <v>17</v>
      </c>
      <c r="AA651" s="437">
        <f t="shared" si="339"/>
        <v>1</v>
      </c>
      <c r="AB651" s="584">
        <f t="shared" si="340"/>
        <v>0</v>
      </c>
      <c r="AC651" s="434"/>
    </row>
    <row r="652" spans="5:29">
      <c r="E652" s="598"/>
      <c r="F652" s="699"/>
      <c r="G652" s="700"/>
      <c r="H652" s="598"/>
      <c r="I652" s="598"/>
      <c r="J652" s="598"/>
      <c r="K652" s="598"/>
      <c r="L652" s="598"/>
      <c r="Q652" s="432">
        <v>46075</v>
      </c>
      <c r="R652" s="433">
        <v>0.58333333333333337</v>
      </c>
      <c r="S652" s="434" t="s">
        <v>185</v>
      </c>
      <c r="T652" s="434" t="s">
        <v>181</v>
      </c>
      <c r="U652" s="435">
        <v>2</v>
      </c>
      <c r="V652" s="436" t="str">
        <f t="shared" si="334"/>
        <v>slice</v>
      </c>
      <c r="W652" s="437">
        <f t="shared" si="335"/>
        <v>140</v>
      </c>
      <c r="X652" s="437">
        <f t="shared" si="336"/>
        <v>5</v>
      </c>
      <c r="Y652" s="437">
        <f t="shared" si="337"/>
        <v>2.5</v>
      </c>
      <c r="Z652" s="437">
        <f t="shared" si="338"/>
        <v>24</v>
      </c>
      <c r="AA652" s="437">
        <f t="shared" si="339"/>
        <v>2</v>
      </c>
      <c r="AB652" s="584">
        <f t="shared" si="340"/>
        <v>0</v>
      </c>
      <c r="AC652" s="434"/>
    </row>
    <row r="653" spans="5:29">
      <c r="E653" s="598"/>
      <c r="F653" s="699"/>
      <c r="G653" s="700"/>
      <c r="H653" s="598"/>
      <c r="I653" s="598"/>
      <c r="J653" s="598"/>
      <c r="K653" s="598"/>
      <c r="L653" s="598"/>
      <c r="Q653" s="432">
        <v>46075</v>
      </c>
      <c r="R653" s="433">
        <v>0.66666666666666663</v>
      </c>
      <c r="S653" s="434" t="s">
        <v>289</v>
      </c>
      <c r="T653" s="434" t="s">
        <v>190</v>
      </c>
      <c r="U653" s="435">
        <v>2</v>
      </c>
      <c r="V653" s="436" t="str">
        <f t="shared" si="334"/>
        <v>medium</v>
      </c>
      <c r="W653" s="437">
        <f t="shared" si="335"/>
        <v>124</v>
      </c>
      <c r="X653" s="437">
        <f t="shared" si="336"/>
        <v>2.4</v>
      </c>
      <c r="Y653" s="437">
        <f t="shared" si="337"/>
        <v>0.4</v>
      </c>
      <c r="Z653" s="437">
        <f t="shared" si="338"/>
        <v>30.8</v>
      </c>
      <c r="AA653" s="437">
        <f t="shared" si="339"/>
        <v>6.2</v>
      </c>
      <c r="AB653" s="584">
        <f t="shared" si="340"/>
        <v>0</v>
      </c>
      <c r="AC653" s="434"/>
    </row>
    <row r="654" spans="5:29">
      <c r="E654" s="598"/>
      <c r="F654" s="699"/>
      <c r="G654" s="700"/>
      <c r="H654" s="598"/>
      <c r="I654" s="598"/>
      <c r="J654" s="598"/>
      <c r="K654" s="598"/>
      <c r="L654" s="598"/>
      <c r="Q654" s="432">
        <v>46075</v>
      </c>
      <c r="R654" s="433">
        <v>0.79166666666666663</v>
      </c>
      <c r="S654" s="434" t="s">
        <v>199</v>
      </c>
      <c r="T654" s="434" t="s">
        <v>176</v>
      </c>
      <c r="U654" s="435">
        <v>289</v>
      </c>
      <c r="V654" s="436" t="str">
        <f t="shared" si="334"/>
        <v>g</v>
      </c>
      <c r="W654" s="437">
        <f t="shared" si="335"/>
        <v>476.85</v>
      </c>
      <c r="X654" s="437">
        <f t="shared" si="336"/>
        <v>72.25</v>
      </c>
      <c r="Y654" s="437">
        <f t="shared" si="337"/>
        <v>10.404</v>
      </c>
      <c r="Z654" s="437">
        <f t="shared" si="338"/>
        <v>0</v>
      </c>
      <c r="AA654" s="437">
        <f t="shared" si="339"/>
        <v>0</v>
      </c>
      <c r="AB654" s="584">
        <f t="shared" si="340"/>
        <v>0</v>
      </c>
      <c r="AC654" s="434"/>
    </row>
    <row r="655" spans="5:29">
      <c r="E655" s="598"/>
      <c r="F655" s="699"/>
      <c r="G655" s="700"/>
      <c r="H655" s="598"/>
      <c r="I655" s="598"/>
      <c r="J655" s="598"/>
      <c r="K655" s="598"/>
      <c r="L655" s="598"/>
      <c r="Q655" s="432">
        <v>46075</v>
      </c>
      <c r="R655" s="433">
        <v>0.79166666666666663</v>
      </c>
      <c r="S655" s="434" t="s">
        <v>199</v>
      </c>
      <c r="T655" s="434" t="s">
        <v>181</v>
      </c>
      <c r="U655" s="435">
        <v>4</v>
      </c>
      <c r="V655" s="436" t="str">
        <f t="shared" si="334"/>
        <v>slice</v>
      </c>
      <c r="W655" s="437">
        <f t="shared" si="335"/>
        <v>280</v>
      </c>
      <c r="X655" s="437">
        <f t="shared" si="336"/>
        <v>10</v>
      </c>
      <c r="Y655" s="437">
        <f t="shared" si="337"/>
        <v>5</v>
      </c>
      <c r="Z655" s="437">
        <f t="shared" si="338"/>
        <v>48</v>
      </c>
      <c r="AA655" s="437">
        <f t="shared" si="339"/>
        <v>4</v>
      </c>
      <c r="AB655" s="584">
        <f t="shared" si="340"/>
        <v>0</v>
      </c>
      <c r="AC655" s="434"/>
    </row>
    <row r="656" spans="5:29">
      <c r="E656" s="598"/>
      <c r="F656" s="699"/>
      <c r="G656" s="700"/>
      <c r="H656" s="598"/>
      <c r="I656" s="598"/>
      <c r="J656" s="598"/>
      <c r="K656" s="598"/>
      <c r="L656" s="598"/>
      <c r="Q656" s="432">
        <v>46075</v>
      </c>
      <c r="R656" s="433">
        <v>0.83333333333333304</v>
      </c>
      <c r="S656" s="434" t="s">
        <v>199</v>
      </c>
      <c r="T656" s="434" t="s">
        <v>190</v>
      </c>
      <c r="U656" s="435">
        <v>2</v>
      </c>
      <c r="V656" s="436" t="str">
        <f t="shared" si="334"/>
        <v>medium</v>
      </c>
      <c r="W656" s="437">
        <f t="shared" si="335"/>
        <v>124</v>
      </c>
      <c r="X656" s="437">
        <f t="shared" si="336"/>
        <v>2.4</v>
      </c>
      <c r="Y656" s="437">
        <f t="shared" si="337"/>
        <v>0.4</v>
      </c>
      <c r="Z656" s="437">
        <f t="shared" si="338"/>
        <v>30.8</v>
      </c>
      <c r="AA656" s="437">
        <f t="shared" si="339"/>
        <v>6.2</v>
      </c>
      <c r="AB656" s="684">
        <f t="shared" si="340"/>
        <v>0</v>
      </c>
      <c r="AC656" s="434"/>
    </row>
    <row r="657" spans="5:29">
      <c r="E657" s="598"/>
      <c r="F657" s="699"/>
      <c r="G657" s="700"/>
      <c r="H657" s="598"/>
      <c r="I657" s="598"/>
      <c r="J657" s="598"/>
      <c r="K657" s="598"/>
      <c r="L657" s="598"/>
      <c r="Q657" s="438"/>
      <c r="R657" s="439" t="s">
        <v>217</v>
      </c>
      <c r="S657" s="440"/>
      <c r="T657" s="441"/>
      <c r="U657" s="441"/>
      <c r="V657" s="442"/>
      <c r="W657" s="443">
        <f>SUM(W644:W656)</f>
        <v>2680.35</v>
      </c>
      <c r="X657" s="443">
        <f>SUM(X644:X655)</f>
        <v>197.95000000000002</v>
      </c>
      <c r="Y657" s="443">
        <f>SUM(Y644:Y655)</f>
        <v>64.353999999999999</v>
      </c>
      <c r="Z657" s="443">
        <f>SUM(Z644:Z655)</f>
        <v>272.5</v>
      </c>
      <c r="AA657" s="685">
        <f>SUM(AA644:AA655)</f>
        <v>43</v>
      </c>
      <c r="AB657" s="691">
        <f>SUM(AB644:AB656)</f>
        <v>40</v>
      </c>
      <c r="AC657" s="439"/>
    </row>
    <row r="658" spans="5:29">
      <c r="E658" s="598"/>
      <c r="F658" s="699"/>
      <c r="G658" s="700"/>
      <c r="H658" s="598"/>
      <c r="I658" s="598"/>
      <c r="J658" s="598"/>
      <c r="K658" s="598"/>
      <c r="L658" s="598"/>
      <c r="Q658" s="438"/>
      <c r="R658" s="439" t="s">
        <v>220</v>
      </c>
      <c r="S658" s="440"/>
      <c r="T658" s="441"/>
      <c r="U658" s="441"/>
      <c r="V658" s="442"/>
      <c r="W658" s="444">
        <f>$B$27</f>
        <v>2834.5625</v>
      </c>
      <c r="X658" s="444">
        <f>$B$29</f>
        <v>154</v>
      </c>
      <c r="Y658" s="444">
        <f>$B$30</f>
        <v>63.91</v>
      </c>
      <c r="Z658" s="444">
        <f>$B$31</f>
        <v>410.84312499999999</v>
      </c>
      <c r="AA658" s="692">
        <f>$B$32</f>
        <v>39.683875</v>
      </c>
      <c r="AB658" s="695">
        <f>$B$39</f>
        <v>500</v>
      </c>
      <c r="AC658" s="439"/>
    </row>
    <row r="659" spans="5:29">
      <c r="E659" s="598"/>
      <c r="F659" s="699"/>
      <c r="G659" s="700"/>
      <c r="H659" s="598"/>
      <c r="I659" s="598"/>
      <c r="J659" s="598"/>
      <c r="K659" s="598"/>
      <c r="L659" s="598"/>
      <c r="Q659" s="438"/>
      <c r="R659" s="439" t="s">
        <v>222</v>
      </c>
      <c r="S659" s="440"/>
      <c r="T659" s="441"/>
      <c r="U659" s="441"/>
      <c r="V659" s="442"/>
      <c r="W659" s="284">
        <f t="shared" ref="W659:AB659" si="341">W657-W658</f>
        <v>-154.21250000000009</v>
      </c>
      <c r="X659" s="284">
        <f t="shared" si="341"/>
        <v>43.950000000000017</v>
      </c>
      <c r="Y659" s="284">
        <f t="shared" si="341"/>
        <v>0.44400000000000261</v>
      </c>
      <c r="Z659" s="284">
        <f t="shared" si="341"/>
        <v>-138.34312499999999</v>
      </c>
      <c r="AA659" s="690">
        <f t="shared" si="341"/>
        <v>3.3161249999999995</v>
      </c>
      <c r="AB659" s="689">
        <f t="shared" si="341"/>
        <v>-460</v>
      </c>
      <c r="AC659" s="439"/>
    </row>
    <row r="660" spans="5:29">
      <c r="E660" s="598"/>
      <c r="F660" s="699"/>
      <c r="G660" s="700"/>
      <c r="H660" s="598"/>
      <c r="I660" s="598"/>
      <c r="J660" s="598"/>
      <c r="K660" s="598"/>
      <c r="L660" s="598"/>
      <c r="Q660" s="432">
        <v>46076</v>
      </c>
      <c r="R660" s="433">
        <v>0.33333333333333331</v>
      </c>
      <c r="S660" s="434" t="s">
        <v>178</v>
      </c>
      <c r="T660" s="434" t="s">
        <v>754</v>
      </c>
      <c r="U660" s="435">
        <v>150</v>
      </c>
      <c r="V660" s="436" t="str">
        <f t="shared" ref="V660:V673" si="342">IFERROR(VLOOKUP(T660, $E$5:$L$818, 3, FALSE), "")</f>
        <v>g</v>
      </c>
      <c r="W660" s="437">
        <f t="shared" ref="W660:W673" si="343">IFERROR(VLOOKUP(T660, $E$5:$L$818, 4, FALSE) * (U660 / VLOOKUP(T660, $E$5:$L$818, 2, FALSE)), "")</f>
        <v>165</v>
      </c>
      <c r="X660" s="437">
        <f t="shared" ref="X660:X673" si="344">IFERROR(VLOOKUP(T660, $E$5:$L$818, 5, FALSE) * (U660 / VLOOKUP(T660, $E$5:$L$818, 2, FALSE)), "")</f>
        <v>4</v>
      </c>
      <c r="Y660" s="437">
        <f t="shared" ref="Y660:Y673" si="345">IFERROR(VLOOKUP(T660, $E$5:$L$818, 6, FALSE) * (U660 / VLOOKUP(T660, $E$5:$L$818, 2, FALSE)), "")</f>
        <v>1</v>
      </c>
      <c r="Z660" s="437">
        <f t="shared" ref="Z660:Z673" si="346">IFERROR(VLOOKUP(T660, $E$5:$L$818, 7, FALSE) * (U660 / VLOOKUP(T660, $E$5:$L$818, 2, FALSE)), "")</f>
        <v>34</v>
      </c>
      <c r="AA660" s="437">
        <f t="shared" ref="AA660:AA673" si="347">IFERROR(VLOOKUP(T660, $E$5:$L$818, 8, FALSE) * (U660 / VLOOKUP(T660, $E$5:$L$818, 2, FALSE)), "")</f>
        <v>2</v>
      </c>
      <c r="AB660" s="674">
        <f t="shared" ref="AB660:AB673" si="348">IFERROR(VLOOKUP(T660, $E$5:$O$818, 9, FALSE) * (U660 / VLOOKUP(T660, $E$5:$O$818, 2, FALSE)), "")</f>
        <v>0</v>
      </c>
      <c r="AC660" s="434"/>
    </row>
    <row r="661" spans="5:29">
      <c r="E661" s="598"/>
      <c r="F661" s="699"/>
      <c r="G661" s="700"/>
      <c r="H661" s="598"/>
      <c r="I661" s="598"/>
      <c r="J661" s="598"/>
      <c r="K661" s="598"/>
      <c r="L661" s="598"/>
      <c r="Q661" s="432">
        <v>46076</v>
      </c>
      <c r="R661" s="433">
        <v>0.33333333333333331</v>
      </c>
      <c r="S661" s="434" t="s">
        <v>178</v>
      </c>
      <c r="T661" s="434" t="s">
        <v>755</v>
      </c>
      <c r="U661" s="435">
        <v>150</v>
      </c>
      <c r="V661" s="436" t="str">
        <f t="shared" si="342"/>
        <v>g</v>
      </c>
      <c r="W661" s="437">
        <f t="shared" si="343"/>
        <v>50</v>
      </c>
      <c r="X661" s="437">
        <f t="shared" si="344"/>
        <v>3</v>
      </c>
      <c r="Y661" s="437">
        <f t="shared" si="345"/>
        <v>0</v>
      </c>
      <c r="Z661" s="437">
        <f t="shared" si="346"/>
        <v>10</v>
      </c>
      <c r="AA661" s="437">
        <f t="shared" si="347"/>
        <v>4</v>
      </c>
      <c r="AB661" s="584">
        <f t="shared" si="348"/>
        <v>0</v>
      </c>
      <c r="AC661" s="434"/>
    </row>
    <row r="662" spans="5:29">
      <c r="E662" s="598"/>
      <c r="F662" s="699"/>
      <c r="G662" s="700"/>
      <c r="H662" s="598"/>
      <c r="I662" s="598"/>
      <c r="J662" s="598"/>
      <c r="K662" s="598"/>
      <c r="L662" s="598"/>
      <c r="Q662" s="432">
        <v>46076</v>
      </c>
      <c r="R662" s="433">
        <v>0.33333333333333331</v>
      </c>
      <c r="S662" s="434" t="s">
        <v>178</v>
      </c>
      <c r="T662" s="434" t="s">
        <v>176</v>
      </c>
      <c r="U662" s="435">
        <v>50</v>
      </c>
      <c r="V662" s="436" t="str">
        <f t="shared" si="342"/>
        <v>g</v>
      </c>
      <c r="W662" s="437">
        <f t="shared" si="343"/>
        <v>82.5</v>
      </c>
      <c r="X662" s="437">
        <f t="shared" si="344"/>
        <v>12.5</v>
      </c>
      <c r="Y662" s="437">
        <f t="shared" si="345"/>
        <v>1.8</v>
      </c>
      <c r="Z662" s="437">
        <f t="shared" si="346"/>
        <v>0</v>
      </c>
      <c r="AA662" s="437">
        <f t="shared" si="347"/>
        <v>0</v>
      </c>
      <c r="AB662" s="584">
        <f t="shared" si="348"/>
        <v>0</v>
      </c>
      <c r="AC662" s="434"/>
    </row>
    <row r="663" spans="5:29">
      <c r="E663" s="598"/>
      <c r="F663" s="699"/>
      <c r="G663" s="700"/>
      <c r="H663" s="598"/>
      <c r="I663" s="598"/>
      <c r="J663" s="598"/>
      <c r="K663" s="598"/>
      <c r="L663" s="598"/>
      <c r="Q663" s="432">
        <v>46076</v>
      </c>
      <c r="R663" s="433">
        <v>0.33333333333333331</v>
      </c>
      <c r="S663" s="434" t="s">
        <v>178</v>
      </c>
      <c r="T663" s="434" t="s">
        <v>374</v>
      </c>
      <c r="U663" s="435">
        <v>2</v>
      </c>
      <c r="V663" s="436" t="str">
        <f t="shared" si="342"/>
        <v>egg</v>
      </c>
      <c r="W663" s="437">
        <f t="shared" si="343"/>
        <v>160</v>
      </c>
      <c r="X663" s="437">
        <f t="shared" si="344"/>
        <v>14</v>
      </c>
      <c r="Y663" s="437">
        <f t="shared" si="345"/>
        <v>12</v>
      </c>
      <c r="Z663" s="437">
        <f t="shared" si="346"/>
        <v>0</v>
      </c>
      <c r="AA663" s="437">
        <f t="shared" si="347"/>
        <v>0</v>
      </c>
      <c r="AB663" s="584">
        <f t="shared" si="348"/>
        <v>80</v>
      </c>
      <c r="AC663" s="434"/>
    </row>
    <row r="664" spans="5:29">
      <c r="E664" s="598"/>
      <c r="F664" s="699"/>
      <c r="G664" s="700"/>
      <c r="H664" s="598"/>
      <c r="I664" s="598"/>
      <c r="J664" s="598"/>
      <c r="K664" s="598"/>
      <c r="L664" s="598"/>
      <c r="Q664" s="432">
        <v>46076</v>
      </c>
      <c r="R664" s="433">
        <v>0.375</v>
      </c>
      <c r="S664" s="434" t="s">
        <v>178</v>
      </c>
      <c r="T664" s="434" t="s">
        <v>295</v>
      </c>
      <c r="U664" s="435">
        <v>1</v>
      </c>
      <c r="V664" s="436" t="str">
        <f t="shared" si="342"/>
        <v>bottle</v>
      </c>
      <c r="W664" s="437">
        <f t="shared" si="343"/>
        <v>200</v>
      </c>
      <c r="X664" s="437">
        <f t="shared" si="344"/>
        <v>35</v>
      </c>
      <c r="Y664" s="437">
        <f t="shared" si="345"/>
        <v>2.5</v>
      </c>
      <c r="Z664" s="437">
        <f t="shared" si="346"/>
        <v>9</v>
      </c>
      <c r="AA664" s="437">
        <f t="shared" si="347"/>
        <v>0</v>
      </c>
      <c r="AB664" s="584">
        <f t="shared" si="348"/>
        <v>0</v>
      </c>
      <c r="AC664" s="434"/>
    </row>
    <row r="665" spans="5:29">
      <c r="E665" s="598"/>
      <c r="F665" s="699"/>
      <c r="G665" s="700"/>
      <c r="H665" s="598"/>
      <c r="I665" s="598"/>
      <c r="J665" s="598"/>
      <c r="K665" s="598"/>
      <c r="L665" s="598"/>
      <c r="Q665" s="432">
        <v>46076</v>
      </c>
      <c r="R665" s="433">
        <v>0.54166666666666663</v>
      </c>
      <c r="S665" s="434" t="s">
        <v>185</v>
      </c>
      <c r="T665" s="434" t="s">
        <v>176</v>
      </c>
      <c r="U665" s="435">
        <v>236</v>
      </c>
      <c r="V665" s="436" t="str">
        <f t="shared" si="342"/>
        <v>g</v>
      </c>
      <c r="W665" s="437">
        <f t="shared" si="343"/>
        <v>389.4</v>
      </c>
      <c r="X665" s="437">
        <f t="shared" si="344"/>
        <v>59</v>
      </c>
      <c r="Y665" s="437">
        <f t="shared" si="345"/>
        <v>8.4960000000000004</v>
      </c>
      <c r="Z665" s="437">
        <f t="shared" si="346"/>
        <v>0</v>
      </c>
      <c r="AA665" s="437">
        <f t="shared" si="347"/>
        <v>0</v>
      </c>
      <c r="AB665" s="584">
        <f t="shared" si="348"/>
        <v>0</v>
      </c>
      <c r="AC665" s="434"/>
    </row>
    <row r="666" spans="5:29">
      <c r="E666" s="598"/>
      <c r="F666" s="699"/>
      <c r="G666" s="700"/>
      <c r="H666" s="598"/>
      <c r="I666" s="598"/>
      <c r="J666" s="598"/>
      <c r="K666" s="598"/>
      <c r="L666" s="598"/>
      <c r="Q666" s="432">
        <v>46076</v>
      </c>
      <c r="R666" s="433">
        <v>0.54166666666666663</v>
      </c>
      <c r="S666" s="434" t="s">
        <v>185</v>
      </c>
      <c r="T666" s="434" t="s">
        <v>817</v>
      </c>
      <c r="U666" s="435">
        <v>129</v>
      </c>
      <c r="V666" s="436" t="str">
        <f t="shared" si="342"/>
        <v>g</v>
      </c>
      <c r="W666" s="437">
        <f t="shared" si="343"/>
        <v>141.9</v>
      </c>
      <c r="X666" s="437">
        <f t="shared" si="344"/>
        <v>27.09</v>
      </c>
      <c r="Y666" s="437">
        <f t="shared" si="345"/>
        <v>3.87</v>
      </c>
      <c r="Z666" s="437">
        <f t="shared" si="346"/>
        <v>0</v>
      </c>
      <c r="AA666" s="437">
        <f t="shared" si="347"/>
        <v>0</v>
      </c>
      <c r="AB666" s="584">
        <f t="shared" si="348"/>
        <v>0</v>
      </c>
      <c r="AC666" s="434"/>
    </row>
    <row r="667" spans="5:29">
      <c r="E667" s="598"/>
      <c r="F667" s="699"/>
      <c r="G667" s="700"/>
      <c r="H667" s="598"/>
      <c r="I667" s="598"/>
      <c r="J667" s="598"/>
      <c r="K667" s="598"/>
      <c r="L667" s="598"/>
      <c r="Q667" s="432">
        <v>46076</v>
      </c>
      <c r="R667" s="433">
        <v>0.625</v>
      </c>
      <c r="S667" s="434" t="s">
        <v>289</v>
      </c>
      <c r="T667" s="434" t="s">
        <v>477</v>
      </c>
      <c r="U667" s="435">
        <v>50</v>
      </c>
      <c r="V667" s="436" t="str">
        <f t="shared" si="342"/>
        <v>g</v>
      </c>
      <c r="W667" s="437">
        <f t="shared" si="343"/>
        <v>283.5</v>
      </c>
      <c r="X667" s="437">
        <f t="shared" si="344"/>
        <v>13</v>
      </c>
      <c r="Y667" s="437">
        <f t="shared" si="345"/>
        <v>24.5</v>
      </c>
      <c r="Z667" s="437">
        <f t="shared" si="346"/>
        <v>8</v>
      </c>
      <c r="AA667" s="437">
        <f t="shared" si="347"/>
        <v>4</v>
      </c>
      <c r="AB667" s="584">
        <f t="shared" si="348"/>
        <v>0</v>
      </c>
      <c r="AC667" s="434"/>
    </row>
    <row r="668" spans="5:29">
      <c r="E668" s="598"/>
      <c r="F668" s="699"/>
      <c r="G668" s="700"/>
      <c r="H668" s="598"/>
      <c r="I668" s="598"/>
      <c r="J668" s="598"/>
      <c r="K668" s="598"/>
      <c r="L668" s="598"/>
      <c r="Q668" s="432">
        <v>46076</v>
      </c>
      <c r="R668" s="433">
        <v>0.83333333333333337</v>
      </c>
      <c r="S668" s="434" t="s">
        <v>289</v>
      </c>
      <c r="T668" s="434" t="s">
        <v>190</v>
      </c>
      <c r="U668" s="435">
        <v>5</v>
      </c>
      <c r="V668" s="436" t="str">
        <f t="shared" si="342"/>
        <v>medium</v>
      </c>
      <c r="W668" s="437">
        <f t="shared" si="343"/>
        <v>310</v>
      </c>
      <c r="X668" s="437">
        <f t="shared" si="344"/>
        <v>6</v>
      </c>
      <c r="Y668" s="437">
        <f t="shared" si="345"/>
        <v>1</v>
      </c>
      <c r="Z668" s="437">
        <f t="shared" si="346"/>
        <v>77</v>
      </c>
      <c r="AA668" s="437">
        <f t="shared" si="347"/>
        <v>15.5</v>
      </c>
      <c r="AB668" s="584">
        <f t="shared" si="348"/>
        <v>0</v>
      </c>
      <c r="AC668" s="434"/>
    </row>
    <row r="669" spans="5:29">
      <c r="E669" s="598"/>
      <c r="F669" s="699"/>
      <c r="G669" s="700"/>
      <c r="H669" s="598"/>
      <c r="I669" s="598"/>
      <c r="J669" s="598"/>
      <c r="K669" s="598"/>
      <c r="L669" s="598"/>
      <c r="Q669" s="432">
        <v>46076</v>
      </c>
      <c r="R669" s="433">
        <v>0.875</v>
      </c>
      <c r="S669" s="434" t="s">
        <v>199</v>
      </c>
      <c r="T669" s="434" t="s">
        <v>753</v>
      </c>
      <c r="U669" s="435">
        <v>259</v>
      </c>
      <c r="V669" s="436" t="str">
        <f t="shared" si="342"/>
        <v>g</v>
      </c>
      <c r="W669" s="437">
        <f t="shared" si="343"/>
        <v>336.7</v>
      </c>
      <c r="X669" s="437">
        <f t="shared" si="344"/>
        <v>2.59</v>
      </c>
      <c r="Y669" s="437">
        <f t="shared" si="345"/>
        <v>0</v>
      </c>
      <c r="Z669" s="437">
        <f t="shared" si="346"/>
        <v>80.289999999999992</v>
      </c>
      <c r="AA669" s="437">
        <f t="shared" si="347"/>
        <v>7.77</v>
      </c>
      <c r="AB669" s="584">
        <f t="shared" si="348"/>
        <v>0</v>
      </c>
      <c r="AC669" s="434"/>
    </row>
    <row r="670" spans="5:29">
      <c r="E670" s="598"/>
      <c r="F670" s="699"/>
      <c r="G670" s="700"/>
      <c r="H670" s="598"/>
      <c r="I670" s="598"/>
      <c r="J670" s="598"/>
      <c r="K670" s="598"/>
      <c r="L670" s="598"/>
      <c r="Q670" s="432">
        <v>46076</v>
      </c>
      <c r="R670" s="433">
        <v>0.91666666666666663</v>
      </c>
      <c r="S670" s="434" t="s">
        <v>199</v>
      </c>
      <c r="T670" s="434" t="s">
        <v>181</v>
      </c>
      <c r="U670" s="435">
        <v>2</v>
      </c>
      <c r="V670" s="436" t="str">
        <f t="shared" si="342"/>
        <v>slice</v>
      </c>
      <c r="W670" s="437">
        <f t="shared" si="343"/>
        <v>140</v>
      </c>
      <c r="X670" s="437">
        <f t="shared" si="344"/>
        <v>5</v>
      </c>
      <c r="Y670" s="437">
        <f t="shared" si="345"/>
        <v>2.5</v>
      </c>
      <c r="Z670" s="437">
        <f t="shared" si="346"/>
        <v>24</v>
      </c>
      <c r="AA670" s="437">
        <f t="shared" si="347"/>
        <v>2</v>
      </c>
      <c r="AB670" s="584">
        <f t="shared" si="348"/>
        <v>0</v>
      </c>
      <c r="AC670" s="434"/>
    </row>
    <row r="671" spans="5:29">
      <c r="E671" s="598"/>
      <c r="F671" s="699"/>
      <c r="G671" s="700"/>
      <c r="H671" s="598"/>
      <c r="I671" s="598"/>
      <c r="J671" s="598"/>
      <c r="K671" s="598"/>
      <c r="L671" s="598"/>
      <c r="Q671" s="432">
        <v>46076</v>
      </c>
      <c r="R671" s="433">
        <v>0.91666666666666663</v>
      </c>
      <c r="S671" s="434" t="s">
        <v>199</v>
      </c>
      <c r="T671" s="434" t="s">
        <v>212</v>
      </c>
      <c r="U671" s="435">
        <v>1</v>
      </c>
      <c r="V671" s="436" t="str">
        <f t="shared" si="342"/>
        <v>bottle</v>
      </c>
      <c r="W671" s="437">
        <f t="shared" si="343"/>
        <v>70</v>
      </c>
      <c r="X671" s="437">
        <f t="shared" si="344"/>
        <v>0</v>
      </c>
      <c r="Y671" s="437">
        <f t="shared" si="345"/>
        <v>0</v>
      </c>
      <c r="Z671" s="437">
        <f t="shared" si="346"/>
        <v>17</v>
      </c>
      <c r="AA671" s="437">
        <f t="shared" si="347"/>
        <v>1</v>
      </c>
      <c r="AB671" s="584">
        <f t="shared" si="348"/>
        <v>0</v>
      </c>
      <c r="AC671" s="434"/>
    </row>
    <row r="672" spans="5:29">
      <c r="E672" s="598"/>
      <c r="F672" s="699"/>
      <c r="G672" s="700"/>
      <c r="H672" s="598"/>
      <c r="I672" s="598"/>
      <c r="J672" s="598"/>
      <c r="K672" s="598"/>
      <c r="L672" s="598"/>
      <c r="Q672" s="432">
        <v>46076</v>
      </c>
      <c r="R672" s="433">
        <v>0.91666666666666663</v>
      </c>
      <c r="S672" s="434" t="s">
        <v>199</v>
      </c>
      <c r="T672" s="434" t="s">
        <v>209</v>
      </c>
      <c r="U672" s="435">
        <v>1</v>
      </c>
      <c r="V672" s="436" t="str">
        <f t="shared" si="342"/>
        <v>tbsp</v>
      </c>
      <c r="W672" s="437">
        <f t="shared" si="343"/>
        <v>20</v>
      </c>
      <c r="X672" s="437">
        <f t="shared" si="344"/>
        <v>0</v>
      </c>
      <c r="Y672" s="437">
        <f t="shared" si="345"/>
        <v>0</v>
      </c>
      <c r="Z672" s="437">
        <f t="shared" si="346"/>
        <v>5</v>
      </c>
      <c r="AA672" s="437">
        <f t="shared" si="347"/>
        <v>4.5</v>
      </c>
      <c r="AB672" s="584">
        <f t="shared" si="348"/>
        <v>0</v>
      </c>
      <c r="AC672" s="434"/>
    </row>
    <row r="673" spans="5:29" s="450" customFormat="1">
      <c r="E673" s="598"/>
      <c r="F673" s="699"/>
      <c r="G673" s="700"/>
      <c r="H673" s="598"/>
      <c r="I673" s="598"/>
      <c r="J673" s="598"/>
      <c r="K673" s="598"/>
      <c r="L673" s="598"/>
      <c r="M673" s="445"/>
      <c r="N673" s="445"/>
      <c r="O673" s="445"/>
      <c r="Q673" s="432">
        <v>46076</v>
      </c>
      <c r="R673" s="433">
        <v>0.91666666666666663</v>
      </c>
      <c r="S673" s="434" t="s">
        <v>289</v>
      </c>
      <c r="T673" s="434" t="s">
        <v>214</v>
      </c>
      <c r="U673" s="435">
        <v>1</v>
      </c>
      <c r="V673" s="436" t="str">
        <f t="shared" si="342"/>
        <v>bar</v>
      </c>
      <c r="W673" s="437">
        <f t="shared" si="343"/>
        <v>67</v>
      </c>
      <c r="X673" s="437">
        <f t="shared" si="344"/>
        <v>1</v>
      </c>
      <c r="Y673" s="437">
        <f t="shared" si="345"/>
        <v>3.5</v>
      </c>
      <c r="Z673" s="437">
        <f t="shared" si="346"/>
        <v>22</v>
      </c>
      <c r="AA673" s="437">
        <f t="shared" si="347"/>
        <v>0.3</v>
      </c>
      <c r="AB673" s="684">
        <f t="shared" si="348"/>
        <v>0</v>
      </c>
      <c r="AC673" s="434"/>
    </row>
    <row r="674" spans="5:29">
      <c r="E674" s="598"/>
      <c r="F674" s="699"/>
      <c r="G674" s="700"/>
      <c r="H674" s="598"/>
      <c r="I674" s="598"/>
      <c r="J674" s="598"/>
      <c r="K674" s="598"/>
      <c r="L674" s="598"/>
      <c r="Q674" s="438"/>
      <c r="R674" s="439" t="s">
        <v>217</v>
      </c>
      <c r="S674" s="440"/>
      <c r="T674" s="441"/>
      <c r="U674" s="441"/>
      <c r="V674" s="442"/>
      <c r="W674" s="443">
        <f t="shared" ref="W674:AB674" si="349">SUM(W660:W673)</f>
        <v>2416</v>
      </c>
      <c r="X674" s="443">
        <f t="shared" si="349"/>
        <v>182.18</v>
      </c>
      <c r="Y674" s="443">
        <f t="shared" si="349"/>
        <v>61.165999999999997</v>
      </c>
      <c r="Z674" s="443">
        <f t="shared" si="349"/>
        <v>286.28999999999996</v>
      </c>
      <c r="AA674" s="685">
        <f t="shared" si="349"/>
        <v>41.069999999999993</v>
      </c>
      <c r="AB674" s="691">
        <f t="shared" si="349"/>
        <v>80</v>
      </c>
      <c r="AC674" s="439"/>
    </row>
    <row r="675" spans="5:29">
      <c r="E675" s="598"/>
      <c r="F675" s="699"/>
      <c r="G675" s="700"/>
      <c r="H675" s="598"/>
      <c r="I675" s="598"/>
      <c r="J675" s="598"/>
      <c r="K675" s="598"/>
      <c r="L675" s="598"/>
      <c r="Q675" s="438"/>
      <c r="R675" s="439" t="s">
        <v>220</v>
      </c>
      <c r="S675" s="440"/>
      <c r="T675" s="441"/>
      <c r="U675" s="441"/>
      <c r="V675" s="442"/>
      <c r="W675" s="444">
        <f>$B$27</f>
        <v>2834.5625</v>
      </c>
      <c r="X675" s="444">
        <f>$B$29</f>
        <v>154</v>
      </c>
      <c r="Y675" s="444">
        <f>$B$30</f>
        <v>63.91</v>
      </c>
      <c r="Z675" s="444">
        <f>$B$31</f>
        <v>410.84312499999999</v>
      </c>
      <c r="AA675" s="692">
        <f>$B$32</f>
        <v>39.683875</v>
      </c>
      <c r="AB675" s="695">
        <f>$B$39</f>
        <v>500</v>
      </c>
      <c r="AC675" s="439"/>
    </row>
    <row r="676" spans="5:29">
      <c r="E676" s="598"/>
      <c r="F676" s="699"/>
      <c r="G676" s="700"/>
      <c r="H676" s="598"/>
      <c r="I676" s="598"/>
      <c r="J676" s="598"/>
      <c r="K676" s="598"/>
      <c r="L676" s="598"/>
      <c r="Q676" s="438"/>
      <c r="R676" s="439" t="s">
        <v>222</v>
      </c>
      <c r="S676" s="440"/>
      <c r="T676" s="441"/>
      <c r="U676" s="441"/>
      <c r="V676" s="442"/>
      <c r="W676" s="284">
        <f t="shared" ref="W676:AB676" si="350">W674-W675</f>
        <v>-418.5625</v>
      </c>
      <c r="X676" s="284">
        <f t="shared" si="350"/>
        <v>28.180000000000007</v>
      </c>
      <c r="Y676" s="284">
        <f t="shared" si="350"/>
        <v>-2.7439999999999998</v>
      </c>
      <c r="Z676" s="284">
        <f t="shared" si="350"/>
        <v>-124.55312500000002</v>
      </c>
      <c r="AA676" s="690">
        <f t="shared" si="350"/>
        <v>1.3861249999999927</v>
      </c>
      <c r="AB676" s="689">
        <f t="shared" si="350"/>
        <v>-420</v>
      </c>
      <c r="AC676" s="439"/>
    </row>
    <row r="677" spans="5:29">
      <c r="E677" s="598"/>
      <c r="F677" s="699"/>
      <c r="G677" s="700"/>
      <c r="H677" s="598"/>
      <c r="I677" s="598"/>
      <c r="J677" s="598"/>
      <c r="K677" s="598"/>
      <c r="L677" s="598"/>
      <c r="Q677" s="432">
        <v>46077</v>
      </c>
      <c r="R677" s="433">
        <v>0.33333333333333331</v>
      </c>
      <c r="S677" s="434" t="s">
        <v>178</v>
      </c>
      <c r="T677" s="434" t="s">
        <v>753</v>
      </c>
      <c r="U677" s="435">
        <v>217</v>
      </c>
      <c r="V677" s="436" t="str">
        <f t="shared" ref="V677:V694" si="351">IFERROR(VLOOKUP(T677, $E$5:$L$818, 3, FALSE), "")</f>
        <v>g</v>
      </c>
      <c r="W677" s="437">
        <f t="shared" ref="W677:W694" si="352">IFERROR(VLOOKUP(T677, $E$5:$L$818, 4, FALSE) * (U677 / VLOOKUP(T677, $E$5:$L$818, 2, FALSE)), "")</f>
        <v>282.09999999999997</v>
      </c>
      <c r="X677" s="437">
        <f t="shared" ref="X677:X694" si="353">IFERROR(VLOOKUP(T677, $E$5:$L$818, 5, FALSE) * (U677 / VLOOKUP(T677, $E$5:$L$818, 2, FALSE)), "")</f>
        <v>2.17</v>
      </c>
      <c r="Y677" s="437">
        <f t="shared" ref="Y677:Y694" si="354">IFERROR(VLOOKUP(T677, $E$5:$L$818, 6, FALSE) * (U677 / VLOOKUP(T677, $E$5:$L$818, 2, FALSE)), "")</f>
        <v>0</v>
      </c>
      <c r="Z677" s="437">
        <f t="shared" ref="Z677:Z694" si="355">IFERROR(VLOOKUP(T677, $E$5:$L$818, 7, FALSE) * (U677 / VLOOKUP(T677, $E$5:$L$818, 2, FALSE)), "")</f>
        <v>67.27</v>
      </c>
      <c r="AA677" s="437">
        <f t="shared" ref="AA677:AA694" si="356">IFERROR(VLOOKUP(T677, $E$5:$L$818, 8, FALSE) * (U677 / VLOOKUP(T677, $E$5:$L$818, 2, FALSE)), "")</f>
        <v>6.51</v>
      </c>
      <c r="AB677" s="674">
        <f t="shared" ref="AB677:AB694" si="357">IFERROR(VLOOKUP(T677, $E$5:$O$818, 9, FALSE) * (U677 / VLOOKUP(T677, $E$5:$O$818, 2, FALSE)), "")</f>
        <v>0</v>
      </c>
      <c r="AC677" s="434"/>
    </row>
    <row r="678" spans="5:29">
      <c r="E678" s="598"/>
      <c r="F678" s="699"/>
      <c r="G678" s="700"/>
      <c r="H678" s="598"/>
      <c r="I678" s="598"/>
      <c r="J678" s="598"/>
      <c r="K678" s="598"/>
      <c r="L678" s="598"/>
      <c r="Q678" s="432">
        <v>46077</v>
      </c>
      <c r="R678" s="433">
        <v>0.33333333333333331</v>
      </c>
      <c r="S678" s="434" t="s">
        <v>178</v>
      </c>
      <c r="T678" s="434" t="s">
        <v>758</v>
      </c>
      <c r="U678" s="435">
        <v>1</v>
      </c>
      <c r="V678" s="436" t="str">
        <f t="shared" si="351"/>
        <v>serving</v>
      </c>
      <c r="W678" s="437">
        <f t="shared" si="352"/>
        <v>380</v>
      </c>
      <c r="X678" s="437">
        <f t="shared" si="353"/>
        <v>12</v>
      </c>
      <c r="Y678" s="437">
        <f t="shared" si="354"/>
        <v>8</v>
      </c>
      <c r="Z678" s="437">
        <f t="shared" si="355"/>
        <v>68</v>
      </c>
      <c r="AA678" s="437">
        <f t="shared" si="356"/>
        <v>2</v>
      </c>
      <c r="AB678" s="584">
        <f t="shared" si="357"/>
        <v>0</v>
      </c>
      <c r="AC678" s="434"/>
    </row>
    <row r="679" spans="5:29">
      <c r="E679" s="598"/>
      <c r="F679" s="699"/>
      <c r="G679" s="700"/>
      <c r="H679" s="598"/>
      <c r="I679" s="598"/>
      <c r="J679" s="598"/>
      <c r="K679" s="598"/>
      <c r="L679" s="598"/>
      <c r="Q679" s="432">
        <v>46077</v>
      </c>
      <c r="R679" s="433">
        <v>0.33333333333333331</v>
      </c>
      <c r="S679" s="434" t="s">
        <v>178</v>
      </c>
      <c r="T679" s="434" t="s">
        <v>759</v>
      </c>
      <c r="U679" s="435">
        <v>0.5</v>
      </c>
      <c r="V679" s="436" t="str">
        <f t="shared" si="351"/>
        <v>skewers</v>
      </c>
      <c r="W679" s="437">
        <f t="shared" si="352"/>
        <v>45</v>
      </c>
      <c r="X679" s="437">
        <f t="shared" si="353"/>
        <v>5</v>
      </c>
      <c r="Y679" s="437">
        <f t="shared" si="354"/>
        <v>2</v>
      </c>
      <c r="Z679" s="437">
        <f t="shared" si="355"/>
        <v>1.5</v>
      </c>
      <c r="AA679" s="437">
        <f t="shared" si="356"/>
        <v>0</v>
      </c>
      <c r="AB679" s="584">
        <f t="shared" si="357"/>
        <v>0</v>
      </c>
      <c r="AC679" s="434"/>
    </row>
    <row r="680" spans="5:29">
      <c r="E680" s="598"/>
      <c r="F680" s="699"/>
      <c r="G680" s="700"/>
      <c r="H680" s="598"/>
      <c r="I680" s="598"/>
      <c r="J680" s="598"/>
      <c r="K680" s="598"/>
      <c r="L680" s="598"/>
      <c r="Q680" s="432">
        <v>46077</v>
      </c>
      <c r="R680" s="433">
        <v>0.41666666666666669</v>
      </c>
      <c r="S680" s="434" t="s">
        <v>289</v>
      </c>
      <c r="T680" s="434" t="s">
        <v>190</v>
      </c>
      <c r="U680" s="435">
        <v>2</v>
      </c>
      <c r="V680" s="436" t="str">
        <f t="shared" si="351"/>
        <v>medium</v>
      </c>
      <c r="W680" s="437">
        <f t="shared" si="352"/>
        <v>124</v>
      </c>
      <c r="X680" s="437">
        <f t="shared" si="353"/>
        <v>2.4</v>
      </c>
      <c r="Y680" s="437">
        <f t="shared" si="354"/>
        <v>0.4</v>
      </c>
      <c r="Z680" s="437">
        <f t="shared" si="355"/>
        <v>30.8</v>
      </c>
      <c r="AA680" s="437">
        <f t="shared" si="356"/>
        <v>6.2</v>
      </c>
      <c r="AB680" s="584">
        <f t="shared" si="357"/>
        <v>0</v>
      </c>
      <c r="AC680" s="434"/>
    </row>
    <row r="681" spans="5:29">
      <c r="E681" s="598"/>
      <c r="F681" s="699"/>
      <c r="G681" s="700"/>
      <c r="H681" s="598"/>
      <c r="I681" s="598"/>
      <c r="J681" s="598"/>
      <c r="K681" s="598"/>
      <c r="L681" s="598"/>
      <c r="Q681" s="432">
        <v>46077</v>
      </c>
      <c r="R681" s="433">
        <v>0.45833333333333331</v>
      </c>
      <c r="S681" s="434" t="s">
        <v>178</v>
      </c>
      <c r="T681" s="434" t="s">
        <v>295</v>
      </c>
      <c r="U681" s="435">
        <v>1</v>
      </c>
      <c r="V681" s="436" t="str">
        <f t="shared" si="351"/>
        <v>bottle</v>
      </c>
      <c r="W681" s="437">
        <f t="shared" si="352"/>
        <v>200</v>
      </c>
      <c r="X681" s="437">
        <f t="shared" si="353"/>
        <v>35</v>
      </c>
      <c r="Y681" s="437">
        <f t="shared" si="354"/>
        <v>2.5</v>
      </c>
      <c r="Z681" s="437">
        <f t="shared" si="355"/>
        <v>9</v>
      </c>
      <c r="AA681" s="437">
        <f t="shared" si="356"/>
        <v>0</v>
      </c>
      <c r="AB681" s="584">
        <f t="shared" si="357"/>
        <v>0</v>
      </c>
      <c r="AC681" s="434"/>
    </row>
    <row r="682" spans="5:29">
      <c r="E682" s="598"/>
      <c r="F682" s="699"/>
      <c r="G682" s="700"/>
      <c r="H682" s="598"/>
      <c r="I682" s="598"/>
      <c r="J682" s="598"/>
      <c r="K682" s="598"/>
      <c r="L682" s="598"/>
      <c r="Q682" s="432">
        <v>46077</v>
      </c>
      <c r="R682" s="433">
        <v>0.5</v>
      </c>
      <c r="S682" s="434" t="s">
        <v>185</v>
      </c>
      <c r="T682" s="434" t="s">
        <v>464</v>
      </c>
      <c r="U682" s="435">
        <v>1</v>
      </c>
      <c r="V682" s="436" t="str">
        <f t="shared" si="351"/>
        <v>lozenge</v>
      </c>
      <c r="W682" s="437">
        <f t="shared" si="352"/>
        <v>10</v>
      </c>
      <c r="X682" s="437">
        <f t="shared" si="353"/>
        <v>0</v>
      </c>
      <c r="Y682" s="437">
        <f t="shared" si="354"/>
        <v>0</v>
      </c>
      <c r="Z682" s="437">
        <f t="shared" si="355"/>
        <v>3</v>
      </c>
      <c r="AA682" s="437">
        <f t="shared" si="356"/>
        <v>0</v>
      </c>
      <c r="AB682" s="584">
        <f t="shared" si="357"/>
        <v>0</v>
      </c>
      <c r="AC682" s="434"/>
    </row>
    <row r="683" spans="5:29">
      <c r="E683" s="598"/>
      <c r="F683" s="699"/>
      <c r="G683" s="700"/>
      <c r="H683" s="598"/>
      <c r="I683" s="598"/>
      <c r="J683" s="598"/>
      <c r="K683" s="598"/>
      <c r="L683" s="598"/>
      <c r="Q683" s="432">
        <v>46077</v>
      </c>
      <c r="R683" s="433">
        <v>0.54166666666666663</v>
      </c>
      <c r="S683" s="434" t="s">
        <v>185</v>
      </c>
      <c r="T683" s="434" t="s">
        <v>176</v>
      </c>
      <c r="U683" s="435">
        <v>218</v>
      </c>
      <c r="V683" s="436" t="str">
        <f t="shared" si="351"/>
        <v>g</v>
      </c>
      <c r="W683" s="437">
        <f t="shared" si="352"/>
        <v>359.70000000000005</v>
      </c>
      <c r="X683" s="437">
        <f t="shared" si="353"/>
        <v>54.500000000000007</v>
      </c>
      <c r="Y683" s="437">
        <f t="shared" si="354"/>
        <v>7.8480000000000008</v>
      </c>
      <c r="Z683" s="437">
        <f t="shared" si="355"/>
        <v>0</v>
      </c>
      <c r="AA683" s="437">
        <f t="shared" si="356"/>
        <v>0</v>
      </c>
      <c r="AB683" s="584">
        <f t="shared" si="357"/>
        <v>0</v>
      </c>
      <c r="AC683" s="434"/>
    </row>
    <row r="684" spans="5:29">
      <c r="E684" s="598"/>
      <c r="F684" s="699"/>
      <c r="G684" s="700"/>
      <c r="H684" s="598"/>
      <c r="I684" s="598"/>
      <c r="J684" s="598"/>
      <c r="K684" s="598"/>
      <c r="L684" s="598"/>
      <c r="Q684" s="432">
        <v>46077</v>
      </c>
      <c r="R684" s="433">
        <v>0.54166666666666663</v>
      </c>
      <c r="S684" s="434" t="s">
        <v>185</v>
      </c>
      <c r="T684" s="434" t="s">
        <v>180</v>
      </c>
      <c r="U684" s="435">
        <v>159</v>
      </c>
      <c r="V684" s="436" t="str">
        <f t="shared" si="351"/>
        <v>g</v>
      </c>
      <c r="W684" s="437">
        <f t="shared" si="352"/>
        <v>206.70000000000002</v>
      </c>
      <c r="X684" s="437">
        <f t="shared" si="353"/>
        <v>4.2930000000000001</v>
      </c>
      <c r="Y684" s="437">
        <f t="shared" si="354"/>
        <v>0.47699999999999998</v>
      </c>
      <c r="Z684" s="437">
        <f t="shared" si="355"/>
        <v>44.52</v>
      </c>
      <c r="AA684" s="437">
        <f t="shared" si="356"/>
        <v>0.63600000000000012</v>
      </c>
      <c r="AB684" s="584">
        <f t="shared" si="357"/>
        <v>0</v>
      </c>
      <c r="AC684" s="434"/>
    </row>
    <row r="685" spans="5:29">
      <c r="E685" s="598"/>
      <c r="F685" s="699"/>
      <c r="G685" s="700"/>
      <c r="H685" s="598"/>
      <c r="I685" s="598"/>
      <c r="J685" s="598"/>
      <c r="K685" s="598"/>
      <c r="L685" s="598"/>
      <c r="Q685" s="432">
        <v>46077</v>
      </c>
      <c r="R685" s="433">
        <v>0.58333333333333337</v>
      </c>
      <c r="S685" s="434" t="s">
        <v>289</v>
      </c>
      <c r="T685" s="434" t="s">
        <v>474</v>
      </c>
      <c r="U685" s="435">
        <v>1</v>
      </c>
      <c r="V685" s="436" t="str">
        <f t="shared" si="351"/>
        <v>ear</v>
      </c>
      <c r="W685" s="437">
        <f t="shared" si="352"/>
        <v>130</v>
      </c>
      <c r="X685" s="437">
        <f t="shared" si="353"/>
        <v>4</v>
      </c>
      <c r="Y685" s="437">
        <f t="shared" si="354"/>
        <v>2</v>
      </c>
      <c r="Z685" s="437">
        <f t="shared" si="355"/>
        <v>27</v>
      </c>
      <c r="AA685" s="437">
        <f t="shared" si="356"/>
        <v>3</v>
      </c>
      <c r="AB685" s="584">
        <f t="shared" si="357"/>
        <v>0</v>
      </c>
      <c r="AC685" s="434"/>
    </row>
    <row r="686" spans="5:29">
      <c r="E686" s="598"/>
      <c r="F686" s="699"/>
      <c r="G686" s="700"/>
      <c r="H686" s="598"/>
      <c r="I686" s="598"/>
      <c r="J686" s="598"/>
      <c r="K686" s="598"/>
      <c r="L686" s="598"/>
      <c r="Q686" s="432">
        <v>46077</v>
      </c>
      <c r="R686" s="433">
        <v>0.58333333333333337</v>
      </c>
      <c r="S686" s="434" t="s">
        <v>289</v>
      </c>
      <c r="T686" s="434" t="s">
        <v>190</v>
      </c>
      <c r="U686" s="435">
        <v>2</v>
      </c>
      <c r="V686" s="436" t="str">
        <f t="shared" si="351"/>
        <v>medium</v>
      </c>
      <c r="W686" s="437">
        <f t="shared" si="352"/>
        <v>124</v>
      </c>
      <c r="X686" s="437">
        <f t="shared" si="353"/>
        <v>2.4</v>
      </c>
      <c r="Y686" s="437">
        <f t="shared" si="354"/>
        <v>0.4</v>
      </c>
      <c r="Z686" s="437">
        <f t="shared" si="355"/>
        <v>30.8</v>
      </c>
      <c r="AA686" s="437">
        <f t="shared" si="356"/>
        <v>6.2</v>
      </c>
      <c r="AB686" s="584">
        <f t="shared" si="357"/>
        <v>0</v>
      </c>
      <c r="AC686" s="434"/>
    </row>
    <row r="687" spans="5:29">
      <c r="E687" s="598"/>
      <c r="F687" s="699"/>
      <c r="G687" s="700"/>
      <c r="H687" s="598"/>
      <c r="I687" s="598"/>
      <c r="J687" s="598"/>
      <c r="K687" s="598"/>
      <c r="L687" s="598"/>
      <c r="Q687" s="432">
        <v>46077</v>
      </c>
      <c r="R687" s="433">
        <v>0.625</v>
      </c>
      <c r="S687" s="434" t="s">
        <v>289</v>
      </c>
      <c r="T687" s="434" t="s">
        <v>461</v>
      </c>
      <c r="U687" s="435">
        <v>1</v>
      </c>
      <c r="V687" s="436" t="str">
        <f t="shared" si="351"/>
        <v>chunks</v>
      </c>
      <c r="W687" s="437">
        <f t="shared" si="352"/>
        <v>24.285714285714285</v>
      </c>
      <c r="X687" s="437">
        <f t="shared" si="353"/>
        <v>0.42857142857142855</v>
      </c>
      <c r="Y687" s="437">
        <f t="shared" si="354"/>
        <v>1.4285714285714284</v>
      </c>
      <c r="Z687" s="437">
        <f t="shared" si="355"/>
        <v>2.5714285714285712</v>
      </c>
      <c r="AA687" s="437">
        <f t="shared" si="356"/>
        <v>7.1428571428571425E-2</v>
      </c>
      <c r="AB687" s="584">
        <f t="shared" si="357"/>
        <v>0</v>
      </c>
      <c r="AC687" s="434"/>
    </row>
    <row r="688" spans="5:29">
      <c r="E688" s="598"/>
      <c r="F688" s="699"/>
      <c r="G688" s="700"/>
      <c r="H688" s="598"/>
      <c r="I688" s="598"/>
      <c r="J688" s="598"/>
      <c r="K688" s="598"/>
      <c r="L688" s="598"/>
      <c r="Q688" s="432">
        <v>46077</v>
      </c>
      <c r="R688" s="433">
        <v>0.70833333333333337</v>
      </c>
      <c r="S688" s="434" t="s">
        <v>289</v>
      </c>
      <c r="T688" s="434" t="s">
        <v>461</v>
      </c>
      <c r="U688" s="435">
        <v>1</v>
      </c>
      <c r="V688" s="436" t="str">
        <f t="shared" si="351"/>
        <v>chunks</v>
      </c>
      <c r="W688" s="437">
        <f t="shared" si="352"/>
        <v>24.285714285714285</v>
      </c>
      <c r="X688" s="437">
        <f t="shared" si="353"/>
        <v>0.42857142857142855</v>
      </c>
      <c r="Y688" s="437">
        <f t="shared" si="354"/>
        <v>1.4285714285714284</v>
      </c>
      <c r="Z688" s="437">
        <f t="shared" si="355"/>
        <v>2.5714285714285712</v>
      </c>
      <c r="AA688" s="437">
        <f t="shared" si="356"/>
        <v>7.1428571428571425E-2</v>
      </c>
      <c r="AB688" s="584">
        <f t="shared" si="357"/>
        <v>0</v>
      </c>
      <c r="AC688" s="434"/>
    </row>
    <row r="689" spans="5:29">
      <c r="E689" s="598"/>
      <c r="F689" s="699"/>
      <c r="G689" s="700"/>
      <c r="H689" s="598"/>
      <c r="I689" s="598"/>
      <c r="J689" s="598"/>
      <c r="K689" s="598"/>
      <c r="L689" s="598"/>
      <c r="Q689" s="432">
        <v>46077</v>
      </c>
      <c r="R689" s="433">
        <v>0.70833333333333337</v>
      </c>
      <c r="S689" s="434" t="s">
        <v>289</v>
      </c>
      <c r="T689" s="434" t="s">
        <v>423</v>
      </c>
      <c r="U689" s="435">
        <v>2</v>
      </c>
      <c r="V689" s="436" t="str">
        <f t="shared" si="351"/>
        <v>pieces</v>
      </c>
      <c r="W689" s="437">
        <f t="shared" si="352"/>
        <v>15</v>
      </c>
      <c r="X689" s="437">
        <f t="shared" si="353"/>
        <v>0</v>
      </c>
      <c r="Y689" s="437">
        <f t="shared" si="354"/>
        <v>0</v>
      </c>
      <c r="Z689" s="437">
        <f t="shared" si="355"/>
        <v>3</v>
      </c>
      <c r="AA689" s="437">
        <f t="shared" si="356"/>
        <v>0</v>
      </c>
      <c r="AB689" s="584">
        <f t="shared" si="357"/>
        <v>0</v>
      </c>
      <c r="AC689" s="434"/>
    </row>
    <row r="690" spans="5:29">
      <c r="E690" s="598"/>
      <c r="F690" s="699"/>
      <c r="G690" s="700"/>
      <c r="H690" s="598"/>
      <c r="I690" s="598"/>
      <c r="J690" s="598"/>
      <c r="K690" s="598"/>
      <c r="L690" s="598"/>
      <c r="Q690" s="432">
        <v>46077</v>
      </c>
      <c r="R690" s="433">
        <v>0.83333333333333337</v>
      </c>
      <c r="S690" s="434" t="s">
        <v>199</v>
      </c>
      <c r="T690" s="434" t="s">
        <v>753</v>
      </c>
      <c r="U690" s="435">
        <v>141</v>
      </c>
      <c r="V690" s="436" t="str">
        <f t="shared" si="351"/>
        <v>g</v>
      </c>
      <c r="W690" s="437">
        <f t="shared" si="352"/>
        <v>183.29999999999998</v>
      </c>
      <c r="X690" s="437">
        <f t="shared" si="353"/>
        <v>1.41</v>
      </c>
      <c r="Y690" s="437">
        <f t="shared" si="354"/>
        <v>0</v>
      </c>
      <c r="Z690" s="437">
        <f t="shared" si="355"/>
        <v>43.71</v>
      </c>
      <c r="AA690" s="437">
        <f t="shared" si="356"/>
        <v>4.2299999999999995</v>
      </c>
      <c r="AB690" s="584">
        <f t="shared" si="357"/>
        <v>0</v>
      </c>
      <c r="AC690" s="434"/>
    </row>
    <row r="691" spans="5:29">
      <c r="E691" s="598"/>
      <c r="F691" s="699"/>
      <c r="G691" s="700"/>
      <c r="H691" s="598"/>
      <c r="I691" s="598"/>
      <c r="J691" s="598"/>
      <c r="K691" s="598"/>
      <c r="L691" s="598"/>
      <c r="Q691" s="432">
        <v>46077</v>
      </c>
      <c r="R691" s="433">
        <v>0.83333333333333337</v>
      </c>
      <c r="S691" s="434" t="s">
        <v>199</v>
      </c>
      <c r="T691" s="434" t="s">
        <v>816</v>
      </c>
      <c r="U691" s="435">
        <v>150</v>
      </c>
      <c r="V691" s="436" t="str">
        <f t="shared" si="351"/>
        <v>g</v>
      </c>
      <c r="W691" s="437">
        <f t="shared" si="352"/>
        <v>325.5</v>
      </c>
      <c r="X691" s="437">
        <f t="shared" si="353"/>
        <v>39</v>
      </c>
      <c r="Y691" s="437">
        <f t="shared" si="354"/>
        <v>18</v>
      </c>
      <c r="Z691" s="437">
        <f t="shared" si="355"/>
        <v>0</v>
      </c>
      <c r="AA691" s="437">
        <f t="shared" si="356"/>
        <v>0</v>
      </c>
      <c r="AB691" s="584">
        <f t="shared" si="357"/>
        <v>0</v>
      </c>
      <c r="AC691" s="434"/>
    </row>
    <row r="692" spans="5:29">
      <c r="E692" s="598"/>
      <c r="F692" s="699"/>
      <c r="G692" s="700"/>
      <c r="H692" s="598"/>
      <c r="I692" s="598"/>
      <c r="J692" s="598"/>
      <c r="K692" s="598"/>
      <c r="L692" s="598"/>
      <c r="Q692" s="432">
        <v>46077</v>
      </c>
      <c r="R692" s="433">
        <v>0.91666666666666663</v>
      </c>
      <c r="S692" s="434" t="s">
        <v>289</v>
      </c>
      <c r="T692" s="434" t="s">
        <v>753</v>
      </c>
      <c r="U692" s="435">
        <v>118</v>
      </c>
      <c r="V692" s="436" t="str">
        <f t="shared" si="351"/>
        <v>g</v>
      </c>
      <c r="W692" s="437">
        <f t="shared" si="352"/>
        <v>153.4</v>
      </c>
      <c r="X692" s="437">
        <f t="shared" si="353"/>
        <v>1.18</v>
      </c>
      <c r="Y692" s="437">
        <f t="shared" si="354"/>
        <v>0</v>
      </c>
      <c r="Z692" s="437">
        <f t="shared" si="355"/>
        <v>36.58</v>
      </c>
      <c r="AA692" s="437">
        <f t="shared" si="356"/>
        <v>3.54</v>
      </c>
      <c r="AB692" s="584">
        <f t="shared" si="357"/>
        <v>0</v>
      </c>
      <c r="AC692" s="434"/>
    </row>
    <row r="693" spans="5:29">
      <c r="E693" s="598"/>
      <c r="F693" s="699"/>
      <c r="G693" s="700"/>
      <c r="H693" s="598"/>
      <c r="I693" s="598"/>
      <c r="J693" s="598"/>
      <c r="K693" s="598"/>
      <c r="L693" s="598"/>
      <c r="Q693" s="432">
        <v>46077</v>
      </c>
      <c r="R693" s="433">
        <v>0.91666666666666663</v>
      </c>
      <c r="S693" s="434" t="s">
        <v>289</v>
      </c>
      <c r="T693" s="434" t="s">
        <v>212</v>
      </c>
      <c r="U693" s="435">
        <v>1</v>
      </c>
      <c r="V693" s="436" t="str">
        <f t="shared" si="351"/>
        <v>bottle</v>
      </c>
      <c r="W693" s="437">
        <f t="shared" si="352"/>
        <v>70</v>
      </c>
      <c r="X693" s="437">
        <f t="shared" si="353"/>
        <v>0</v>
      </c>
      <c r="Y693" s="437">
        <f t="shared" si="354"/>
        <v>0</v>
      </c>
      <c r="Z693" s="437">
        <f t="shared" si="355"/>
        <v>17</v>
      </c>
      <c r="AA693" s="437">
        <f t="shared" si="356"/>
        <v>1</v>
      </c>
      <c r="AB693" s="584">
        <f t="shared" si="357"/>
        <v>0</v>
      </c>
      <c r="AC693" s="434"/>
    </row>
    <row r="694" spans="5:29">
      <c r="E694" s="598"/>
      <c r="F694" s="699"/>
      <c r="G694" s="700"/>
      <c r="H694" s="598"/>
      <c r="I694" s="598"/>
      <c r="J694" s="598"/>
      <c r="K694" s="598"/>
      <c r="L694" s="598"/>
      <c r="Q694" s="432">
        <v>46077</v>
      </c>
      <c r="R694" s="433">
        <v>0.91666666666666663</v>
      </c>
      <c r="S694" s="434" t="s">
        <v>289</v>
      </c>
      <c r="T694" s="434" t="s">
        <v>209</v>
      </c>
      <c r="U694" s="435">
        <v>2</v>
      </c>
      <c r="V694" s="436" t="str">
        <f t="shared" si="351"/>
        <v>tbsp</v>
      </c>
      <c r="W694" s="437">
        <f t="shared" si="352"/>
        <v>40</v>
      </c>
      <c r="X694" s="437">
        <f t="shared" si="353"/>
        <v>0</v>
      </c>
      <c r="Y694" s="437">
        <f t="shared" si="354"/>
        <v>0</v>
      </c>
      <c r="Z694" s="437">
        <f t="shared" si="355"/>
        <v>10</v>
      </c>
      <c r="AA694" s="437">
        <f t="shared" si="356"/>
        <v>9</v>
      </c>
      <c r="AB694" s="684">
        <f t="shared" si="357"/>
        <v>0</v>
      </c>
      <c r="AC694" s="434"/>
    </row>
    <row r="695" spans="5:29">
      <c r="E695" s="598"/>
      <c r="F695" s="699"/>
      <c r="G695" s="700"/>
      <c r="H695" s="598"/>
      <c r="I695" s="598"/>
      <c r="J695" s="598"/>
      <c r="K695" s="598"/>
      <c r="L695" s="598"/>
      <c r="Q695" s="438"/>
      <c r="R695" s="439" t="s">
        <v>217</v>
      </c>
      <c r="S695" s="440"/>
      <c r="T695" s="441"/>
      <c r="U695" s="441"/>
      <c r="V695" s="442"/>
      <c r="W695" s="443">
        <f t="shared" ref="W695:AB695" si="358">SUM(W677:W694)</f>
        <v>2697.2714285714287</v>
      </c>
      <c r="X695" s="443">
        <f t="shared" si="358"/>
        <v>164.2101428571429</v>
      </c>
      <c r="Y695" s="443">
        <f t="shared" si="358"/>
        <v>44.482142857142854</v>
      </c>
      <c r="Z695" s="443">
        <f t="shared" si="358"/>
        <v>397.32285714285706</v>
      </c>
      <c r="AA695" s="685">
        <f t="shared" si="358"/>
        <v>42.458857142857148</v>
      </c>
      <c r="AB695" s="691">
        <f t="shared" si="358"/>
        <v>0</v>
      </c>
      <c r="AC695" s="439"/>
    </row>
    <row r="696" spans="5:29">
      <c r="E696" s="598"/>
      <c r="F696" s="699"/>
      <c r="G696" s="700"/>
      <c r="H696" s="598"/>
      <c r="I696" s="598"/>
      <c r="J696" s="598"/>
      <c r="K696" s="598"/>
      <c r="L696" s="598"/>
      <c r="Q696" s="438"/>
      <c r="R696" s="439" t="s">
        <v>220</v>
      </c>
      <c r="S696" s="440"/>
      <c r="T696" s="441"/>
      <c r="U696" s="441"/>
      <c r="V696" s="442"/>
      <c r="W696" s="444">
        <f>$B$27</f>
        <v>2834.5625</v>
      </c>
      <c r="X696" s="444">
        <f>$B$29</f>
        <v>154</v>
      </c>
      <c r="Y696" s="444">
        <f>$B$30</f>
        <v>63.91</v>
      </c>
      <c r="Z696" s="444">
        <f>$B$31</f>
        <v>410.84312499999999</v>
      </c>
      <c r="AA696" s="692">
        <f>$B$32</f>
        <v>39.683875</v>
      </c>
      <c r="AB696" s="695">
        <f>$B$39</f>
        <v>500</v>
      </c>
      <c r="AC696" s="439"/>
    </row>
    <row r="697" spans="5:29">
      <c r="E697" s="598"/>
      <c r="F697" s="699"/>
      <c r="G697" s="700"/>
      <c r="H697" s="598"/>
      <c r="I697" s="598"/>
      <c r="J697" s="598"/>
      <c r="K697" s="598"/>
      <c r="L697" s="598"/>
      <c r="Q697" s="438"/>
      <c r="R697" s="439" t="s">
        <v>222</v>
      </c>
      <c r="S697" s="440"/>
      <c r="T697" s="441"/>
      <c r="U697" s="441"/>
      <c r="V697" s="442"/>
      <c r="W697" s="284">
        <f t="shared" ref="W697:AB697" si="359">W695-W696</f>
        <v>-137.29107142857129</v>
      </c>
      <c r="X697" s="284">
        <f t="shared" si="359"/>
        <v>10.210142857142898</v>
      </c>
      <c r="Y697" s="284">
        <f t="shared" si="359"/>
        <v>-19.427857142857142</v>
      </c>
      <c r="Z697" s="284">
        <f t="shared" si="359"/>
        <v>-13.520267857142926</v>
      </c>
      <c r="AA697" s="690">
        <f t="shared" si="359"/>
        <v>2.7749821428571479</v>
      </c>
      <c r="AB697" s="689">
        <f t="shared" si="359"/>
        <v>-500</v>
      </c>
      <c r="AC697" s="439"/>
    </row>
    <row r="698" spans="5:29">
      <c r="E698" s="598"/>
      <c r="F698" s="699"/>
      <c r="G698" s="700"/>
      <c r="H698" s="598"/>
      <c r="I698" s="598"/>
      <c r="J698" s="598"/>
      <c r="K698" s="598"/>
      <c r="L698" s="598"/>
      <c r="Q698" s="432">
        <v>46078</v>
      </c>
      <c r="R698" s="433">
        <v>0.33333333333333331</v>
      </c>
      <c r="S698" s="434" t="s">
        <v>178</v>
      </c>
      <c r="T698" s="434" t="s">
        <v>753</v>
      </c>
      <c r="U698" s="435">
        <v>135</v>
      </c>
      <c r="V698" s="436" t="str">
        <f t="shared" ref="V698:V717" si="360">IFERROR(VLOOKUP(T698, $E$5:$L$818, 3, FALSE), "")</f>
        <v>g</v>
      </c>
      <c r="W698" s="437">
        <f t="shared" ref="W698:W717" si="361">IFERROR(VLOOKUP(T698, $E$5:$L$818, 4, FALSE) * (U698 / VLOOKUP(T698, $E$5:$L$818, 2, FALSE)), "")</f>
        <v>175.5</v>
      </c>
      <c r="X698" s="437">
        <f t="shared" ref="X698:X717" si="362">IFERROR(VLOOKUP(T698, $E$5:$L$818, 5, FALSE) * (U698 / VLOOKUP(T698, $E$5:$L$818, 2, FALSE)), "")</f>
        <v>1.35</v>
      </c>
      <c r="Y698" s="437">
        <f t="shared" ref="Y698:Y717" si="363">IFERROR(VLOOKUP(T698, $E$5:$L$818, 6, FALSE) * (U698 / VLOOKUP(T698, $E$5:$L$818, 2, FALSE)), "")</f>
        <v>0</v>
      </c>
      <c r="Z698" s="437">
        <f t="shared" ref="Z698:Z717" si="364">IFERROR(VLOOKUP(T698, $E$5:$L$818, 7, FALSE) * (U698 / VLOOKUP(T698, $E$5:$L$818, 2, FALSE)), "")</f>
        <v>41.85</v>
      </c>
      <c r="AA698" s="437">
        <f t="shared" ref="AA698:AA717" si="365">IFERROR(VLOOKUP(T698, $E$5:$L$818, 8, FALSE) * (U698 / VLOOKUP(T698, $E$5:$L$818, 2, FALSE)), "")</f>
        <v>4.0500000000000007</v>
      </c>
      <c r="AB698" s="674">
        <f t="shared" ref="AB698:AB717" si="366">IFERROR(VLOOKUP(T698, $E$5:$O$818, 9, FALSE) * (U698 / VLOOKUP(T698, $E$5:$O$818, 2, FALSE)), "")</f>
        <v>0</v>
      </c>
      <c r="AC698" s="434"/>
    </row>
    <row r="699" spans="5:29">
      <c r="E699" s="598"/>
      <c r="F699" s="699"/>
      <c r="G699" s="700"/>
      <c r="H699" s="598"/>
      <c r="I699" s="598"/>
      <c r="J699" s="598"/>
      <c r="K699" s="598"/>
      <c r="L699" s="598"/>
      <c r="Q699" s="432">
        <v>46078</v>
      </c>
      <c r="R699" s="433">
        <v>0.33333333333333331</v>
      </c>
      <c r="S699" s="434" t="s">
        <v>178</v>
      </c>
      <c r="T699" s="434" t="s">
        <v>755</v>
      </c>
      <c r="U699" s="435">
        <v>50</v>
      </c>
      <c r="V699" s="436" t="str">
        <f t="shared" si="360"/>
        <v>g</v>
      </c>
      <c r="W699" s="437">
        <f t="shared" si="361"/>
        <v>16.666666666666664</v>
      </c>
      <c r="X699" s="437">
        <f t="shared" si="362"/>
        <v>1</v>
      </c>
      <c r="Y699" s="437">
        <f t="shared" si="363"/>
        <v>0</v>
      </c>
      <c r="Z699" s="437">
        <f t="shared" si="364"/>
        <v>3.333333333333333</v>
      </c>
      <c r="AA699" s="437">
        <f t="shared" si="365"/>
        <v>1.3333333333333333</v>
      </c>
      <c r="AB699" s="584">
        <f t="shared" si="366"/>
        <v>0</v>
      </c>
      <c r="AC699" s="434"/>
    </row>
    <row r="700" spans="5:29">
      <c r="E700" s="598"/>
      <c r="F700" s="699"/>
      <c r="G700" s="700"/>
      <c r="H700" s="598"/>
      <c r="I700" s="598"/>
      <c r="J700" s="598"/>
      <c r="K700" s="598"/>
      <c r="L700" s="598"/>
      <c r="Q700" s="432">
        <v>46078</v>
      </c>
      <c r="R700" s="433">
        <v>0.33333333333333331</v>
      </c>
      <c r="S700" s="434" t="s">
        <v>178</v>
      </c>
      <c r="T700" s="434" t="s">
        <v>754</v>
      </c>
      <c r="U700" s="435">
        <v>50</v>
      </c>
      <c r="V700" s="436" t="str">
        <f t="shared" si="360"/>
        <v>g</v>
      </c>
      <c r="W700" s="437">
        <f t="shared" si="361"/>
        <v>55</v>
      </c>
      <c r="X700" s="437">
        <f t="shared" si="362"/>
        <v>1.3333333333333333</v>
      </c>
      <c r="Y700" s="437">
        <f t="shared" si="363"/>
        <v>0.33333333333333331</v>
      </c>
      <c r="Z700" s="437">
        <f t="shared" si="364"/>
        <v>11.333333333333332</v>
      </c>
      <c r="AA700" s="437">
        <f t="shared" si="365"/>
        <v>0.66666666666666663</v>
      </c>
      <c r="AB700" s="584">
        <f t="shared" si="366"/>
        <v>0</v>
      </c>
      <c r="AC700" s="434"/>
    </row>
    <row r="701" spans="5:29">
      <c r="E701" s="598"/>
      <c r="F701" s="699"/>
      <c r="G701" s="700"/>
      <c r="H701" s="598"/>
      <c r="I701" s="598"/>
      <c r="J701" s="598"/>
      <c r="K701" s="598"/>
      <c r="L701" s="598"/>
      <c r="Q701" s="432">
        <v>46078</v>
      </c>
      <c r="R701" s="433">
        <v>0.375</v>
      </c>
      <c r="S701" s="434" t="s">
        <v>289</v>
      </c>
      <c r="T701" s="434" t="s">
        <v>176</v>
      </c>
      <c r="U701" s="435">
        <v>25</v>
      </c>
      <c r="V701" s="436" t="str">
        <f t="shared" si="360"/>
        <v>g</v>
      </c>
      <c r="W701" s="437">
        <f t="shared" si="361"/>
        <v>41.25</v>
      </c>
      <c r="X701" s="437">
        <f t="shared" si="362"/>
        <v>6.25</v>
      </c>
      <c r="Y701" s="437">
        <f t="shared" si="363"/>
        <v>0.9</v>
      </c>
      <c r="Z701" s="437">
        <f t="shared" si="364"/>
        <v>0</v>
      </c>
      <c r="AA701" s="437">
        <f t="shared" si="365"/>
        <v>0</v>
      </c>
      <c r="AB701" s="584">
        <f t="shared" si="366"/>
        <v>0</v>
      </c>
      <c r="AC701" s="434"/>
    </row>
    <row r="702" spans="5:29">
      <c r="E702" s="598"/>
      <c r="F702" s="699"/>
      <c r="G702" s="700"/>
      <c r="H702" s="598"/>
      <c r="I702" s="598"/>
      <c r="J702" s="598"/>
      <c r="K702" s="598"/>
      <c r="L702" s="598"/>
      <c r="Q702" s="432">
        <v>46078</v>
      </c>
      <c r="R702" s="433">
        <v>0.375</v>
      </c>
      <c r="S702" s="434" t="s">
        <v>289</v>
      </c>
      <c r="T702" s="434" t="s">
        <v>461</v>
      </c>
      <c r="U702" s="435">
        <v>1</v>
      </c>
      <c r="V702" s="436" t="str">
        <f t="shared" si="360"/>
        <v>chunks</v>
      </c>
      <c r="W702" s="437">
        <f t="shared" si="361"/>
        <v>24.285714285714285</v>
      </c>
      <c r="X702" s="437">
        <f t="shared" si="362"/>
        <v>0.42857142857142855</v>
      </c>
      <c r="Y702" s="437">
        <f t="shared" si="363"/>
        <v>1.4285714285714284</v>
      </c>
      <c r="Z702" s="437">
        <f t="shared" si="364"/>
        <v>2.5714285714285712</v>
      </c>
      <c r="AA702" s="437">
        <f t="shared" si="365"/>
        <v>7.1428571428571425E-2</v>
      </c>
      <c r="AB702" s="584">
        <f t="shared" si="366"/>
        <v>0</v>
      </c>
      <c r="AC702" s="434"/>
    </row>
    <row r="703" spans="5:29">
      <c r="E703" s="598"/>
      <c r="F703" s="699"/>
      <c r="G703" s="700"/>
      <c r="H703" s="598"/>
      <c r="I703" s="598"/>
      <c r="J703" s="598"/>
      <c r="K703" s="598"/>
      <c r="L703" s="598"/>
      <c r="Q703" s="432">
        <v>46078</v>
      </c>
      <c r="R703" s="433">
        <v>0.41666666666666702</v>
      </c>
      <c r="S703" s="434" t="s">
        <v>289</v>
      </c>
      <c r="T703" s="434" t="s">
        <v>768</v>
      </c>
      <c r="U703" s="435">
        <v>25</v>
      </c>
      <c r="V703" s="436" t="str">
        <f t="shared" si="360"/>
        <v>pieces</v>
      </c>
      <c r="W703" s="437">
        <f t="shared" si="361"/>
        <v>250</v>
      </c>
      <c r="X703" s="437">
        <f t="shared" si="362"/>
        <v>7.1428571428571432</v>
      </c>
      <c r="Y703" s="437">
        <f t="shared" si="363"/>
        <v>0</v>
      </c>
      <c r="Z703" s="437">
        <f t="shared" si="364"/>
        <v>57.142857142857146</v>
      </c>
      <c r="AA703" s="437">
        <f t="shared" si="365"/>
        <v>0</v>
      </c>
      <c r="AB703" s="584">
        <f t="shared" si="366"/>
        <v>0</v>
      </c>
      <c r="AC703" s="434"/>
    </row>
    <row r="704" spans="5:29">
      <c r="E704" s="598"/>
      <c r="F704" s="699"/>
      <c r="G704" s="700"/>
      <c r="H704" s="598"/>
      <c r="I704" s="598"/>
      <c r="J704" s="598"/>
      <c r="K704" s="598"/>
      <c r="L704" s="598"/>
      <c r="Q704" s="432">
        <v>46078</v>
      </c>
      <c r="R704" s="433">
        <v>0.45833333333333331</v>
      </c>
      <c r="S704" s="434" t="s">
        <v>289</v>
      </c>
      <c r="T704" s="434" t="s">
        <v>769</v>
      </c>
      <c r="U704" s="435">
        <v>1</v>
      </c>
      <c r="V704" s="436" t="str">
        <f t="shared" si="360"/>
        <v>bun</v>
      </c>
      <c r="W704" s="437">
        <f t="shared" si="361"/>
        <v>250</v>
      </c>
      <c r="X704" s="437">
        <f t="shared" si="362"/>
        <v>8</v>
      </c>
      <c r="Y704" s="437">
        <f t="shared" si="363"/>
        <v>6</v>
      </c>
      <c r="Z704" s="437">
        <f t="shared" si="364"/>
        <v>42</v>
      </c>
      <c r="AA704" s="437">
        <f t="shared" si="365"/>
        <v>1</v>
      </c>
      <c r="AB704" s="584">
        <f t="shared" si="366"/>
        <v>0</v>
      </c>
      <c r="AC704" s="434"/>
    </row>
    <row r="705" spans="5:29">
      <c r="E705" s="598"/>
      <c r="F705" s="699"/>
      <c r="G705" s="700"/>
      <c r="H705" s="598"/>
      <c r="I705" s="598"/>
      <c r="J705" s="598"/>
      <c r="K705" s="598"/>
      <c r="L705" s="598"/>
      <c r="Q705" s="432">
        <v>46078</v>
      </c>
      <c r="R705" s="433">
        <v>0.54166666666666663</v>
      </c>
      <c r="S705" s="434" t="s">
        <v>185</v>
      </c>
      <c r="T705" s="434" t="s">
        <v>754</v>
      </c>
      <c r="U705" s="435">
        <v>50</v>
      </c>
      <c r="V705" s="436" t="str">
        <f t="shared" si="360"/>
        <v>g</v>
      </c>
      <c r="W705" s="437">
        <f t="shared" si="361"/>
        <v>55</v>
      </c>
      <c r="X705" s="437">
        <f t="shared" si="362"/>
        <v>1.3333333333333333</v>
      </c>
      <c r="Y705" s="437">
        <f t="shared" si="363"/>
        <v>0.33333333333333331</v>
      </c>
      <c r="Z705" s="437">
        <f t="shared" si="364"/>
        <v>11.333333333333332</v>
      </c>
      <c r="AA705" s="437">
        <f t="shared" si="365"/>
        <v>0.66666666666666663</v>
      </c>
      <c r="AB705" s="584">
        <f t="shared" si="366"/>
        <v>0</v>
      </c>
      <c r="AC705" s="434"/>
    </row>
    <row r="706" spans="5:29">
      <c r="E706" s="598"/>
      <c r="F706" s="699"/>
      <c r="G706" s="700"/>
      <c r="H706" s="598"/>
      <c r="I706" s="598"/>
      <c r="J706" s="598"/>
      <c r="K706" s="598"/>
      <c r="L706" s="598"/>
      <c r="Q706" s="432">
        <v>46078</v>
      </c>
      <c r="R706" s="433">
        <v>0.54166666666666663</v>
      </c>
      <c r="S706" s="434" t="s">
        <v>185</v>
      </c>
      <c r="T706" s="434" t="s">
        <v>816</v>
      </c>
      <c r="U706" s="435">
        <v>150</v>
      </c>
      <c r="V706" s="436" t="str">
        <f t="shared" si="360"/>
        <v>g</v>
      </c>
      <c r="W706" s="437">
        <f t="shared" si="361"/>
        <v>325.5</v>
      </c>
      <c r="X706" s="437">
        <f t="shared" si="362"/>
        <v>39</v>
      </c>
      <c r="Y706" s="437">
        <f t="shared" si="363"/>
        <v>18</v>
      </c>
      <c r="Z706" s="437">
        <f t="shared" si="364"/>
        <v>0</v>
      </c>
      <c r="AA706" s="437">
        <f t="shared" si="365"/>
        <v>0</v>
      </c>
      <c r="AB706" s="584">
        <f t="shared" si="366"/>
        <v>0</v>
      </c>
      <c r="AC706" s="434"/>
    </row>
    <row r="707" spans="5:29">
      <c r="E707" s="598"/>
      <c r="F707" s="699"/>
      <c r="G707" s="700"/>
      <c r="H707" s="598"/>
      <c r="I707" s="598"/>
      <c r="J707" s="598"/>
      <c r="K707" s="598"/>
      <c r="L707" s="598"/>
      <c r="Q707" s="432">
        <v>46078</v>
      </c>
      <c r="R707" s="433">
        <v>0.58333333333333337</v>
      </c>
      <c r="S707" s="434" t="s">
        <v>289</v>
      </c>
      <c r="T707" s="434" t="s">
        <v>285</v>
      </c>
      <c r="U707" s="435">
        <v>0.25</v>
      </c>
      <c r="V707" s="436" t="str">
        <f t="shared" si="360"/>
        <v>bar</v>
      </c>
      <c r="W707" s="437">
        <f t="shared" si="361"/>
        <v>60</v>
      </c>
      <c r="X707" s="437">
        <f t="shared" si="362"/>
        <v>1</v>
      </c>
      <c r="Y707" s="437">
        <f t="shared" si="363"/>
        <v>3</v>
      </c>
      <c r="Z707" s="437">
        <f t="shared" si="364"/>
        <v>7.5</v>
      </c>
      <c r="AA707" s="437">
        <f t="shared" si="365"/>
        <v>0.35</v>
      </c>
      <c r="AB707" s="584">
        <f t="shared" si="366"/>
        <v>0</v>
      </c>
      <c r="AC707" s="434"/>
    </row>
    <row r="708" spans="5:29">
      <c r="E708" s="598"/>
      <c r="F708" s="699"/>
      <c r="G708" s="700"/>
      <c r="H708" s="598"/>
      <c r="I708" s="598"/>
      <c r="J708" s="598"/>
      <c r="K708" s="598"/>
      <c r="L708" s="598"/>
      <c r="Q708" s="432">
        <v>46078</v>
      </c>
      <c r="R708" s="433">
        <v>0.58333333333333337</v>
      </c>
      <c r="S708" s="434" t="s">
        <v>289</v>
      </c>
      <c r="T708" s="434" t="s">
        <v>214</v>
      </c>
      <c r="U708" s="435">
        <v>1</v>
      </c>
      <c r="V708" s="436" t="str">
        <f t="shared" si="360"/>
        <v>bar</v>
      </c>
      <c r="W708" s="437">
        <f t="shared" si="361"/>
        <v>67</v>
      </c>
      <c r="X708" s="437">
        <f t="shared" si="362"/>
        <v>1</v>
      </c>
      <c r="Y708" s="437">
        <f t="shared" si="363"/>
        <v>3.5</v>
      </c>
      <c r="Z708" s="437">
        <f t="shared" si="364"/>
        <v>22</v>
      </c>
      <c r="AA708" s="437">
        <f t="shared" si="365"/>
        <v>0.3</v>
      </c>
      <c r="AB708" s="584">
        <f t="shared" si="366"/>
        <v>0</v>
      </c>
      <c r="AC708" s="434"/>
    </row>
    <row r="709" spans="5:29">
      <c r="E709" s="598"/>
      <c r="F709" s="699"/>
      <c r="G709" s="700"/>
      <c r="H709" s="598"/>
      <c r="I709" s="598"/>
      <c r="J709" s="598"/>
      <c r="K709" s="598"/>
      <c r="L709" s="598"/>
      <c r="Q709" s="432">
        <v>46078</v>
      </c>
      <c r="R709" s="433">
        <v>0.58333333333333337</v>
      </c>
      <c r="S709" s="434" t="s">
        <v>289</v>
      </c>
      <c r="T709" s="434" t="s">
        <v>464</v>
      </c>
      <c r="U709" s="435">
        <v>2</v>
      </c>
      <c r="V709" s="436" t="str">
        <f t="shared" si="360"/>
        <v>lozenge</v>
      </c>
      <c r="W709" s="437">
        <f t="shared" si="361"/>
        <v>20</v>
      </c>
      <c r="X709" s="437">
        <f t="shared" si="362"/>
        <v>0</v>
      </c>
      <c r="Y709" s="437">
        <f t="shared" si="363"/>
        <v>0</v>
      </c>
      <c r="Z709" s="437">
        <f t="shared" si="364"/>
        <v>6</v>
      </c>
      <c r="AA709" s="437">
        <f t="shared" si="365"/>
        <v>0</v>
      </c>
      <c r="AB709" s="584">
        <f t="shared" si="366"/>
        <v>0</v>
      </c>
      <c r="AC709" s="434"/>
    </row>
    <row r="710" spans="5:29">
      <c r="E710" s="598"/>
      <c r="F710" s="699"/>
      <c r="G710" s="700"/>
      <c r="H710" s="598"/>
      <c r="I710" s="598"/>
      <c r="J710" s="598"/>
      <c r="K710" s="598"/>
      <c r="L710" s="598"/>
      <c r="Q710" s="432">
        <v>46078</v>
      </c>
      <c r="R710" s="433">
        <v>0.70833333333333337</v>
      </c>
      <c r="S710" s="434" t="s">
        <v>289</v>
      </c>
      <c r="T710" s="434" t="s">
        <v>768</v>
      </c>
      <c r="U710" s="435">
        <v>20</v>
      </c>
      <c r="V710" s="436" t="str">
        <f t="shared" si="360"/>
        <v>pieces</v>
      </c>
      <c r="W710" s="437">
        <f t="shared" si="361"/>
        <v>200</v>
      </c>
      <c r="X710" s="437">
        <f t="shared" si="362"/>
        <v>5.7142857142857144</v>
      </c>
      <c r="Y710" s="437">
        <f t="shared" si="363"/>
        <v>0</v>
      </c>
      <c r="Z710" s="437">
        <f t="shared" si="364"/>
        <v>45.714285714285715</v>
      </c>
      <c r="AA710" s="437">
        <f t="shared" si="365"/>
        <v>0</v>
      </c>
      <c r="AB710" s="584">
        <f t="shared" si="366"/>
        <v>0</v>
      </c>
      <c r="AC710" s="434"/>
    </row>
    <row r="711" spans="5:29">
      <c r="E711" s="598"/>
      <c r="F711" s="699"/>
      <c r="G711" s="700"/>
      <c r="H711" s="598"/>
      <c r="I711" s="598"/>
      <c r="J711" s="598"/>
      <c r="K711" s="598"/>
      <c r="L711" s="598"/>
      <c r="Q711" s="432">
        <v>46078</v>
      </c>
      <c r="R711" s="433">
        <v>0.83333333333333337</v>
      </c>
      <c r="S711" s="434" t="s">
        <v>199</v>
      </c>
      <c r="T711" s="434" t="s">
        <v>753</v>
      </c>
      <c r="U711" s="435">
        <v>232</v>
      </c>
      <c r="V711" s="436" t="str">
        <f t="shared" si="360"/>
        <v>g</v>
      </c>
      <c r="W711" s="437">
        <f t="shared" si="361"/>
        <v>301.59999999999997</v>
      </c>
      <c r="X711" s="437">
        <f t="shared" si="362"/>
        <v>2.3199999999999998</v>
      </c>
      <c r="Y711" s="437">
        <f t="shared" si="363"/>
        <v>0</v>
      </c>
      <c r="Z711" s="437">
        <f t="shared" si="364"/>
        <v>71.92</v>
      </c>
      <c r="AA711" s="437">
        <f t="shared" si="365"/>
        <v>6.9599999999999991</v>
      </c>
      <c r="AB711" s="584">
        <f t="shared" si="366"/>
        <v>0</v>
      </c>
      <c r="AC711" s="434"/>
    </row>
    <row r="712" spans="5:29">
      <c r="E712" s="598"/>
      <c r="F712" s="699"/>
      <c r="G712" s="700"/>
      <c r="H712" s="598"/>
      <c r="I712" s="598"/>
      <c r="J712" s="598"/>
      <c r="K712" s="598"/>
      <c r="L712" s="598"/>
      <c r="Q712" s="432">
        <v>46078</v>
      </c>
      <c r="R712" s="433">
        <v>0.83333333333333337</v>
      </c>
      <c r="S712" s="434" t="s">
        <v>199</v>
      </c>
      <c r="T712" s="434" t="s">
        <v>176</v>
      </c>
      <c r="U712" s="435">
        <v>442</v>
      </c>
      <c r="V712" s="436" t="str">
        <f t="shared" si="360"/>
        <v>g</v>
      </c>
      <c r="W712" s="437">
        <f t="shared" si="361"/>
        <v>729.3</v>
      </c>
      <c r="X712" s="437">
        <f t="shared" si="362"/>
        <v>110.5</v>
      </c>
      <c r="Y712" s="437">
        <f t="shared" si="363"/>
        <v>15.912000000000001</v>
      </c>
      <c r="Z712" s="437">
        <f t="shared" si="364"/>
        <v>0</v>
      </c>
      <c r="AA712" s="437">
        <f t="shared" si="365"/>
        <v>0</v>
      </c>
      <c r="AB712" s="584">
        <f t="shared" si="366"/>
        <v>0</v>
      </c>
      <c r="AC712" s="434"/>
    </row>
    <row r="713" spans="5:29">
      <c r="E713" s="598"/>
      <c r="F713" s="699"/>
      <c r="G713" s="700"/>
      <c r="H713" s="598"/>
      <c r="I713" s="598"/>
      <c r="J713" s="598"/>
      <c r="K713" s="598"/>
      <c r="L713" s="598"/>
      <c r="Q713" s="432">
        <v>46078</v>
      </c>
      <c r="R713" s="433">
        <v>0.875</v>
      </c>
      <c r="S713" s="434" t="s">
        <v>289</v>
      </c>
      <c r="T713" s="434" t="s">
        <v>757</v>
      </c>
      <c r="U713" s="435">
        <v>1</v>
      </c>
      <c r="V713" s="436" t="str">
        <f t="shared" si="360"/>
        <v>can</v>
      </c>
      <c r="W713" s="437">
        <f t="shared" si="361"/>
        <v>0</v>
      </c>
      <c r="X713" s="437">
        <f t="shared" si="362"/>
        <v>0</v>
      </c>
      <c r="Y713" s="437">
        <f t="shared" si="363"/>
        <v>0</v>
      </c>
      <c r="Z713" s="437">
        <f t="shared" si="364"/>
        <v>1</v>
      </c>
      <c r="AA713" s="437">
        <f t="shared" si="365"/>
        <v>0</v>
      </c>
      <c r="AB713" s="584">
        <f t="shared" si="366"/>
        <v>0</v>
      </c>
      <c r="AC713" s="434"/>
    </row>
    <row r="714" spans="5:29">
      <c r="E714" s="598"/>
      <c r="F714" s="699"/>
      <c r="G714" s="700"/>
      <c r="H714" s="598"/>
      <c r="I714" s="598"/>
      <c r="J714" s="598"/>
      <c r="K714" s="598"/>
      <c r="L714" s="598"/>
      <c r="Q714" s="432">
        <v>46078</v>
      </c>
      <c r="R714" s="433">
        <v>0.875</v>
      </c>
      <c r="S714" s="434" t="s">
        <v>289</v>
      </c>
      <c r="T714" s="434" t="s">
        <v>219</v>
      </c>
      <c r="U714" s="435">
        <v>1</v>
      </c>
      <c r="V714" s="436" t="str">
        <f t="shared" si="360"/>
        <v>bottle</v>
      </c>
      <c r="W714" s="437">
        <f t="shared" si="361"/>
        <v>0</v>
      </c>
      <c r="X714" s="437">
        <f t="shared" si="362"/>
        <v>0</v>
      </c>
      <c r="Y714" s="437">
        <f t="shared" si="363"/>
        <v>0</v>
      </c>
      <c r="Z714" s="437">
        <f t="shared" si="364"/>
        <v>0</v>
      </c>
      <c r="AA714" s="437">
        <f t="shared" si="365"/>
        <v>0</v>
      </c>
      <c r="AB714" s="584">
        <f t="shared" si="366"/>
        <v>0</v>
      </c>
      <c r="AC714" s="434"/>
    </row>
    <row r="715" spans="5:29">
      <c r="E715" s="598"/>
      <c r="F715" s="699"/>
      <c r="G715" s="700"/>
      <c r="H715" s="598"/>
      <c r="I715" s="598"/>
      <c r="J715" s="598"/>
      <c r="K715" s="598"/>
      <c r="L715" s="598"/>
      <c r="Q715" s="432">
        <v>46078</v>
      </c>
      <c r="R715" s="433">
        <v>0.91666666666666696</v>
      </c>
      <c r="S715" s="434" t="s">
        <v>289</v>
      </c>
      <c r="T715" s="434" t="s">
        <v>190</v>
      </c>
      <c r="U715" s="435">
        <v>2</v>
      </c>
      <c r="V715" s="436" t="str">
        <f t="shared" si="360"/>
        <v>medium</v>
      </c>
      <c r="W715" s="437">
        <f t="shared" si="361"/>
        <v>124</v>
      </c>
      <c r="X715" s="437">
        <f t="shared" si="362"/>
        <v>2.4</v>
      </c>
      <c r="Y715" s="437">
        <f t="shared" si="363"/>
        <v>0.4</v>
      </c>
      <c r="Z715" s="437">
        <f t="shared" si="364"/>
        <v>30.8</v>
      </c>
      <c r="AA715" s="437">
        <f t="shared" si="365"/>
        <v>6.2</v>
      </c>
      <c r="AB715" s="584">
        <f t="shared" si="366"/>
        <v>0</v>
      </c>
      <c r="AC715" s="434"/>
    </row>
    <row r="716" spans="5:29">
      <c r="E716" s="598"/>
      <c r="F716" s="699"/>
      <c r="G716" s="700"/>
      <c r="H716" s="598"/>
      <c r="I716" s="598"/>
      <c r="J716" s="598"/>
      <c r="K716" s="598"/>
      <c r="L716" s="598"/>
      <c r="Q716" s="432">
        <v>46078</v>
      </c>
      <c r="R716" s="433">
        <v>0.875</v>
      </c>
      <c r="S716" s="434" t="s">
        <v>199</v>
      </c>
      <c r="T716" s="434" t="s">
        <v>209</v>
      </c>
      <c r="U716" s="435">
        <v>3</v>
      </c>
      <c r="V716" s="436" t="str">
        <f t="shared" si="360"/>
        <v>tbsp</v>
      </c>
      <c r="W716" s="437">
        <f t="shared" si="361"/>
        <v>60</v>
      </c>
      <c r="X716" s="437">
        <f t="shared" si="362"/>
        <v>0</v>
      </c>
      <c r="Y716" s="437">
        <f t="shared" si="363"/>
        <v>0</v>
      </c>
      <c r="Z716" s="437">
        <f t="shared" si="364"/>
        <v>15</v>
      </c>
      <c r="AA716" s="437">
        <f t="shared" si="365"/>
        <v>13.5</v>
      </c>
      <c r="AB716" s="584">
        <f t="shared" si="366"/>
        <v>0</v>
      </c>
      <c r="AC716" s="434"/>
    </row>
    <row r="717" spans="5:29">
      <c r="E717" s="598"/>
      <c r="F717" s="699"/>
      <c r="G717" s="700"/>
      <c r="H717" s="598"/>
      <c r="I717" s="598"/>
      <c r="J717" s="598"/>
      <c r="K717" s="598"/>
      <c r="L717" s="598"/>
      <c r="Q717" s="432">
        <v>46078</v>
      </c>
      <c r="R717" s="433">
        <v>0.875</v>
      </c>
      <c r="S717" s="434" t="s">
        <v>199</v>
      </c>
      <c r="T717" s="434" t="s">
        <v>212</v>
      </c>
      <c r="U717" s="435">
        <v>1</v>
      </c>
      <c r="V717" s="436" t="str">
        <f t="shared" si="360"/>
        <v>bottle</v>
      </c>
      <c r="W717" s="437">
        <f t="shared" si="361"/>
        <v>70</v>
      </c>
      <c r="X717" s="437">
        <f t="shared" si="362"/>
        <v>0</v>
      </c>
      <c r="Y717" s="437">
        <f t="shared" si="363"/>
        <v>0</v>
      </c>
      <c r="Z717" s="437">
        <f t="shared" si="364"/>
        <v>17</v>
      </c>
      <c r="AA717" s="437">
        <f t="shared" si="365"/>
        <v>1</v>
      </c>
      <c r="AB717" s="684">
        <f t="shared" si="366"/>
        <v>0</v>
      </c>
      <c r="AC717" s="434"/>
    </row>
    <row r="718" spans="5:29">
      <c r="E718" s="598"/>
      <c r="F718" s="699"/>
      <c r="G718" s="700"/>
      <c r="H718" s="598"/>
      <c r="I718" s="598"/>
      <c r="J718" s="598"/>
      <c r="K718" s="598"/>
      <c r="L718" s="598"/>
      <c r="Q718" s="438"/>
      <c r="R718" s="439" t="s">
        <v>217</v>
      </c>
      <c r="S718" s="440"/>
      <c r="T718" s="441"/>
      <c r="U718" s="441"/>
      <c r="V718" s="442"/>
      <c r="W718" s="443">
        <f t="shared" ref="W718:AB718" si="367">SUM(W698:W717)</f>
        <v>2825.1023809523808</v>
      </c>
      <c r="X718" s="443">
        <f t="shared" si="367"/>
        <v>188.77238095238093</v>
      </c>
      <c r="Y718" s="443">
        <f t="shared" si="367"/>
        <v>49.807238095238091</v>
      </c>
      <c r="Z718" s="443">
        <f t="shared" si="367"/>
        <v>386.49857142857144</v>
      </c>
      <c r="AA718" s="685">
        <f t="shared" si="367"/>
        <v>36.09809523809524</v>
      </c>
      <c r="AB718" s="691">
        <f t="shared" si="367"/>
        <v>0</v>
      </c>
      <c r="AC718" s="439"/>
    </row>
    <row r="719" spans="5:29">
      <c r="E719" s="598"/>
      <c r="F719" s="699"/>
      <c r="G719" s="700"/>
      <c r="H719" s="598"/>
      <c r="I719" s="598"/>
      <c r="J719" s="598"/>
      <c r="K719" s="598"/>
      <c r="L719" s="598"/>
      <c r="Q719" s="438"/>
      <c r="R719" s="439" t="s">
        <v>220</v>
      </c>
      <c r="S719" s="440"/>
      <c r="T719" s="441"/>
      <c r="U719" s="441"/>
      <c r="V719" s="442"/>
      <c r="W719" s="444">
        <f>$B$27</f>
        <v>2834.5625</v>
      </c>
      <c r="X719" s="444">
        <f>$B$29</f>
        <v>154</v>
      </c>
      <c r="Y719" s="444">
        <f>$B$30</f>
        <v>63.91</v>
      </c>
      <c r="Z719" s="444">
        <f>$B$31</f>
        <v>410.84312499999999</v>
      </c>
      <c r="AA719" s="692">
        <f>$B$32</f>
        <v>39.683875</v>
      </c>
      <c r="AB719" s="695">
        <f>$B$39</f>
        <v>500</v>
      </c>
      <c r="AC719" s="439"/>
    </row>
    <row r="720" spans="5:29">
      <c r="E720" s="598"/>
      <c r="F720" s="699"/>
      <c r="G720" s="700"/>
      <c r="H720" s="598"/>
      <c r="I720" s="598"/>
      <c r="J720" s="598"/>
      <c r="K720" s="598"/>
      <c r="L720" s="598"/>
      <c r="Q720" s="438"/>
      <c r="R720" s="439" t="s">
        <v>222</v>
      </c>
      <c r="S720" s="440"/>
      <c r="T720" s="441"/>
      <c r="U720" s="441"/>
      <c r="V720" s="442"/>
      <c r="W720" s="284">
        <f t="shared" ref="W720:AB720" si="368">W718-W719</f>
        <v>-9.4601190476191732</v>
      </c>
      <c r="X720" s="284">
        <f t="shared" si="368"/>
        <v>34.772380952380928</v>
      </c>
      <c r="Y720" s="284">
        <f t="shared" si="368"/>
        <v>-14.102761904761905</v>
      </c>
      <c r="Z720" s="284">
        <f t="shared" si="368"/>
        <v>-24.344553571428548</v>
      </c>
      <c r="AA720" s="690">
        <f t="shared" si="368"/>
        <v>-3.5857797619047602</v>
      </c>
      <c r="AB720" s="689">
        <f t="shared" si="368"/>
        <v>-500</v>
      </c>
      <c r="AC720" s="439"/>
    </row>
    <row r="721" spans="5:29">
      <c r="E721" s="598"/>
      <c r="F721" s="699"/>
      <c r="G721" s="700"/>
      <c r="H721" s="598"/>
      <c r="I721" s="598"/>
      <c r="J721" s="598"/>
      <c r="K721" s="598"/>
      <c r="L721" s="598"/>
      <c r="Q721" s="432">
        <v>46079</v>
      </c>
      <c r="R721" s="433">
        <v>0.33333333333333331</v>
      </c>
      <c r="S721" s="434" t="s">
        <v>289</v>
      </c>
      <c r="T721" s="434" t="s">
        <v>483</v>
      </c>
      <c r="U721" s="435">
        <f>3/4</f>
        <v>0.75</v>
      </c>
      <c r="V721" s="436" t="str">
        <f t="shared" ref="V721:V734" si="369">IFERROR(VLOOKUP(T721, $E$5:$L$818, 3, FALSE), "")</f>
        <v>piece</v>
      </c>
      <c r="W721" s="437">
        <f t="shared" ref="W721:W734" si="370">IFERROR(VLOOKUP(T721, $E$5:$L$818, 4, FALSE) * (U721 / VLOOKUP(T721, $E$5:$L$818, 2, FALSE)), "")</f>
        <v>150</v>
      </c>
      <c r="X721" s="437">
        <f t="shared" ref="X721:X734" si="371">IFERROR(VLOOKUP(T721, $E$5:$L$818, 5, FALSE) * (U721 / VLOOKUP(T721, $E$5:$L$818, 2, FALSE)), "")</f>
        <v>2.25</v>
      </c>
      <c r="Y721" s="437">
        <f t="shared" ref="Y721:Y734" si="372">IFERROR(VLOOKUP(T721, $E$5:$L$818, 6, FALSE) * (U721 / VLOOKUP(T721, $E$5:$L$818, 2, FALSE)), "")</f>
        <v>3.75</v>
      </c>
      <c r="Z721" s="437">
        <f t="shared" ref="Z721:Z734" si="373">IFERROR(VLOOKUP(T721, $E$5:$L$818, 7, FALSE) * (U721 / VLOOKUP(T721, $E$5:$L$818, 2, FALSE)), "")</f>
        <v>28.5</v>
      </c>
      <c r="AA721" s="437">
        <f t="shared" ref="AA721:AA734" si="374">IFERROR(VLOOKUP(T721, $E$5:$L$818, 8, FALSE) * (U721 / VLOOKUP(T721, $E$5:$L$818, 2, FALSE)), "")</f>
        <v>0.75</v>
      </c>
      <c r="AB721" s="674">
        <f t="shared" ref="AB721:AB734" si="375">IFERROR(VLOOKUP(T721, $E$5:$O$818, 9, FALSE) * (U721 / VLOOKUP(T721, $E$5:$O$818, 2, FALSE)), "")</f>
        <v>0</v>
      </c>
      <c r="AC721" s="434"/>
    </row>
    <row r="722" spans="5:29">
      <c r="E722" s="598"/>
      <c r="F722" s="699"/>
      <c r="G722" s="700"/>
      <c r="H722" s="598"/>
      <c r="I722" s="598"/>
      <c r="J722" s="598"/>
      <c r="K722" s="598"/>
      <c r="L722" s="598"/>
      <c r="Q722" s="432">
        <v>46079</v>
      </c>
      <c r="R722" s="433">
        <v>0.33333333333333331</v>
      </c>
      <c r="S722" s="434" t="s">
        <v>178</v>
      </c>
      <c r="T722" s="434" t="s">
        <v>295</v>
      </c>
      <c r="U722" s="435">
        <v>1</v>
      </c>
      <c r="V722" s="436" t="str">
        <f t="shared" si="369"/>
        <v>bottle</v>
      </c>
      <c r="W722" s="437">
        <f t="shared" si="370"/>
        <v>200</v>
      </c>
      <c r="X722" s="437">
        <f t="shared" si="371"/>
        <v>35</v>
      </c>
      <c r="Y722" s="437">
        <f t="shared" si="372"/>
        <v>2.5</v>
      </c>
      <c r="Z722" s="437">
        <f t="shared" si="373"/>
        <v>9</v>
      </c>
      <c r="AA722" s="437">
        <f t="shared" si="374"/>
        <v>0</v>
      </c>
      <c r="AB722" s="584">
        <f t="shared" si="375"/>
        <v>0</v>
      </c>
      <c r="AC722" s="434"/>
    </row>
    <row r="723" spans="5:29">
      <c r="E723" s="598"/>
      <c r="F723" s="699"/>
      <c r="G723" s="700"/>
      <c r="H723" s="598"/>
      <c r="I723" s="598"/>
      <c r="J723" s="598"/>
      <c r="K723" s="598"/>
      <c r="L723" s="598"/>
      <c r="Q723" s="432">
        <v>46079</v>
      </c>
      <c r="R723" s="433">
        <v>0.33333333333333331</v>
      </c>
      <c r="S723" s="434" t="s">
        <v>178</v>
      </c>
      <c r="T723" s="434" t="s">
        <v>181</v>
      </c>
      <c r="U723" s="435">
        <v>2</v>
      </c>
      <c r="V723" s="436" t="str">
        <f t="shared" si="369"/>
        <v>slice</v>
      </c>
      <c r="W723" s="437">
        <f t="shared" si="370"/>
        <v>140</v>
      </c>
      <c r="X723" s="437">
        <f t="shared" si="371"/>
        <v>5</v>
      </c>
      <c r="Y723" s="437">
        <f t="shared" si="372"/>
        <v>2.5</v>
      </c>
      <c r="Z723" s="437">
        <f t="shared" si="373"/>
        <v>24</v>
      </c>
      <c r="AA723" s="437">
        <f t="shared" si="374"/>
        <v>2</v>
      </c>
      <c r="AB723" s="584">
        <f t="shared" si="375"/>
        <v>0</v>
      </c>
      <c r="AC723" s="434"/>
    </row>
    <row r="724" spans="5:29">
      <c r="E724" s="598"/>
      <c r="F724" s="699"/>
      <c r="G724" s="700"/>
      <c r="H724" s="598"/>
      <c r="I724" s="598"/>
      <c r="J724" s="598"/>
      <c r="K724" s="598"/>
      <c r="L724" s="598"/>
      <c r="Q724" s="432">
        <v>46079</v>
      </c>
      <c r="R724" s="433">
        <v>0.33333333333333331</v>
      </c>
      <c r="S724" s="434" t="s">
        <v>178</v>
      </c>
      <c r="T724" s="434" t="s">
        <v>769</v>
      </c>
      <c r="U724" s="435">
        <v>1</v>
      </c>
      <c r="V724" s="436" t="str">
        <f t="shared" si="369"/>
        <v>bun</v>
      </c>
      <c r="W724" s="437">
        <f t="shared" si="370"/>
        <v>250</v>
      </c>
      <c r="X724" s="437">
        <f t="shared" si="371"/>
        <v>8</v>
      </c>
      <c r="Y724" s="437">
        <f t="shared" si="372"/>
        <v>6</v>
      </c>
      <c r="Z724" s="437">
        <f t="shared" si="373"/>
        <v>42</v>
      </c>
      <c r="AA724" s="437">
        <f t="shared" si="374"/>
        <v>1</v>
      </c>
      <c r="AB724" s="584">
        <f t="shared" si="375"/>
        <v>0</v>
      </c>
      <c r="AC724" s="434"/>
    </row>
    <row r="725" spans="5:29">
      <c r="E725" s="598"/>
      <c r="F725" s="699"/>
      <c r="G725" s="700"/>
      <c r="H725" s="598"/>
      <c r="I725" s="598"/>
      <c r="J725" s="598"/>
      <c r="K725" s="598"/>
      <c r="L725" s="598"/>
      <c r="Q725" s="432">
        <v>46079</v>
      </c>
      <c r="R725" s="433">
        <v>0.41666666666666669</v>
      </c>
      <c r="S725" s="434" t="s">
        <v>289</v>
      </c>
      <c r="T725" s="434" t="s">
        <v>464</v>
      </c>
      <c r="U725" s="435">
        <v>1</v>
      </c>
      <c r="V725" s="436" t="str">
        <f t="shared" si="369"/>
        <v>lozenge</v>
      </c>
      <c r="W725" s="437">
        <f t="shared" si="370"/>
        <v>10</v>
      </c>
      <c r="X725" s="437">
        <f t="shared" si="371"/>
        <v>0</v>
      </c>
      <c r="Y725" s="437">
        <f t="shared" si="372"/>
        <v>0</v>
      </c>
      <c r="Z725" s="437">
        <f t="shared" si="373"/>
        <v>3</v>
      </c>
      <c r="AA725" s="437">
        <f t="shared" si="374"/>
        <v>0</v>
      </c>
      <c r="AB725" s="584">
        <f t="shared" si="375"/>
        <v>0</v>
      </c>
      <c r="AC725" s="434"/>
    </row>
    <row r="726" spans="5:29">
      <c r="E726" s="598"/>
      <c r="F726" s="699"/>
      <c r="G726" s="700"/>
      <c r="H726" s="598"/>
      <c r="I726" s="598"/>
      <c r="J726" s="598"/>
      <c r="K726" s="598"/>
      <c r="L726" s="598"/>
      <c r="Q726" s="432">
        <v>46079</v>
      </c>
      <c r="R726" s="433">
        <v>0.54166666666666663</v>
      </c>
      <c r="S726" s="434" t="s">
        <v>185</v>
      </c>
      <c r="T726" s="434" t="s">
        <v>247</v>
      </c>
      <c r="U726" s="435">
        <v>2</v>
      </c>
      <c r="V726" s="436" t="str">
        <f t="shared" si="369"/>
        <v>large bowl</v>
      </c>
      <c r="W726" s="437">
        <f t="shared" si="370"/>
        <v>800</v>
      </c>
      <c r="X726" s="437">
        <f t="shared" si="371"/>
        <v>40</v>
      </c>
      <c r="Y726" s="437">
        <f t="shared" si="372"/>
        <v>20</v>
      </c>
      <c r="Z726" s="437">
        <f t="shared" si="373"/>
        <v>110</v>
      </c>
      <c r="AA726" s="437">
        <f t="shared" si="374"/>
        <v>6</v>
      </c>
      <c r="AB726" s="584">
        <f t="shared" si="375"/>
        <v>0</v>
      </c>
      <c r="AC726" s="434"/>
    </row>
    <row r="727" spans="5:29">
      <c r="E727" s="598"/>
      <c r="F727" s="699"/>
      <c r="G727" s="700"/>
      <c r="H727" s="598"/>
      <c r="I727" s="598"/>
      <c r="J727" s="598"/>
      <c r="K727" s="598"/>
      <c r="L727" s="598"/>
      <c r="Q727" s="432">
        <v>46079</v>
      </c>
      <c r="R727" s="433">
        <v>0.54166666666666663</v>
      </c>
      <c r="S727" s="434" t="s">
        <v>185</v>
      </c>
      <c r="T727" s="434" t="s">
        <v>772</v>
      </c>
      <c r="U727" s="435">
        <v>1</v>
      </c>
      <c r="V727" s="436" t="str">
        <f t="shared" si="369"/>
        <v>cup</v>
      </c>
      <c r="W727" s="437">
        <f t="shared" si="370"/>
        <v>420</v>
      </c>
      <c r="X727" s="437">
        <f t="shared" si="371"/>
        <v>4</v>
      </c>
      <c r="Y727" s="437">
        <f t="shared" si="372"/>
        <v>12</v>
      </c>
      <c r="Z727" s="437">
        <f t="shared" si="373"/>
        <v>74</v>
      </c>
      <c r="AA727" s="437">
        <f t="shared" si="374"/>
        <v>2</v>
      </c>
      <c r="AB727" s="584">
        <f t="shared" si="375"/>
        <v>0</v>
      </c>
      <c r="AC727" s="434"/>
    </row>
    <row r="728" spans="5:29">
      <c r="E728" s="598"/>
      <c r="F728" s="699"/>
      <c r="G728" s="700"/>
      <c r="H728" s="598"/>
      <c r="I728" s="598"/>
      <c r="J728" s="598"/>
      <c r="K728" s="598"/>
      <c r="L728" s="598"/>
      <c r="Q728" s="432">
        <v>46079</v>
      </c>
      <c r="R728" s="433">
        <v>0.83333333333333337</v>
      </c>
      <c r="S728" s="434" t="s">
        <v>199</v>
      </c>
      <c r="T728" s="434" t="s">
        <v>176</v>
      </c>
      <c r="U728" s="435">
        <v>300</v>
      </c>
      <c r="V728" s="436" t="str">
        <f t="shared" si="369"/>
        <v>g</v>
      </c>
      <c r="W728" s="437">
        <f t="shared" si="370"/>
        <v>495</v>
      </c>
      <c r="X728" s="437">
        <f t="shared" si="371"/>
        <v>75</v>
      </c>
      <c r="Y728" s="437">
        <f t="shared" si="372"/>
        <v>10.8</v>
      </c>
      <c r="Z728" s="437">
        <f t="shared" si="373"/>
        <v>0</v>
      </c>
      <c r="AA728" s="437">
        <f t="shared" si="374"/>
        <v>0</v>
      </c>
      <c r="AB728" s="584">
        <f t="shared" si="375"/>
        <v>0</v>
      </c>
      <c r="AC728" s="434"/>
    </row>
    <row r="729" spans="5:29">
      <c r="E729" s="598"/>
      <c r="F729" s="699"/>
      <c r="G729" s="700"/>
      <c r="H729" s="598"/>
      <c r="I729" s="598"/>
      <c r="J729" s="598"/>
      <c r="K729" s="598"/>
      <c r="L729" s="598"/>
      <c r="Q729" s="432">
        <v>46079</v>
      </c>
      <c r="R729" s="433">
        <v>0.83333333333333337</v>
      </c>
      <c r="S729" s="434" t="s">
        <v>199</v>
      </c>
      <c r="T729" s="434" t="s">
        <v>181</v>
      </c>
      <c r="U729" s="435">
        <v>4</v>
      </c>
      <c r="V729" s="436" t="str">
        <f t="shared" si="369"/>
        <v>slice</v>
      </c>
      <c r="W729" s="437">
        <f t="shared" si="370"/>
        <v>280</v>
      </c>
      <c r="X729" s="437">
        <f t="shared" si="371"/>
        <v>10</v>
      </c>
      <c r="Y729" s="437">
        <f t="shared" si="372"/>
        <v>5</v>
      </c>
      <c r="Z729" s="437">
        <f t="shared" si="373"/>
        <v>48</v>
      </c>
      <c r="AA729" s="437">
        <f t="shared" si="374"/>
        <v>4</v>
      </c>
      <c r="AB729" s="584">
        <f t="shared" si="375"/>
        <v>0</v>
      </c>
      <c r="AC729" s="434"/>
    </row>
    <row r="730" spans="5:29">
      <c r="E730" s="598"/>
      <c r="F730" s="699"/>
      <c r="G730" s="700"/>
      <c r="H730" s="598"/>
      <c r="I730" s="598"/>
      <c r="J730" s="598"/>
      <c r="K730" s="598"/>
      <c r="L730" s="598"/>
      <c r="Q730" s="432">
        <v>46079</v>
      </c>
      <c r="R730" s="433">
        <v>0.83333333333333337</v>
      </c>
      <c r="S730" s="434" t="s">
        <v>199</v>
      </c>
      <c r="T730" s="434" t="s">
        <v>753</v>
      </c>
      <c r="U730" s="435">
        <v>111</v>
      </c>
      <c r="V730" s="436" t="str">
        <f t="shared" si="369"/>
        <v>g</v>
      </c>
      <c r="W730" s="437">
        <f t="shared" si="370"/>
        <v>144.30000000000001</v>
      </c>
      <c r="X730" s="437">
        <f t="shared" si="371"/>
        <v>1.1100000000000001</v>
      </c>
      <c r="Y730" s="437">
        <f t="shared" si="372"/>
        <v>0</v>
      </c>
      <c r="Z730" s="437">
        <f t="shared" si="373"/>
        <v>34.410000000000004</v>
      </c>
      <c r="AA730" s="437">
        <f t="shared" si="374"/>
        <v>3.33</v>
      </c>
      <c r="AB730" s="584">
        <f t="shared" si="375"/>
        <v>0</v>
      </c>
      <c r="AC730" s="434"/>
    </row>
    <row r="731" spans="5:29">
      <c r="E731" s="598"/>
      <c r="F731" s="699"/>
      <c r="G731" s="700"/>
      <c r="H731" s="598"/>
      <c r="I731" s="598"/>
      <c r="J731" s="598"/>
      <c r="K731" s="598"/>
      <c r="L731" s="598"/>
      <c r="Q731" s="432">
        <v>46079</v>
      </c>
      <c r="R731" s="433">
        <v>0.83333333333333337</v>
      </c>
      <c r="S731" s="434" t="s">
        <v>199</v>
      </c>
      <c r="T731" s="434" t="s">
        <v>209</v>
      </c>
      <c r="U731" s="435">
        <v>3</v>
      </c>
      <c r="V731" s="436" t="str">
        <f t="shared" si="369"/>
        <v>tbsp</v>
      </c>
      <c r="W731" s="437">
        <f t="shared" si="370"/>
        <v>60</v>
      </c>
      <c r="X731" s="437">
        <f t="shared" si="371"/>
        <v>0</v>
      </c>
      <c r="Y731" s="437">
        <f t="shared" si="372"/>
        <v>0</v>
      </c>
      <c r="Z731" s="437">
        <f t="shared" si="373"/>
        <v>15</v>
      </c>
      <c r="AA731" s="437">
        <f t="shared" si="374"/>
        <v>13.5</v>
      </c>
      <c r="AB731" s="584">
        <f t="shared" si="375"/>
        <v>0</v>
      </c>
      <c r="AC731" s="434"/>
    </row>
    <row r="732" spans="5:29">
      <c r="E732" s="598"/>
      <c r="F732" s="699"/>
      <c r="G732" s="700"/>
      <c r="H732" s="598"/>
      <c r="I732" s="598"/>
      <c r="J732" s="598"/>
      <c r="K732" s="598"/>
      <c r="L732" s="598"/>
      <c r="Q732" s="432">
        <v>46079</v>
      </c>
      <c r="R732" s="433">
        <v>0.83333333333333337</v>
      </c>
      <c r="S732" s="434" t="s">
        <v>199</v>
      </c>
      <c r="T732" s="434" t="s">
        <v>212</v>
      </c>
      <c r="U732" s="435">
        <v>1</v>
      </c>
      <c r="V732" s="436" t="str">
        <f t="shared" si="369"/>
        <v>bottle</v>
      </c>
      <c r="W732" s="437">
        <f t="shared" si="370"/>
        <v>70</v>
      </c>
      <c r="X732" s="437">
        <f t="shared" si="371"/>
        <v>0</v>
      </c>
      <c r="Y732" s="437">
        <f t="shared" si="372"/>
        <v>0</v>
      </c>
      <c r="Z732" s="437">
        <f t="shared" si="373"/>
        <v>17</v>
      </c>
      <c r="AA732" s="437">
        <f t="shared" si="374"/>
        <v>1</v>
      </c>
      <c r="AB732" s="584">
        <f t="shared" si="375"/>
        <v>0</v>
      </c>
      <c r="AC732" s="434"/>
    </row>
    <row r="733" spans="5:29">
      <c r="E733" s="598"/>
      <c r="F733" s="699"/>
      <c r="G733" s="700"/>
      <c r="H733" s="598"/>
      <c r="I733" s="598"/>
      <c r="J733" s="598"/>
      <c r="K733" s="598"/>
      <c r="L733" s="598"/>
      <c r="Q733" s="432">
        <v>46079</v>
      </c>
      <c r="R733" s="433">
        <v>0.83333333333333337</v>
      </c>
      <c r="S733" s="434" t="s">
        <v>199</v>
      </c>
      <c r="T733" s="434" t="s">
        <v>219</v>
      </c>
      <c r="U733" s="435">
        <v>1</v>
      </c>
      <c r="V733" s="436" t="str">
        <f t="shared" si="369"/>
        <v>bottle</v>
      </c>
      <c r="W733" s="437">
        <f t="shared" si="370"/>
        <v>0</v>
      </c>
      <c r="X733" s="437">
        <f t="shared" si="371"/>
        <v>0</v>
      </c>
      <c r="Y733" s="437">
        <f t="shared" si="372"/>
        <v>0</v>
      </c>
      <c r="Z733" s="437">
        <f t="shared" si="373"/>
        <v>0</v>
      </c>
      <c r="AA733" s="437">
        <f t="shared" si="374"/>
        <v>0</v>
      </c>
      <c r="AB733" s="584">
        <f t="shared" si="375"/>
        <v>0</v>
      </c>
      <c r="AC733" s="434"/>
    </row>
    <row r="734" spans="5:29">
      <c r="E734" s="598"/>
      <c r="F734" s="699"/>
      <c r="G734" s="700"/>
      <c r="H734" s="598"/>
      <c r="I734" s="598"/>
      <c r="J734" s="598"/>
      <c r="K734" s="598"/>
      <c r="L734" s="598"/>
      <c r="Q734" s="432">
        <v>46079</v>
      </c>
      <c r="R734" s="433">
        <v>0.91666666666666663</v>
      </c>
      <c r="S734" s="434" t="s">
        <v>199</v>
      </c>
      <c r="T734" s="434" t="s">
        <v>190</v>
      </c>
      <c r="U734" s="435">
        <v>4</v>
      </c>
      <c r="V734" s="436" t="str">
        <f t="shared" si="369"/>
        <v>medium</v>
      </c>
      <c r="W734" s="437">
        <f t="shared" si="370"/>
        <v>248</v>
      </c>
      <c r="X734" s="437">
        <f t="shared" si="371"/>
        <v>4.8</v>
      </c>
      <c r="Y734" s="437">
        <f t="shared" si="372"/>
        <v>0.8</v>
      </c>
      <c r="Z734" s="437">
        <f t="shared" si="373"/>
        <v>61.6</v>
      </c>
      <c r="AA734" s="437">
        <f t="shared" si="374"/>
        <v>12.4</v>
      </c>
      <c r="AB734" s="684">
        <f t="shared" si="375"/>
        <v>0</v>
      </c>
      <c r="AC734" s="434"/>
    </row>
    <row r="735" spans="5:29">
      <c r="E735" s="598"/>
      <c r="F735" s="699"/>
      <c r="G735" s="700"/>
      <c r="H735" s="598"/>
      <c r="I735" s="598"/>
      <c r="J735" s="598"/>
      <c r="K735" s="598"/>
      <c r="L735" s="598"/>
      <c r="Q735" s="438"/>
      <c r="R735" s="439" t="s">
        <v>217</v>
      </c>
      <c r="S735" s="440"/>
      <c r="T735" s="441"/>
      <c r="U735" s="441"/>
      <c r="V735" s="442"/>
      <c r="W735" s="443">
        <f t="shared" ref="W735:AB735" si="376">SUM(W721:W734)</f>
        <v>3267.3</v>
      </c>
      <c r="X735" s="443">
        <f t="shared" si="376"/>
        <v>185.16000000000003</v>
      </c>
      <c r="Y735" s="443">
        <f t="shared" si="376"/>
        <v>63.349999999999994</v>
      </c>
      <c r="Z735" s="443">
        <f t="shared" si="376"/>
        <v>466.51000000000005</v>
      </c>
      <c r="AA735" s="685">
        <f t="shared" si="376"/>
        <v>45.98</v>
      </c>
      <c r="AB735" s="691">
        <f t="shared" si="376"/>
        <v>0</v>
      </c>
      <c r="AC735" s="439"/>
    </row>
    <row r="736" spans="5:29">
      <c r="E736" s="598"/>
      <c r="F736" s="699"/>
      <c r="G736" s="700"/>
      <c r="H736" s="598"/>
      <c r="I736" s="598"/>
      <c r="J736" s="598"/>
      <c r="K736" s="598"/>
      <c r="L736" s="598"/>
      <c r="Q736" s="438"/>
      <c r="R736" s="439" t="s">
        <v>220</v>
      </c>
      <c r="S736" s="440"/>
      <c r="T736" s="441"/>
      <c r="U736" s="441"/>
      <c r="V736" s="442"/>
      <c r="W736" s="444">
        <f>$B$27</f>
        <v>2834.5625</v>
      </c>
      <c r="X736" s="444">
        <f>$B$29</f>
        <v>154</v>
      </c>
      <c r="Y736" s="444">
        <f>$B$30</f>
        <v>63.91</v>
      </c>
      <c r="Z736" s="444">
        <f>$B$31</f>
        <v>410.84312499999999</v>
      </c>
      <c r="AA736" s="692">
        <f>$B$32</f>
        <v>39.683875</v>
      </c>
      <c r="AB736" s="695">
        <f>$B$39</f>
        <v>500</v>
      </c>
      <c r="AC736" s="439"/>
    </row>
    <row r="737" spans="5:29">
      <c r="E737" s="598"/>
      <c r="F737" s="699"/>
      <c r="G737" s="700"/>
      <c r="H737" s="598"/>
      <c r="I737" s="598"/>
      <c r="J737" s="598"/>
      <c r="K737" s="598"/>
      <c r="L737" s="598"/>
      <c r="Q737" s="438"/>
      <c r="R737" s="439" t="s">
        <v>222</v>
      </c>
      <c r="S737" s="440"/>
      <c r="T737" s="441"/>
      <c r="U737" s="441"/>
      <c r="V737" s="442"/>
      <c r="W737" s="284">
        <f t="shared" ref="W737:AB737" si="377">W735-W736</f>
        <v>432.73750000000018</v>
      </c>
      <c r="X737" s="284">
        <f t="shared" si="377"/>
        <v>31.160000000000025</v>
      </c>
      <c r="Y737" s="284">
        <f t="shared" si="377"/>
        <v>-0.56000000000000227</v>
      </c>
      <c r="Z737" s="284">
        <f t="shared" si="377"/>
        <v>55.666875000000061</v>
      </c>
      <c r="AA737" s="690">
        <f t="shared" si="377"/>
        <v>6.2961249999999964</v>
      </c>
      <c r="AB737" s="689">
        <f t="shared" si="377"/>
        <v>-500</v>
      </c>
      <c r="AC737" s="439"/>
    </row>
    <row r="738" spans="5:29">
      <c r="E738" s="598"/>
      <c r="F738" s="699"/>
      <c r="G738" s="700"/>
      <c r="H738" s="598"/>
      <c r="I738" s="598"/>
      <c r="J738" s="598"/>
      <c r="K738" s="598"/>
      <c r="L738" s="598"/>
      <c r="Q738" s="432">
        <v>46080</v>
      </c>
      <c r="R738" s="433">
        <v>0.33333333333333331</v>
      </c>
      <c r="S738" s="434" t="s">
        <v>178</v>
      </c>
      <c r="T738" s="434" t="s">
        <v>753</v>
      </c>
      <c r="U738" s="435">
        <v>207</v>
      </c>
      <c r="V738" s="436" t="str">
        <f t="shared" ref="V738:V751" si="378">IFERROR(VLOOKUP(T738, $E$5:$L$818, 3, FALSE), "")</f>
        <v>g</v>
      </c>
      <c r="W738" s="437">
        <f t="shared" ref="W738:W751" si="379">IFERROR(VLOOKUP(T738, $E$5:$L$818, 4, FALSE) * (U738 / VLOOKUP(T738, $E$5:$L$818, 2, FALSE)), "")</f>
        <v>269.09999999999997</v>
      </c>
      <c r="X738" s="437">
        <f t="shared" ref="X738:X751" si="380">IFERROR(VLOOKUP(T738, $E$5:$L$818, 5, FALSE) * (U738 / VLOOKUP(T738, $E$5:$L$818, 2, FALSE)), "")</f>
        <v>2.0699999999999998</v>
      </c>
      <c r="Y738" s="437">
        <f t="shared" ref="Y738:Y751" si="381">IFERROR(VLOOKUP(T738, $E$5:$L$818, 6, FALSE) * (U738 / VLOOKUP(T738, $E$5:$L$818, 2, FALSE)), "")</f>
        <v>0</v>
      </c>
      <c r="Z738" s="437">
        <f t="shared" ref="Z738:Z751" si="382">IFERROR(VLOOKUP(T738, $E$5:$L$818, 7, FALSE) * (U738 / VLOOKUP(T738, $E$5:$L$818, 2, FALSE)), "")</f>
        <v>64.17</v>
      </c>
      <c r="AA738" s="437">
        <f t="shared" ref="AA738:AA751" si="383">IFERROR(VLOOKUP(T738, $E$5:$L$818, 8, FALSE) * (U738 / VLOOKUP(T738, $E$5:$L$818, 2, FALSE)), "")</f>
        <v>6.2099999999999991</v>
      </c>
      <c r="AB738" s="674">
        <f t="shared" ref="AB738:AB751" si="384">IFERROR(VLOOKUP(T738, $E$5:$O$818, 9, FALSE) * (U738 / VLOOKUP(T738, $E$5:$O$818, 2, FALSE)), "")</f>
        <v>0</v>
      </c>
      <c r="AC738" s="434"/>
    </row>
    <row r="739" spans="5:29">
      <c r="E739" s="598"/>
      <c r="F739" s="699"/>
      <c r="G739" s="700"/>
      <c r="H739" s="598"/>
      <c r="I739" s="598"/>
      <c r="J739" s="598"/>
      <c r="K739" s="598"/>
      <c r="L739" s="598"/>
      <c r="Q739" s="432">
        <v>46080</v>
      </c>
      <c r="R739" s="433">
        <v>0.33333333333333331</v>
      </c>
      <c r="S739" s="434" t="s">
        <v>289</v>
      </c>
      <c r="T739" s="434" t="s">
        <v>258</v>
      </c>
      <c r="U739" s="435">
        <v>0.8</v>
      </c>
      <c r="V739" s="436" t="str">
        <f t="shared" si="378"/>
        <v>doughnut</v>
      </c>
      <c r="W739" s="437">
        <f t="shared" si="379"/>
        <v>152</v>
      </c>
      <c r="X739" s="437">
        <f t="shared" si="380"/>
        <v>2.4000000000000004</v>
      </c>
      <c r="Y739" s="437">
        <f t="shared" si="381"/>
        <v>8.8000000000000007</v>
      </c>
      <c r="Z739" s="437">
        <f t="shared" si="382"/>
        <v>17.600000000000001</v>
      </c>
      <c r="AA739" s="437">
        <f t="shared" si="383"/>
        <v>0</v>
      </c>
      <c r="AB739" s="584">
        <f t="shared" si="384"/>
        <v>0</v>
      </c>
      <c r="AC739" s="434"/>
    </row>
    <row r="740" spans="5:29">
      <c r="E740" s="598"/>
      <c r="F740" s="699"/>
      <c r="G740" s="700"/>
      <c r="H740" s="598"/>
      <c r="I740" s="598"/>
      <c r="J740" s="598"/>
      <c r="K740" s="598"/>
      <c r="L740" s="598"/>
      <c r="Q740" s="432">
        <v>46080</v>
      </c>
      <c r="R740" s="433">
        <v>0.33333333333333331</v>
      </c>
      <c r="S740" s="434" t="s">
        <v>289</v>
      </c>
      <c r="T740" s="434" t="s">
        <v>483</v>
      </c>
      <c r="U740" s="435">
        <v>1.5</v>
      </c>
      <c r="V740" s="436" t="str">
        <f t="shared" si="378"/>
        <v>piece</v>
      </c>
      <c r="W740" s="437">
        <f t="shared" si="379"/>
        <v>300</v>
      </c>
      <c r="X740" s="437">
        <f t="shared" si="380"/>
        <v>4.5</v>
      </c>
      <c r="Y740" s="437">
        <f t="shared" si="381"/>
        <v>7.5</v>
      </c>
      <c r="Z740" s="437">
        <f t="shared" si="382"/>
        <v>57</v>
      </c>
      <c r="AA740" s="437">
        <f t="shared" si="383"/>
        <v>1.5</v>
      </c>
      <c r="AB740" s="584">
        <f t="shared" si="384"/>
        <v>0</v>
      </c>
      <c r="AC740" s="434"/>
    </row>
    <row r="741" spans="5:29">
      <c r="E741" s="598"/>
      <c r="F741" s="699"/>
      <c r="G741" s="700"/>
      <c r="H741" s="598"/>
      <c r="I741" s="598"/>
      <c r="J741" s="598"/>
      <c r="K741" s="598"/>
      <c r="L741" s="598"/>
      <c r="Q741" s="432">
        <v>46080</v>
      </c>
      <c r="R741" s="433">
        <v>0.41666666666666669</v>
      </c>
      <c r="S741" s="434" t="s">
        <v>289</v>
      </c>
      <c r="T741" s="434" t="s">
        <v>464</v>
      </c>
      <c r="U741" s="435">
        <v>1</v>
      </c>
      <c r="V741" s="436" t="str">
        <f t="shared" si="378"/>
        <v>lozenge</v>
      </c>
      <c r="W741" s="437">
        <f t="shared" si="379"/>
        <v>10</v>
      </c>
      <c r="X741" s="437">
        <f t="shared" si="380"/>
        <v>0</v>
      </c>
      <c r="Y741" s="437">
        <f t="shared" si="381"/>
        <v>0</v>
      </c>
      <c r="Z741" s="437">
        <f t="shared" si="382"/>
        <v>3</v>
      </c>
      <c r="AA741" s="437">
        <f t="shared" si="383"/>
        <v>0</v>
      </c>
      <c r="AB741" s="584">
        <f t="shared" si="384"/>
        <v>0</v>
      </c>
      <c r="AC741" s="434"/>
    </row>
    <row r="742" spans="5:29">
      <c r="E742" s="598"/>
      <c r="F742" s="699"/>
      <c r="G742" s="700"/>
      <c r="H742" s="598"/>
      <c r="I742" s="598"/>
      <c r="J742" s="598"/>
      <c r="K742" s="598"/>
      <c r="L742" s="598"/>
      <c r="Q742" s="432">
        <v>46080</v>
      </c>
      <c r="R742" s="433">
        <v>0.54166666666666663</v>
      </c>
      <c r="S742" s="434" t="s">
        <v>185</v>
      </c>
      <c r="T742" s="434" t="s">
        <v>176</v>
      </c>
      <c r="U742" s="435">
        <v>269</v>
      </c>
      <c r="V742" s="436" t="str">
        <f t="shared" si="378"/>
        <v>g</v>
      </c>
      <c r="W742" s="437">
        <f t="shared" si="379"/>
        <v>443.84999999999997</v>
      </c>
      <c r="X742" s="437">
        <f t="shared" si="380"/>
        <v>67.25</v>
      </c>
      <c r="Y742" s="437">
        <f t="shared" si="381"/>
        <v>9.6839999999999993</v>
      </c>
      <c r="Z742" s="437">
        <f t="shared" si="382"/>
        <v>0</v>
      </c>
      <c r="AA742" s="437">
        <f t="shared" si="383"/>
        <v>0</v>
      </c>
      <c r="AB742" s="584">
        <f t="shared" si="384"/>
        <v>0</v>
      </c>
      <c r="AC742" s="434"/>
    </row>
    <row r="743" spans="5:29">
      <c r="E743" s="598"/>
      <c r="F743" s="699"/>
      <c r="G743" s="700"/>
      <c r="H743" s="598"/>
      <c r="I743" s="598"/>
      <c r="J743" s="598"/>
      <c r="K743" s="598"/>
      <c r="L743" s="598"/>
      <c r="Q743" s="432">
        <v>46080</v>
      </c>
      <c r="R743" s="433">
        <v>0.54166666666666663</v>
      </c>
      <c r="S743" s="434" t="s">
        <v>185</v>
      </c>
      <c r="T743" s="434" t="s">
        <v>816</v>
      </c>
      <c r="U743" s="435">
        <v>100</v>
      </c>
      <c r="V743" s="436" t="str">
        <f t="shared" si="378"/>
        <v>g</v>
      </c>
      <c r="W743" s="437">
        <f t="shared" si="379"/>
        <v>217</v>
      </c>
      <c r="X743" s="437">
        <f t="shared" si="380"/>
        <v>26</v>
      </c>
      <c r="Y743" s="437">
        <f t="shared" si="381"/>
        <v>12</v>
      </c>
      <c r="Z743" s="437">
        <f t="shared" si="382"/>
        <v>0</v>
      </c>
      <c r="AA743" s="437">
        <f t="shared" si="383"/>
        <v>0</v>
      </c>
      <c r="AB743" s="584">
        <f t="shared" si="384"/>
        <v>0</v>
      </c>
      <c r="AC743" s="434"/>
    </row>
    <row r="744" spans="5:29">
      <c r="E744" s="598"/>
      <c r="F744" s="699"/>
      <c r="G744" s="700"/>
      <c r="H744" s="598"/>
      <c r="I744" s="598"/>
      <c r="J744" s="598"/>
      <c r="K744" s="598"/>
      <c r="L744" s="598"/>
      <c r="Q744" s="432">
        <v>46080</v>
      </c>
      <c r="R744" s="433">
        <v>0.54166666666666663</v>
      </c>
      <c r="S744" s="434" t="s">
        <v>185</v>
      </c>
      <c r="T744" s="434" t="s">
        <v>180</v>
      </c>
      <c r="U744" s="435">
        <v>50</v>
      </c>
      <c r="V744" s="436" t="str">
        <f t="shared" si="378"/>
        <v>g</v>
      </c>
      <c r="W744" s="437">
        <f t="shared" si="379"/>
        <v>65</v>
      </c>
      <c r="X744" s="437">
        <f t="shared" si="380"/>
        <v>1.35</v>
      </c>
      <c r="Y744" s="437">
        <f t="shared" si="381"/>
        <v>0.15</v>
      </c>
      <c r="Z744" s="437">
        <f t="shared" si="382"/>
        <v>14</v>
      </c>
      <c r="AA744" s="437">
        <f t="shared" si="383"/>
        <v>0.2</v>
      </c>
      <c r="AB744" s="584">
        <f t="shared" si="384"/>
        <v>0</v>
      </c>
      <c r="AC744" s="434"/>
    </row>
    <row r="745" spans="5:29">
      <c r="E745" s="598"/>
      <c r="F745" s="699"/>
      <c r="G745" s="700"/>
      <c r="H745" s="598"/>
      <c r="I745" s="598"/>
      <c r="J745" s="598"/>
      <c r="K745" s="598"/>
      <c r="L745" s="598"/>
      <c r="Q745" s="432">
        <v>46080</v>
      </c>
      <c r="R745" s="433">
        <v>0.58333333333333337</v>
      </c>
      <c r="S745" s="434" t="s">
        <v>289</v>
      </c>
      <c r="T745" s="434" t="s">
        <v>483</v>
      </c>
      <c r="U745" s="435">
        <v>1</v>
      </c>
      <c r="V745" s="436" t="str">
        <f t="shared" si="378"/>
        <v>piece</v>
      </c>
      <c r="W745" s="437">
        <f t="shared" si="379"/>
        <v>200</v>
      </c>
      <c r="X745" s="437">
        <f t="shared" si="380"/>
        <v>3</v>
      </c>
      <c r="Y745" s="437">
        <f t="shared" si="381"/>
        <v>5</v>
      </c>
      <c r="Z745" s="437">
        <f t="shared" si="382"/>
        <v>38</v>
      </c>
      <c r="AA745" s="437">
        <f t="shared" si="383"/>
        <v>1</v>
      </c>
      <c r="AB745" s="584">
        <f t="shared" si="384"/>
        <v>0</v>
      </c>
      <c r="AC745" s="434"/>
    </row>
    <row r="746" spans="5:29">
      <c r="E746" s="598"/>
      <c r="F746" s="699"/>
      <c r="G746" s="700"/>
      <c r="H746" s="598"/>
      <c r="I746" s="598"/>
      <c r="J746" s="598"/>
      <c r="K746" s="598"/>
      <c r="L746" s="598"/>
      <c r="Q746" s="432">
        <v>46080</v>
      </c>
      <c r="R746" s="433">
        <v>0.66666666666666663</v>
      </c>
      <c r="S746" s="434" t="s">
        <v>289</v>
      </c>
      <c r="T746" s="434" t="s">
        <v>464</v>
      </c>
      <c r="U746" s="435">
        <v>1</v>
      </c>
      <c r="V746" s="436" t="str">
        <f t="shared" si="378"/>
        <v>lozenge</v>
      </c>
      <c r="W746" s="437">
        <f t="shared" si="379"/>
        <v>10</v>
      </c>
      <c r="X746" s="437">
        <f t="shared" si="380"/>
        <v>0</v>
      </c>
      <c r="Y746" s="437">
        <f t="shared" si="381"/>
        <v>0</v>
      </c>
      <c r="Z746" s="437">
        <f t="shared" si="382"/>
        <v>3</v>
      </c>
      <c r="AA746" s="437">
        <f t="shared" si="383"/>
        <v>0</v>
      </c>
      <c r="AB746" s="584">
        <f t="shared" si="384"/>
        <v>0</v>
      </c>
      <c r="AC746" s="434"/>
    </row>
    <row r="747" spans="5:29">
      <c r="E747" s="598"/>
      <c r="F747" s="699"/>
      <c r="G747" s="700"/>
      <c r="H747" s="598"/>
      <c r="I747" s="598"/>
      <c r="J747" s="598"/>
      <c r="K747" s="598"/>
      <c r="L747" s="598"/>
      <c r="Q747" s="432">
        <v>46080</v>
      </c>
      <c r="R747" s="433">
        <v>0.875</v>
      </c>
      <c r="S747" s="434" t="s">
        <v>199</v>
      </c>
      <c r="T747" s="434" t="s">
        <v>176</v>
      </c>
      <c r="U747" s="435">
        <v>247</v>
      </c>
      <c r="V747" s="436" t="str">
        <f t="shared" si="378"/>
        <v>g</v>
      </c>
      <c r="W747" s="437">
        <f t="shared" si="379"/>
        <v>407.55</v>
      </c>
      <c r="X747" s="437">
        <f t="shared" si="380"/>
        <v>61.750000000000007</v>
      </c>
      <c r="Y747" s="437">
        <f t="shared" si="381"/>
        <v>8.8920000000000012</v>
      </c>
      <c r="Z747" s="437">
        <f t="shared" si="382"/>
        <v>0</v>
      </c>
      <c r="AA747" s="437">
        <f t="shared" si="383"/>
        <v>0</v>
      </c>
      <c r="AB747" s="584">
        <f t="shared" si="384"/>
        <v>0</v>
      </c>
      <c r="AC747" s="434"/>
    </row>
    <row r="748" spans="5:29">
      <c r="E748" s="598"/>
      <c r="F748" s="699"/>
      <c r="G748" s="700"/>
      <c r="H748" s="598"/>
      <c r="I748" s="598"/>
      <c r="J748" s="598"/>
      <c r="K748" s="598"/>
      <c r="L748" s="598"/>
      <c r="Q748" s="432">
        <v>46080</v>
      </c>
      <c r="R748" s="433">
        <v>0.875</v>
      </c>
      <c r="S748" s="434" t="s">
        <v>199</v>
      </c>
      <c r="T748" s="434" t="s">
        <v>753</v>
      </c>
      <c r="U748" s="435">
        <f>115+140</f>
        <v>255</v>
      </c>
      <c r="V748" s="436" t="str">
        <f t="shared" si="378"/>
        <v>g</v>
      </c>
      <c r="W748" s="437">
        <f t="shared" si="379"/>
        <v>331.5</v>
      </c>
      <c r="X748" s="437">
        <f t="shared" si="380"/>
        <v>2.5499999999999998</v>
      </c>
      <c r="Y748" s="437">
        <f t="shared" si="381"/>
        <v>0</v>
      </c>
      <c r="Z748" s="437">
        <f t="shared" si="382"/>
        <v>79.05</v>
      </c>
      <c r="AA748" s="437">
        <f t="shared" si="383"/>
        <v>7.6499999999999995</v>
      </c>
      <c r="AB748" s="584">
        <f t="shared" si="384"/>
        <v>0</v>
      </c>
      <c r="AC748" s="434"/>
    </row>
    <row r="749" spans="5:29">
      <c r="E749" s="598"/>
      <c r="F749" s="699"/>
      <c r="G749" s="700"/>
      <c r="H749" s="598"/>
      <c r="I749" s="598"/>
      <c r="J749" s="598"/>
      <c r="K749" s="598"/>
      <c r="L749" s="598"/>
      <c r="Q749" s="432">
        <v>46080</v>
      </c>
      <c r="R749" s="433">
        <v>0.875</v>
      </c>
      <c r="S749" s="434" t="s">
        <v>199</v>
      </c>
      <c r="T749" s="434" t="s">
        <v>757</v>
      </c>
      <c r="U749" s="435">
        <v>1</v>
      </c>
      <c r="V749" s="436" t="str">
        <f t="shared" si="378"/>
        <v>can</v>
      </c>
      <c r="W749" s="437">
        <f t="shared" si="379"/>
        <v>0</v>
      </c>
      <c r="X749" s="437">
        <f t="shared" si="380"/>
        <v>0</v>
      </c>
      <c r="Y749" s="437">
        <f t="shared" si="381"/>
        <v>0</v>
      </c>
      <c r="Z749" s="437">
        <f t="shared" si="382"/>
        <v>1</v>
      </c>
      <c r="AA749" s="437">
        <f t="shared" si="383"/>
        <v>0</v>
      </c>
      <c r="AB749" s="584">
        <f t="shared" si="384"/>
        <v>0</v>
      </c>
      <c r="AC749" s="434"/>
    </row>
    <row r="750" spans="5:29">
      <c r="E750" s="598"/>
      <c r="F750" s="699"/>
      <c r="G750" s="700"/>
      <c r="H750" s="598"/>
      <c r="I750" s="598"/>
      <c r="J750" s="598"/>
      <c r="K750" s="598"/>
      <c r="L750" s="598"/>
      <c r="Q750" s="432">
        <v>46080</v>
      </c>
      <c r="R750" s="433">
        <v>0.875</v>
      </c>
      <c r="S750" s="434" t="s">
        <v>199</v>
      </c>
      <c r="T750" s="434" t="s">
        <v>219</v>
      </c>
      <c r="U750" s="435">
        <v>1</v>
      </c>
      <c r="V750" s="436" t="str">
        <f t="shared" si="378"/>
        <v>bottle</v>
      </c>
      <c r="W750" s="437">
        <f t="shared" si="379"/>
        <v>0</v>
      </c>
      <c r="X750" s="437">
        <f t="shared" si="380"/>
        <v>0</v>
      </c>
      <c r="Y750" s="437">
        <f t="shared" si="381"/>
        <v>0</v>
      </c>
      <c r="Z750" s="437">
        <f t="shared" si="382"/>
        <v>0</v>
      </c>
      <c r="AA750" s="437">
        <f t="shared" si="383"/>
        <v>0</v>
      </c>
      <c r="AB750" s="584">
        <f t="shared" si="384"/>
        <v>0</v>
      </c>
      <c r="AC750" s="434"/>
    </row>
    <row r="751" spans="5:29">
      <c r="E751" s="598"/>
      <c r="F751" s="699"/>
      <c r="G751" s="700"/>
      <c r="H751" s="598"/>
      <c r="I751" s="598"/>
      <c r="J751" s="598"/>
      <c r="K751" s="598"/>
      <c r="L751" s="598"/>
      <c r="Q751" s="432">
        <v>46080</v>
      </c>
      <c r="R751" s="433">
        <v>0.91666666666666663</v>
      </c>
      <c r="S751" s="434" t="s">
        <v>289</v>
      </c>
      <c r="T751" s="434" t="s">
        <v>214</v>
      </c>
      <c r="U751" s="435">
        <v>1</v>
      </c>
      <c r="V751" s="436" t="str">
        <f t="shared" si="378"/>
        <v>bar</v>
      </c>
      <c r="W751" s="437">
        <f t="shared" si="379"/>
        <v>67</v>
      </c>
      <c r="X751" s="437">
        <f t="shared" si="380"/>
        <v>1</v>
      </c>
      <c r="Y751" s="437">
        <f t="shared" si="381"/>
        <v>3.5</v>
      </c>
      <c r="Z751" s="437">
        <f t="shared" si="382"/>
        <v>22</v>
      </c>
      <c r="AA751" s="437">
        <f t="shared" si="383"/>
        <v>0.3</v>
      </c>
      <c r="AB751" s="684">
        <f t="shared" si="384"/>
        <v>0</v>
      </c>
      <c r="AC751" s="434"/>
    </row>
    <row r="752" spans="5:29">
      <c r="E752" s="598"/>
      <c r="F752" s="699"/>
      <c r="G752" s="700"/>
      <c r="H752" s="598"/>
      <c r="I752" s="598"/>
      <c r="J752" s="598"/>
      <c r="K752" s="598"/>
      <c r="L752" s="598"/>
      <c r="Q752" s="438"/>
      <c r="R752" s="439" t="s">
        <v>217</v>
      </c>
      <c r="S752" s="440"/>
      <c r="T752" s="441"/>
      <c r="U752" s="441"/>
      <c r="V752" s="442"/>
      <c r="W752" s="443">
        <f t="shared" ref="W752:AB752" si="385">SUM(W738:W751)</f>
        <v>2473</v>
      </c>
      <c r="X752" s="443">
        <f t="shared" si="385"/>
        <v>171.87</v>
      </c>
      <c r="Y752" s="443">
        <f t="shared" si="385"/>
        <v>55.526000000000003</v>
      </c>
      <c r="Z752" s="443">
        <f t="shared" si="385"/>
        <v>298.82</v>
      </c>
      <c r="AA752" s="685">
        <f t="shared" si="385"/>
        <v>16.86</v>
      </c>
      <c r="AB752" s="691">
        <f t="shared" si="385"/>
        <v>0</v>
      </c>
      <c r="AC752" s="439"/>
    </row>
    <row r="753" spans="5:29">
      <c r="E753" s="598"/>
      <c r="F753" s="699"/>
      <c r="G753" s="700"/>
      <c r="H753" s="598"/>
      <c r="I753" s="598"/>
      <c r="J753" s="598"/>
      <c r="K753" s="598"/>
      <c r="L753" s="598"/>
      <c r="Q753" s="438"/>
      <c r="R753" s="439" t="s">
        <v>220</v>
      </c>
      <c r="S753" s="440"/>
      <c r="T753" s="441"/>
      <c r="U753" s="441"/>
      <c r="V753" s="442"/>
      <c r="W753" s="444">
        <f>$B$27</f>
        <v>2834.5625</v>
      </c>
      <c r="X753" s="444">
        <f>$B$29</f>
        <v>154</v>
      </c>
      <c r="Y753" s="444">
        <f>$B$30</f>
        <v>63.91</v>
      </c>
      <c r="Z753" s="444">
        <f>$B$31</f>
        <v>410.84312499999999</v>
      </c>
      <c r="AA753" s="692">
        <f>$B$32</f>
        <v>39.683875</v>
      </c>
      <c r="AB753" s="695">
        <f>$B$39</f>
        <v>500</v>
      </c>
      <c r="AC753" s="439"/>
    </row>
    <row r="754" spans="5:29">
      <c r="E754" s="598"/>
      <c r="F754" s="699"/>
      <c r="G754" s="700"/>
      <c r="H754" s="598"/>
      <c r="I754" s="598"/>
      <c r="J754" s="598"/>
      <c r="K754" s="598"/>
      <c r="L754" s="598"/>
      <c r="Q754" s="438"/>
      <c r="R754" s="439" t="s">
        <v>222</v>
      </c>
      <c r="S754" s="440"/>
      <c r="T754" s="441"/>
      <c r="U754" s="441"/>
      <c r="V754" s="442"/>
      <c r="W754" s="284">
        <f t="shared" ref="W754:AB754" si="386">W752-W753</f>
        <v>-361.5625</v>
      </c>
      <c r="X754" s="284">
        <f t="shared" si="386"/>
        <v>17.870000000000005</v>
      </c>
      <c r="Y754" s="284">
        <f t="shared" si="386"/>
        <v>-8.3839999999999932</v>
      </c>
      <c r="Z754" s="284">
        <f t="shared" si="386"/>
        <v>-112.02312499999999</v>
      </c>
      <c r="AA754" s="690">
        <f t="shared" si="386"/>
        <v>-22.823875000000001</v>
      </c>
      <c r="AB754" s="689">
        <f t="shared" si="386"/>
        <v>-500</v>
      </c>
      <c r="AC754" s="439"/>
    </row>
    <row r="755" spans="5:29">
      <c r="E755" s="598"/>
      <c r="F755" s="699"/>
      <c r="G755" s="700"/>
      <c r="H755" s="598"/>
      <c r="I755" s="598"/>
      <c r="J755" s="598"/>
      <c r="K755" s="598"/>
      <c r="L755" s="598"/>
      <c r="Q755" s="432">
        <v>46081</v>
      </c>
      <c r="R755" s="433">
        <v>0.45833333333333331</v>
      </c>
      <c r="S755" s="434" t="s">
        <v>178</v>
      </c>
      <c r="T755" s="434" t="s">
        <v>295</v>
      </c>
      <c r="U755" s="435">
        <v>1</v>
      </c>
      <c r="V755" s="436" t="str">
        <f t="shared" ref="V755:V764" si="387">IFERROR(VLOOKUP(T755, $E$5:$L$818, 3, FALSE), "")</f>
        <v>bottle</v>
      </c>
      <c r="W755" s="437">
        <f t="shared" ref="W755:W764" si="388">IFERROR(VLOOKUP(T755, $E$5:$L$818, 4, FALSE) * (U755 / VLOOKUP(T755, $E$5:$L$818, 2, FALSE)), "")</f>
        <v>200</v>
      </c>
      <c r="X755" s="437">
        <f t="shared" ref="X755:X764" si="389">IFERROR(VLOOKUP(T755, $E$5:$L$818, 5, FALSE) * (U755 / VLOOKUP(T755, $E$5:$L$818, 2, FALSE)), "")</f>
        <v>35</v>
      </c>
      <c r="Y755" s="437">
        <f t="shared" ref="Y755:Y764" si="390">IFERROR(VLOOKUP(T755, $E$5:$L$818, 6, FALSE) * (U755 / VLOOKUP(T755, $E$5:$L$818, 2, FALSE)), "")</f>
        <v>2.5</v>
      </c>
      <c r="Z755" s="437">
        <f t="shared" ref="Z755:Z764" si="391">IFERROR(VLOOKUP(T755, $E$5:$L$818, 7, FALSE) * (U755 / VLOOKUP(T755, $E$5:$L$818, 2, FALSE)), "")</f>
        <v>9</v>
      </c>
      <c r="AA755" s="437">
        <f t="shared" ref="AA755:AA764" si="392">IFERROR(VLOOKUP(T755, $E$5:$L$818, 8, FALSE) * (U755 / VLOOKUP(T755, $E$5:$L$818, 2, FALSE)), "")</f>
        <v>0</v>
      </c>
      <c r="AB755" s="674">
        <f t="shared" ref="AB755:AB764" si="393">IFERROR(VLOOKUP(T755, $E$5:$O$818, 9, FALSE) * (U755 / VLOOKUP(T755, $E$5:$O$818, 2, FALSE)), "")</f>
        <v>0</v>
      </c>
      <c r="AC755" s="434"/>
    </row>
    <row r="756" spans="5:29">
      <c r="E756" s="598"/>
      <c r="F756" s="699"/>
      <c r="G756" s="700"/>
      <c r="H756" s="598"/>
      <c r="I756" s="598"/>
      <c r="J756" s="598"/>
      <c r="K756" s="598"/>
      <c r="L756" s="598"/>
      <c r="Q756" s="432">
        <v>46081</v>
      </c>
      <c r="R756" s="433">
        <v>0.45833333333333331</v>
      </c>
      <c r="S756" s="434" t="s">
        <v>289</v>
      </c>
      <c r="T756" s="434" t="s">
        <v>219</v>
      </c>
      <c r="U756" s="435">
        <v>1</v>
      </c>
      <c r="V756" s="436" t="str">
        <f t="shared" si="387"/>
        <v>bottle</v>
      </c>
      <c r="W756" s="437">
        <f t="shared" si="388"/>
        <v>0</v>
      </c>
      <c r="X756" s="437">
        <f t="shared" si="389"/>
        <v>0</v>
      </c>
      <c r="Y756" s="437">
        <f t="shared" si="390"/>
        <v>0</v>
      </c>
      <c r="Z756" s="437">
        <f t="shared" si="391"/>
        <v>0</v>
      </c>
      <c r="AA756" s="437">
        <f t="shared" si="392"/>
        <v>0</v>
      </c>
      <c r="AB756" s="584">
        <f t="shared" si="393"/>
        <v>0</v>
      </c>
      <c r="AC756" s="434"/>
    </row>
    <row r="757" spans="5:29">
      <c r="E757" s="598"/>
      <c r="F757" s="699"/>
      <c r="G757" s="700"/>
      <c r="H757" s="598"/>
      <c r="I757" s="598"/>
      <c r="J757" s="598"/>
      <c r="K757" s="598"/>
      <c r="L757" s="598"/>
      <c r="Q757" s="432">
        <v>46081</v>
      </c>
      <c r="R757" s="433">
        <v>0.625</v>
      </c>
      <c r="S757" s="434" t="s">
        <v>185</v>
      </c>
      <c r="T757" s="434" t="s">
        <v>181</v>
      </c>
      <c r="U757" s="435">
        <v>6</v>
      </c>
      <c r="V757" s="436" t="str">
        <f t="shared" si="387"/>
        <v>slice</v>
      </c>
      <c r="W757" s="437">
        <f t="shared" si="388"/>
        <v>420</v>
      </c>
      <c r="X757" s="437">
        <f t="shared" si="389"/>
        <v>15</v>
      </c>
      <c r="Y757" s="437">
        <f t="shared" si="390"/>
        <v>7.5</v>
      </c>
      <c r="Z757" s="437">
        <f t="shared" si="391"/>
        <v>72</v>
      </c>
      <c r="AA757" s="437">
        <f t="shared" si="392"/>
        <v>6</v>
      </c>
      <c r="AB757" s="584">
        <f t="shared" si="393"/>
        <v>0</v>
      </c>
      <c r="AC757" s="434"/>
    </row>
    <row r="758" spans="5:29">
      <c r="E758" s="598"/>
      <c r="F758" s="699"/>
      <c r="G758" s="700"/>
      <c r="H758" s="598"/>
      <c r="I758" s="598"/>
      <c r="J758" s="598"/>
      <c r="K758" s="598"/>
      <c r="L758" s="598"/>
      <c r="Q758" s="432">
        <v>46081</v>
      </c>
      <c r="R758" s="433">
        <v>0.70833333333333337</v>
      </c>
      <c r="S758" s="434" t="s">
        <v>185</v>
      </c>
      <c r="T758" s="434" t="s">
        <v>753</v>
      </c>
      <c r="U758" s="435">
        <v>173</v>
      </c>
      <c r="V758" s="436" t="str">
        <f t="shared" si="387"/>
        <v>g</v>
      </c>
      <c r="W758" s="437">
        <f t="shared" si="388"/>
        <v>224.9</v>
      </c>
      <c r="X758" s="437">
        <f t="shared" si="389"/>
        <v>1.73</v>
      </c>
      <c r="Y758" s="437">
        <f t="shared" si="390"/>
        <v>0</v>
      </c>
      <c r="Z758" s="437">
        <f t="shared" si="391"/>
        <v>53.63</v>
      </c>
      <c r="AA758" s="437">
        <f t="shared" si="392"/>
        <v>5.1899999999999995</v>
      </c>
      <c r="AB758" s="584">
        <f t="shared" si="393"/>
        <v>0</v>
      </c>
      <c r="AC758" s="434"/>
    </row>
    <row r="759" spans="5:29">
      <c r="E759" s="598"/>
      <c r="F759" s="699"/>
      <c r="G759" s="700"/>
      <c r="H759" s="598"/>
      <c r="I759" s="598"/>
      <c r="J759" s="598"/>
      <c r="K759" s="598"/>
      <c r="L759" s="598"/>
      <c r="Q759" s="432">
        <v>46081</v>
      </c>
      <c r="R759" s="433">
        <v>0.70833333333333337</v>
      </c>
      <c r="S759" s="434" t="s">
        <v>185</v>
      </c>
      <c r="T759" s="434" t="s">
        <v>176</v>
      </c>
      <c r="U759" s="435">
        <v>265</v>
      </c>
      <c r="V759" s="436" t="str">
        <f t="shared" si="387"/>
        <v>g</v>
      </c>
      <c r="W759" s="437">
        <f t="shared" si="388"/>
        <v>437.25</v>
      </c>
      <c r="X759" s="437">
        <f t="shared" si="389"/>
        <v>66.25</v>
      </c>
      <c r="Y759" s="437">
        <f t="shared" si="390"/>
        <v>9.5399999999999991</v>
      </c>
      <c r="Z759" s="437">
        <f t="shared" si="391"/>
        <v>0</v>
      </c>
      <c r="AA759" s="437">
        <f t="shared" si="392"/>
        <v>0</v>
      </c>
      <c r="AB759" s="584">
        <f t="shared" si="393"/>
        <v>0</v>
      </c>
      <c r="AC759" s="434"/>
    </row>
    <row r="760" spans="5:29">
      <c r="E760" s="598"/>
      <c r="F760" s="699"/>
      <c r="G760" s="700"/>
      <c r="H760" s="598"/>
      <c r="I760" s="598"/>
      <c r="J760" s="598"/>
      <c r="K760" s="598"/>
      <c r="L760" s="598"/>
      <c r="Q760" s="432">
        <v>46081</v>
      </c>
      <c r="R760" s="433">
        <v>0.70833333333333337</v>
      </c>
      <c r="S760" s="434" t="s">
        <v>185</v>
      </c>
      <c r="T760" s="434" t="s">
        <v>816</v>
      </c>
      <c r="U760" s="435">
        <v>160</v>
      </c>
      <c r="V760" s="436" t="str">
        <f t="shared" si="387"/>
        <v>g</v>
      </c>
      <c r="W760" s="437">
        <f t="shared" si="388"/>
        <v>347.20000000000005</v>
      </c>
      <c r="X760" s="437">
        <f t="shared" si="389"/>
        <v>41.6</v>
      </c>
      <c r="Y760" s="437">
        <f t="shared" si="390"/>
        <v>19.200000000000003</v>
      </c>
      <c r="Z760" s="437">
        <f t="shared" si="391"/>
        <v>0</v>
      </c>
      <c r="AA760" s="437">
        <f t="shared" si="392"/>
        <v>0</v>
      </c>
      <c r="AB760" s="584">
        <f t="shared" si="393"/>
        <v>0</v>
      </c>
      <c r="AC760" s="434"/>
    </row>
    <row r="761" spans="5:29">
      <c r="E761" s="598"/>
      <c r="F761" s="699"/>
      <c r="G761" s="700"/>
      <c r="H761" s="598"/>
      <c r="I761" s="598"/>
      <c r="J761" s="598"/>
      <c r="K761" s="598"/>
      <c r="L761" s="598"/>
      <c r="Q761" s="432">
        <v>46081</v>
      </c>
      <c r="R761" s="433">
        <v>0.75</v>
      </c>
      <c r="S761" s="434" t="s">
        <v>289</v>
      </c>
      <c r="T761" s="434" t="s">
        <v>457</v>
      </c>
      <c r="U761" s="435">
        <v>0.5</v>
      </c>
      <c r="V761" s="436" t="str">
        <f t="shared" si="387"/>
        <v>cup</v>
      </c>
      <c r="W761" s="437">
        <f t="shared" si="388"/>
        <v>350</v>
      </c>
      <c r="X761" s="437">
        <f t="shared" si="389"/>
        <v>5.5</v>
      </c>
      <c r="Y761" s="437">
        <f t="shared" si="390"/>
        <v>45.5</v>
      </c>
      <c r="Z761" s="437">
        <f t="shared" si="391"/>
        <v>18</v>
      </c>
      <c r="AA761" s="437">
        <f t="shared" si="392"/>
        <v>0</v>
      </c>
      <c r="AB761" s="584">
        <f t="shared" si="393"/>
        <v>0</v>
      </c>
      <c r="AC761" s="434"/>
    </row>
    <row r="762" spans="5:29">
      <c r="E762" s="598"/>
      <c r="F762" s="699"/>
      <c r="G762" s="700"/>
      <c r="H762" s="598"/>
      <c r="I762" s="598"/>
      <c r="J762" s="598"/>
      <c r="K762" s="598"/>
      <c r="L762" s="598"/>
      <c r="Q762" s="432">
        <v>46081</v>
      </c>
      <c r="R762" s="433">
        <v>0.91666666666666663</v>
      </c>
      <c r="S762" s="434" t="s">
        <v>289</v>
      </c>
      <c r="T762" s="434" t="s">
        <v>214</v>
      </c>
      <c r="U762" s="435">
        <v>1</v>
      </c>
      <c r="V762" s="436" t="str">
        <f t="shared" si="387"/>
        <v>bar</v>
      </c>
      <c r="W762" s="437">
        <f t="shared" si="388"/>
        <v>67</v>
      </c>
      <c r="X762" s="437">
        <f t="shared" si="389"/>
        <v>1</v>
      </c>
      <c r="Y762" s="437">
        <f t="shared" si="390"/>
        <v>3.5</v>
      </c>
      <c r="Z762" s="437">
        <f t="shared" si="391"/>
        <v>22</v>
      </c>
      <c r="AA762" s="437">
        <f t="shared" si="392"/>
        <v>0.3</v>
      </c>
      <c r="AB762" s="584">
        <f t="shared" si="393"/>
        <v>0</v>
      </c>
      <c r="AC762" s="434"/>
    </row>
    <row r="763" spans="5:29">
      <c r="E763" s="598"/>
      <c r="F763" s="699"/>
      <c r="G763" s="700"/>
      <c r="H763" s="598"/>
      <c r="I763" s="598"/>
      <c r="J763" s="598"/>
      <c r="K763" s="598"/>
      <c r="L763" s="598"/>
      <c r="Q763" s="432">
        <v>46081</v>
      </c>
      <c r="R763" s="433">
        <v>0.95833333333333337</v>
      </c>
      <c r="S763" s="434" t="s">
        <v>199</v>
      </c>
      <c r="T763" s="434" t="s">
        <v>212</v>
      </c>
      <c r="U763" s="435">
        <v>1</v>
      </c>
      <c r="V763" s="436" t="str">
        <f t="shared" si="387"/>
        <v>bottle</v>
      </c>
      <c r="W763" s="437">
        <f t="shared" si="388"/>
        <v>70</v>
      </c>
      <c r="X763" s="437">
        <f t="shared" si="389"/>
        <v>0</v>
      </c>
      <c r="Y763" s="437">
        <f t="shared" si="390"/>
        <v>0</v>
      </c>
      <c r="Z763" s="437">
        <f t="shared" si="391"/>
        <v>17</v>
      </c>
      <c r="AA763" s="437">
        <f t="shared" si="392"/>
        <v>1</v>
      </c>
      <c r="AB763" s="584">
        <f t="shared" si="393"/>
        <v>0</v>
      </c>
      <c r="AC763" s="434"/>
    </row>
    <row r="764" spans="5:29">
      <c r="E764" s="598"/>
      <c r="F764" s="699"/>
      <c r="G764" s="700"/>
      <c r="H764" s="598"/>
      <c r="I764" s="598"/>
      <c r="J764" s="598"/>
      <c r="K764" s="598"/>
      <c r="L764" s="598"/>
      <c r="Q764" s="432">
        <v>46081</v>
      </c>
      <c r="R764" s="433">
        <v>0.95833333333333337</v>
      </c>
      <c r="S764" s="434" t="s">
        <v>199</v>
      </c>
      <c r="T764" s="434" t="s">
        <v>209</v>
      </c>
      <c r="U764" s="435">
        <v>3</v>
      </c>
      <c r="V764" s="436" t="str">
        <f t="shared" si="387"/>
        <v>tbsp</v>
      </c>
      <c r="W764" s="437">
        <f t="shared" si="388"/>
        <v>60</v>
      </c>
      <c r="X764" s="437">
        <f t="shared" si="389"/>
        <v>0</v>
      </c>
      <c r="Y764" s="437">
        <f t="shared" si="390"/>
        <v>0</v>
      </c>
      <c r="Z764" s="437">
        <f t="shared" si="391"/>
        <v>15</v>
      </c>
      <c r="AA764" s="437">
        <f t="shared" si="392"/>
        <v>13.5</v>
      </c>
      <c r="AB764" s="684">
        <f t="shared" si="393"/>
        <v>0</v>
      </c>
      <c r="AC764" s="434"/>
    </row>
    <row r="765" spans="5:29">
      <c r="E765" s="598"/>
      <c r="F765" s="699"/>
      <c r="G765" s="700"/>
      <c r="H765" s="598"/>
      <c r="I765" s="598"/>
      <c r="J765" s="598"/>
      <c r="K765" s="598"/>
      <c r="L765" s="598"/>
      <c r="Q765" s="438"/>
      <c r="R765" s="439" t="s">
        <v>217</v>
      </c>
      <c r="S765" s="440"/>
      <c r="T765" s="441"/>
      <c r="U765" s="441"/>
      <c r="V765" s="442"/>
      <c r="W765" s="443">
        <f t="shared" ref="W765:AB765" si="394">SUM(W755:W764)</f>
        <v>2176.3500000000004</v>
      </c>
      <c r="X765" s="443">
        <f t="shared" si="394"/>
        <v>166.07999999999998</v>
      </c>
      <c r="Y765" s="443">
        <f t="shared" si="394"/>
        <v>87.740000000000009</v>
      </c>
      <c r="Z765" s="443">
        <f t="shared" si="394"/>
        <v>206.63</v>
      </c>
      <c r="AA765" s="685">
        <f t="shared" si="394"/>
        <v>25.990000000000002</v>
      </c>
      <c r="AB765" s="691">
        <f t="shared" si="394"/>
        <v>0</v>
      </c>
      <c r="AC765" s="439"/>
    </row>
    <row r="766" spans="5:29">
      <c r="E766" s="598"/>
      <c r="F766" s="699"/>
      <c r="G766" s="700"/>
      <c r="H766" s="598"/>
      <c r="I766" s="598"/>
      <c r="J766" s="598"/>
      <c r="K766" s="598"/>
      <c r="L766" s="598"/>
      <c r="Q766" s="438"/>
      <c r="R766" s="439" t="s">
        <v>220</v>
      </c>
      <c r="S766" s="440"/>
      <c r="T766" s="441"/>
      <c r="U766" s="441"/>
      <c r="V766" s="442"/>
      <c r="W766" s="444">
        <f>$B$27</f>
        <v>2834.5625</v>
      </c>
      <c r="X766" s="444">
        <f>$B$29</f>
        <v>154</v>
      </c>
      <c r="Y766" s="444">
        <f>$B$30</f>
        <v>63.91</v>
      </c>
      <c r="Z766" s="444">
        <f>$B$31</f>
        <v>410.84312499999999</v>
      </c>
      <c r="AA766" s="692">
        <f>$B$32</f>
        <v>39.683875</v>
      </c>
      <c r="AB766" s="695">
        <f>$B$39</f>
        <v>500</v>
      </c>
      <c r="AC766" s="439"/>
    </row>
    <row r="767" spans="5:29">
      <c r="E767" s="598"/>
      <c r="F767" s="699"/>
      <c r="G767" s="700"/>
      <c r="H767" s="598"/>
      <c r="I767" s="598"/>
      <c r="J767" s="598"/>
      <c r="K767" s="598"/>
      <c r="L767" s="598"/>
      <c r="Q767" s="438"/>
      <c r="R767" s="439" t="s">
        <v>222</v>
      </c>
      <c r="S767" s="440"/>
      <c r="T767" s="441"/>
      <c r="U767" s="441"/>
      <c r="V767" s="442"/>
      <c r="W767" s="284">
        <f t="shared" ref="W767:AB767" si="395">W765-W766</f>
        <v>-658.21249999999964</v>
      </c>
      <c r="X767" s="284">
        <f t="shared" si="395"/>
        <v>12.079999999999984</v>
      </c>
      <c r="Y767" s="284">
        <f t="shared" si="395"/>
        <v>23.830000000000013</v>
      </c>
      <c r="Z767" s="284">
        <f t="shared" si="395"/>
        <v>-204.21312499999999</v>
      </c>
      <c r="AA767" s="690">
        <f t="shared" si="395"/>
        <v>-13.693874999999998</v>
      </c>
      <c r="AB767" s="689">
        <f t="shared" si="395"/>
        <v>-500</v>
      </c>
      <c r="AC767" s="439"/>
    </row>
    <row r="768" spans="5:29">
      <c r="E768" s="598"/>
      <c r="F768" s="699"/>
      <c r="G768" s="700"/>
      <c r="H768" s="598"/>
      <c r="I768" s="598"/>
      <c r="J768" s="598"/>
      <c r="K768" s="598"/>
      <c r="L768" s="598"/>
      <c r="Q768" s="432">
        <v>46082</v>
      </c>
      <c r="R768" s="433">
        <v>0.5</v>
      </c>
      <c r="S768" s="434" t="s">
        <v>289</v>
      </c>
      <c r="T768" s="434" t="s">
        <v>796</v>
      </c>
      <c r="U768" s="435">
        <v>1</v>
      </c>
      <c r="V768" s="436" t="str">
        <f t="shared" ref="V768:V782" si="396">IFERROR(VLOOKUP(T768, $E$5:$L$818, 3, FALSE), "")</f>
        <v>cone</v>
      </c>
      <c r="W768" s="437">
        <f t="shared" ref="W768:W782" si="397">IFERROR(VLOOKUP(T768, $E$5:$L$818, 4, FALSE) * (U768 / VLOOKUP(T768, $E$5:$L$818, 2, FALSE)), "")</f>
        <v>200</v>
      </c>
      <c r="X768" s="437">
        <f t="shared" ref="X768:X782" si="398">IFERROR(VLOOKUP(T768, $E$5:$L$818, 5, FALSE) * (U768 / VLOOKUP(T768, $E$5:$L$818, 2, FALSE)), "")</f>
        <v>2</v>
      </c>
      <c r="Y768" s="437">
        <f t="shared" ref="Y768:Y782" si="399">IFERROR(VLOOKUP(T768, $E$5:$L$818, 6, FALSE) * (U768 / VLOOKUP(T768, $E$5:$L$818, 2, FALSE)), "")</f>
        <v>10</v>
      </c>
      <c r="Z768" s="437">
        <f t="shared" ref="Z768:Z782" si="400">IFERROR(VLOOKUP(T768, $E$5:$L$818, 7, FALSE) * (U768 / VLOOKUP(T768, $E$5:$L$818, 2, FALSE)), "")</f>
        <v>24</v>
      </c>
      <c r="AA768" s="437">
        <f t="shared" ref="AA768:AA782" si="401">IFERROR(VLOOKUP(T768, $E$5:$L$818, 8, FALSE) * (U768 / VLOOKUP(T768, $E$5:$L$818, 2, FALSE)), "")</f>
        <v>0</v>
      </c>
      <c r="AB768" s="674">
        <f t="shared" ref="AB768:AB782" si="402">IFERROR(VLOOKUP(T768, $E$5:$O$818, 9, FALSE) * (U768 / VLOOKUP(T768, $E$5:$O$818, 2, FALSE)), "")</f>
        <v>0</v>
      </c>
      <c r="AC768" s="434"/>
    </row>
    <row r="769" spans="5:29">
      <c r="E769" s="598"/>
      <c r="F769" s="699"/>
      <c r="G769" s="700"/>
      <c r="H769" s="598"/>
      <c r="I769" s="598"/>
      <c r="J769" s="598"/>
      <c r="K769" s="598"/>
      <c r="L769" s="598"/>
      <c r="Q769" s="432">
        <v>46082</v>
      </c>
      <c r="R769" s="433">
        <v>0.5</v>
      </c>
      <c r="S769" s="434" t="s">
        <v>185</v>
      </c>
      <c r="T769" s="434" t="s">
        <v>773</v>
      </c>
      <c r="U769" s="435">
        <v>1</v>
      </c>
      <c r="V769" s="436" t="str">
        <f t="shared" si="396"/>
        <v>cup</v>
      </c>
      <c r="W769" s="437">
        <f t="shared" si="397"/>
        <v>120</v>
      </c>
      <c r="X769" s="437">
        <f t="shared" si="398"/>
        <v>0</v>
      </c>
      <c r="Y769" s="437">
        <f t="shared" si="399"/>
        <v>0</v>
      </c>
      <c r="Z769" s="437">
        <f t="shared" si="400"/>
        <v>30</v>
      </c>
      <c r="AA769" s="437">
        <f t="shared" si="401"/>
        <v>0</v>
      </c>
      <c r="AB769" s="584">
        <f t="shared" si="402"/>
        <v>0</v>
      </c>
      <c r="AC769" s="434"/>
    </row>
    <row r="770" spans="5:29">
      <c r="E770" s="598"/>
      <c r="F770" s="699"/>
      <c r="G770" s="700"/>
      <c r="H770" s="598"/>
      <c r="I770" s="598"/>
      <c r="J770" s="598"/>
      <c r="K770" s="598"/>
      <c r="L770" s="598"/>
      <c r="Q770" s="432">
        <v>46082</v>
      </c>
      <c r="R770" s="433">
        <v>0.5</v>
      </c>
      <c r="S770" s="434" t="s">
        <v>185</v>
      </c>
      <c r="T770" s="434" t="s">
        <v>774</v>
      </c>
      <c r="U770" s="435">
        <v>1</v>
      </c>
      <c r="V770" s="436" t="str">
        <f t="shared" si="396"/>
        <v>bowl</v>
      </c>
      <c r="W770" s="437">
        <f t="shared" si="397"/>
        <v>580</v>
      </c>
      <c r="X770" s="437">
        <f t="shared" si="398"/>
        <v>32</v>
      </c>
      <c r="Y770" s="437">
        <f t="shared" si="399"/>
        <v>22</v>
      </c>
      <c r="Z770" s="437">
        <f t="shared" si="400"/>
        <v>65</v>
      </c>
      <c r="AA770" s="437">
        <f t="shared" si="401"/>
        <v>3</v>
      </c>
      <c r="AB770" s="584">
        <f t="shared" si="402"/>
        <v>0</v>
      </c>
      <c r="AC770" s="434"/>
    </row>
    <row r="771" spans="5:29">
      <c r="E771" s="598"/>
      <c r="F771" s="699"/>
      <c r="G771" s="700"/>
      <c r="H771" s="598"/>
      <c r="I771" s="598"/>
      <c r="J771" s="598"/>
      <c r="K771" s="598"/>
      <c r="L771" s="598"/>
      <c r="Q771" s="432">
        <v>46082</v>
      </c>
      <c r="R771" s="433">
        <v>0.5</v>
      </c>
      <c r="S771" s="434" t="s">
        <v>185</v>
      </c>
      <c r="T771" s="434" t="s">
        <v>775</v>
      </c>
      <c r="U771" s="435">
        <v>2</v>
      </c>
      <c r="V771" s="436" t="str">
        <f t="shared" si="396"/>
        <v>slices</v>
      </c>
      <c r="W771" s="437">
        <f t="shared" si="397"/>
        <v>280</v>
      </c>
      <c r="X771" s="437">
        <f t="shared" si="398"/>
        <v>14</v>
      </c>
      <c r="Y771" s="437">
        <f t="shared" si="399"/>
        <v>10</v>
      </c>
      <c r="Z771" s="437">
        <f t="shared" si="400"/>
        <v>32</v>
      </c>
      <c r="AA771" s="437">
        <f t="shared" si="401"/>
        <v>2</v>
      </c>
      <c r="AB771" s="584">
        <f t="shared" si="402"/>
        <v>0</v>
      </c>
      <c r="AC771" s="434"/>
    </row>
    <row r="772" spans="5:29">
      <c r="E772" s="598"/>
      <c r="F772" s="699"/>
      <c r="G772" s="700"/>
      <c r="H772" s="598"/>
      <c r="I772" s="598"/>
      <c r="J772" s="598"/>
      <c r="K772" s="598"/>
      <c r="L772" s="598"/>
      <c r="Q772" s="432">
        <v>46082</v>
      </c>
      <c r="R772" s="433">
        <v>0.5</v>
      </c>
      <c r="S772" s="434" t="s">
        <v>185</v>
      </c>
      <c r="T772" s="434" t="s">
        <v>777</v>
      </c>
      <c r="U772" s="435">
        <v>1</v>
      </c>
      <c r="V772" s="436" t="str">
        <f t="shared" si="396"/>
        <v>slices</v>
      </c>
      <c r="W772" s="437">
        <f t="shared" si="397"/>
        <v>120</v>
      </c>
      <c r="X772" s="437">
        <f t="shared" si="398"/>
        <v>6</v>
      </c>
      <c r="Y772" s="437">
        <f t="shared" si="399"/>
        <v>5</v>
      </c>
      <c r="Z772" s="437">
        <f t="shared" si="400"/>
        <v>13</v>
      </c>
      <c r="AA772" s="437">
        <f t="shared" si="401"/>
        <v>1</v>
      </c>
      <c r="AB772" s="584">
        <f t="shared" si="402"/>
        <v>0</v>
      </c>
      <c r="AC772" s="434"/>
    </row>
    <row r="773" spans="5:29">
      <c r="E773" s="598"/>
      <c r="F773" s="699"/>
      <c r="G773" s="700"/>
      <c r="H773" s="598"/>
      <c r="I773" s="598"/>
      <c r="J773" s="598"/>
      <c r="K773" s="598"/>
      <c r="L773" s="598"/>
      <c r="Q773" s="432">
        <v>46082</v>
      </c>
      <c r="R773" s="433">
        <v>0.625</v>
      </c>
      <c r="S773" s="434" t="s">
        <v>185</v>
      </c>
      <c r="T773" s="434" t="s">
        <v>295</v>
      </c>
      <c r="U773" s="435">
        <v>1</v>
      </c>
      <c r="V773" s="436" t="str">
        <f t="shared" si="396"/>
        <v>bottle</v>
      </c>
      <c r="W773" s="437">
        <f t="shared" si="397"/>
        <v>200</v>
      </c>
      <c r="X773" s="437">
        <f t="shared" si="398"/>
        <v>35</v>
      </c>
      <c r="Y773" s="437">
        <f t="shared" si="399"/>
        <v>2.5</v>
      </c>
      <c r="Z773" s="437">
        <f t="shared" si="400"/>
        <v>9</v>
      </c>
      <c r="AA773" s="437">
        <f t="shared" si="401"/>
        <v>0</v>
      </c>
      <c r="AB773" s="584">
        <f t="shared" si="402"/>
        <v>0</v>
      </c>
      <c r="AC773" s="434"/>
    </row>
    <row r="774" spans="5:29">
      <c r="E774" s="598"/>
      <c r="F774" s="699"/>
      <c r="G774" s="700"/>
      <c r="H774" s="598"/>
      <c r="I774" s="598"/>
      <c r="J774" s="598"/>
      <c r="K774" s="598"/>
      <c r="L774" s="598"/>
      <c r="Q774" s="432">
        <v>46082</v>
      </c>
      <c r="R774" s="433">
        <v>0.66666666666666696</v>
      </c>
      <c r="S774" s="434" t="s">
        <v>185</v>
      </c>
      <c r="T774" s="434" t="s">
        <v>775</v>
      </c>
      <c r="U774" s="435">
        <v>1</v>
      </c>
      <c r="V774" s="436" t="str">
        <f t="shared" si="396"/>
        <v>slices</v>
      </c>
      <c r="W774" s="437">
        <f t="shared" si="397"/>
        <v>140</v>
      </c>
      <c r="X774" s="437">
        <f t="shared" si="398"/>
        <v>7</v>
      </c>
      <c r="Y774" s="437">
        <f t="shared" si="399"/>
        <v>5</v>
      </c>
      <c r="Z774" s="437">
        <f t="shared" si="400"/>
        <v>16</v>
      </c>
      <c r="AA774" s="437">
        <f t="shared" si="401"/>
        <v>1</v>
      </c>
      <c r="AB774" s="584">
        <f t="shared" si="402"/>
        <v>0</v>
      </c>
      <c r="AC774" s="434"/>
    </row>
    <row r="775" spans="5:29">
      <c r="E775" s="598"/>
      <c r="F775" s="699"/>
      <c r="G775" s="700"/>
      <c r="H775" s="598"/>
      <c r="I775" s="598"/>
      <c r="J775" s="598"/>
      <c r="K775" s="598"/>
      <c r="L775" s="598"/>
      <c r="Q775" s="432">
        <v>46082</v>
      </c>
      <c r="R775" s="433">
        <v>0.66666666666666696</v>
      </c>
      <c r="S775" s="434" t="s">
        <v>185</v>
      </c>
      <c r="T775" s="434" t="s">
        <v>176</v>
      </c>
      <c r="U775" s="435">
        <v>76</v>
      </c>
      <c r="V775" s="436" t="str">
        <f t="shared" si="396"/>
        <v>g</v>
      </c>
      <c r="W775" s="437">
        <f t="shared" si="397"/>
        <v>125.4</v>
      </c>
      <c r="X775" s="437">
        <f t="shared" si="398"/>
        <v>19</v>
      </c>
      <c r="Y775" s="437">
        <f t="shared" si="399"/>
        <v>2.7360000000000002</v>
      </c>
      <c r="Z775" s="437">
        <f t="shared" si="400"/>
        <v>0</v>
      </c>
      <c r="AA775" s="437">
        <f t="shared" si="401"/>
        <v>0</v>
      </c>
      <c r="AB775" s="584">
        <f t="shared" si="402"/>
        <v>0</v>
      </c>
      <c r="AC775" s="434"/>
    </row>
    <row r="776" spans="5:29">
      <c r="E776" s="598"/>
      <c r="F776" s="699"/>
      <c r="G776" s="700"/>
      <c r="H776" s="598"/>
      <c r="I776" s="598"/>
      <c r="J776" s="598"/>
      <c r="K776" s="598"/>
      <c r="L776" s="598"/>
      <c r="Q776" s="432">
        <v>46082</v>
      </c>
      <c r="R776" s="433">
        <v>0.66666666666666696</v>
      </c>
      <c r="S776" s="434" t="s">
        <v>289</v>
      </c>
      <c r="T776" s="434" t="s">
        <v>492</v>
      </c>
      <c r="U776" s="435">
        <v>1</v>
      </c>
      <c r="V776" s="436" t="str">
        <f t="shared" si="396"/>
        <v>pieces</v>
      </c>
      <c r="W776" s="437">
        <f t="shared" si="397"/>
        <v>42.5</v>
      </c>
      <c r="X776" s="437">
        <f t="shared" si="398"/>
        <v>0.5</v>
      </c>
      <c r="Y776" s="437">
        <f t="shared" si="399"/>
        <v>2.5</v>
      </c>
      <c r="Z776" s="437">
        <f t="shared" si="400"/>
        <v>4.75</v>
      </c>
      <c r="AA776" s="437">
        <f t="shared" si="401"/>
        <v>0</v>
      </c>
      <c r="AB776" s="584">
        <f t="shared" si="402"/>
        <v>0</v>
      </c>
      <c r="AC776" s="434"/>
    </row>
    <row r="777" spans="5:29">
      <c r="E777" s="598"/>
      <c r="F777" s="699"/>
      <c r="G777" s="700"/>
      <c r="H777" s="598"/>
      <c r="I777" s="598"/>
      <c r="J777" s="598"/>
      <c r="K777" s="598"/>
      <c r="L777" s="598"/>
      <c r="Q777" s="432">
        <v>46082</v>
      </c>
      <c r="R777" s="433">
        <v>0.83333333333333337</v>
      </c>
      <c r="S777" s="434" t="s">
        <v>199</v>
      </c>
      <c r="T777" s="434" t="s">
        <v>753</v>
      </c>
      <c r="U777" s="435">
        <v>169</v>
      </c>
      <c r="V777" s="436" t="str">
        <f t="shared" si="396"/>
        <v>g</v>
      </c>
      <c r="W777" s="437">
        <f t="shared" si="397"/>
        <v>219.7</v>
      </c>
      <c r="X777" s="437">
        <f t="shared" si="398"/>
        <v>1.69</v>
      </c>
      <c r="Y777" s="437">
        <f t="shared" si="399"/>
        <v>0</v>
      </c>
      <c r="Z777" s="437">
        <f t="shared" si="400"/>
        <v>52.39</v>
      </c>
      <c r="AA777" s="437">
        <f t="shared" si="401"/>
        <v>5.07</v>
      </c>
      <c r="AB777" s="584">
        <f t="shared" si="402"/>
        <v>0</v>
      </c>
      <c r="AC777" s="434"/>
    </row>
    <row r="778" spans="5:29">
      <c r="E778" s="598"/>
      <c r="F778" s="699"/>
      <c r="G778" s="700"/>
      <c r="H778" s="598"/>
      <c r="I778" s="598"/>
      <c r="J778" s="598"/>
      <c r="K778" s="598"/>
      <c r="L778" s="598"/>
      <c r="Q778" s="432">
        <v>46082</v>
      </c>
      <c r="R778" s="433">
        <v>0.83333333333333337</v>
      </c>
      <c r="S778" s="434" t="s">
        <v>199</v>
      </c>
      <c r="T778" s="434" t="s">
        <v>176</v>
      </c>
      <c r="U778" s="435">
        <v>220</v>
      </c>
      <c r="V778" s="436" t="str">
        <f t="shared" si="396"/>
        <v>g</v>
      </c>
      <c r="W778" s="437">
        <f t="shared" si="397"/>
        <v>363.00000000000006</v>
      </c>
      <c r="X778" s="437">
        <f t="shared" si="398"/>
        <v>55.000000000000007</v>
      </c>
      <c r="Y778" s="437">
        <f t="shared" si="399"/>
        <v>7.9200000000000008</v>
      </c>
      <c r="Z778" s="437">
        <f t="shared" si="400"/>
        <v>0</v>
      </c>
      <c r="AA778" s="437">
        <f t="shared" si="401"/>
        <v>0</v>
      </c>
      <c r="AB778" s="584">
        <f t="shared" si="402"/>
        <v>0</v>
      </c>
      <c r="AC778" s="434"/>
    </row>
    <row r="779" spans="5:29">
      <c r="E779" s="598"/>
      <c r="F779" s="699"/>
      <c r="G779" s="700"/>
      <c r="H779" s="598"/>
      <c r="I779" s="598"/>
      <c r="J779" s="598"/>
      <c r="K779" s="598"/>
      <c r="L779" s="598"/>
      <c r="Q779" s="432">
        <v>46082</v>
      </c>
      <c r="R779" s="433">
        <v>0.83333333333333337</v>
      </c>
      <c r="S779" s="434" t="s">
        <v>199</v>
      </c>
      <c r="T779" s="434" t="s">
        <v>816</v>
      </c>
      <c r="U779" s="435">
        <v>140</v>
      </c>
      <c r="V779" s="436" t="str">
        <f t="shared" si="396"/>
        <v>g</v>
      </c>
      <c r="W779" s="437">
        <f t="shared" si="397"/>
        <v>303.79999999999995</v>
      </c>
      <c r="X779" s="437">
        <f t="shared" si="398"/>
        <v>36.4</v>
      </c>
      <c r="Y779" s="437">
        <f t="shared" si="399"/>
        <v>16.799999999999997</v>
      </c>
      <c r="Z779" s="437">
        <f t="shared" si="400"/>
        <v>0</v>
      </c>
      <c r="AA779" s="437">
        <f t="shared" si="401"/>
        <v>0</v>
      </c>
      <c r="AB779" s="584">
        <f t="shared" si="402"/>
        <v>0</v>
      </c>
      <c r="AC779" s="434"/>
    </row>
    <row r="780" spans="5:29">
      <c r="E780" s="598"/>
      <c r="F780" s="699"/>
      <c r="G780" s="700"/>
      <c r="H780" s="598"/>
      <c r="I780" s="598"/>
      <c r="J780" s="598"/>
      <c r="K780" s="598"/>
      <c r="L780" s="598"/>
      <c r="Q780" s="432">
        <v>46082</v>
      </c>
      <c r="R780" s="433">
        <v>0.83333333333333337</v>
      </c>
      <c r="S780" s="434" t="s">
        <v>199</v>
      </c>
      <c r="T780" s="434" t="s">
        <v>778</v>
      </c>
      <c r="U780" s="435">
        <v>1</v>
      </c>
      <c r="V780" s="436" t="str">
        <f t="shared" si="396"/>
        <v>can</v>
      </c>
      <c r="W780" s="437">
        <f t="shared" si="397"/>
        <v>0</v>
      </c>
      <c r="X780" s="437">
        <f t="shared" si="398"/>
        <v>0</v>
      </c>
      <c r="Y780" s="437">
        <f t="shared" si="399"/>
        <v>0</v>
      </c>
      <c r="Z780" s="437">
        <f t="shared" si="400"/>
        <v>1</v>
      </c>
      <c r="AA780" s="437">
        <f t="shared" si="401"/>
        <v>0</v>
      </c>
      <c r="AB780" s="584">
        <f t="shared" si="402"/>
        <v>0</v>
      </c>
      <c r="AC780" s="434"/>
    </row>
    <row r="781" spans="5:29">
      <c r="E781" s="598"/>
      <c r="F781" s="699"/>
      <c r="G781" s="700"/>
      <c r="H781" s="598"/>
      <c r="I781" s="598"/>
      <c r="J781" s="598"/>
      <c r="K781" s="598"/>
      <c r="L781" s="598"/>
      <c r="Q781" s="432">
        <v>46082</v>
      </c>
      <c r="R781" s="433">
        <v>0.91666666666666663</v>
      </c>
      <c r="S781" s="434" t="s">
        <v>199</v>
      </c>
      <c r="T781" s="434" t="s">
        <v>209</v>
      </c>
      <c r="U781" s="435">
        <v>3</v>
      </c>
      <c r="V781" s="436" t="str">
        <f t="shared" si="396"/>
        <v>tbsp</v>
      </c>
      <c r="W781" s="437">
        <f t="shared" si="397"/>
        <v>60</v>
      </c>
      <c r="X781" s="437">
        <f t="shared" si="398"/>
        <v>0</v>
      </c>
      <c r="Y781" s="437">
        <f t="shared" si="399"/>
        <v>0</v>
      </c>
      <c r="Z781" s="437">
        <f t="shared" si="400"/>
        <v>15</v>
      </c>
      <c r="AA781" s="437">
        <f t="shared" si="401"/>
        <v>13.5</v>
      </c>
      <c r="AB781" s="584">
        <f t="shared" si="402"/>
        <v>0</v>
      </c>
      <c r="AC781" s="434"/>
    </row>
    <row r="782" spans="5:29">
      <c r="E782" s="598"/>
      <c r="F782" s="699"/>
      <c r="G782" s="700"/>
      <c r="H782" s="598"/>
      <c r="I782" s="598"/>
      <c r="J782" s="598"/>
      <c r="K782" s="598"/>
      <c r="L782" s="598"/>
      <c r="Q782" s="432">
        <v>46082</v>
      </c>
      <c r="R782" s="433">
        <v>0.91666666666666663</v>
      </c>
      <c r="S782" s="434" t="s">
        <v>199</v>
      </c>
      <c r="T782" s="434" t="s">
        <v>212</v>
      </c>
      <c r="U782" s="435">
        <v>1</v>
      </c>
      <c r="V782" s="436" t="str">
        <f t="shared" si="396"/>
        <v>bottle</v>
      </c>
      <c r="W782" s="437">
        <f t="shared" si="397"/>
        <v>70</v>
      </c>
      <c r="X782" s="437">
        <f t="shared" si="398"/>
        <v>0</v>
      </c>
      <c r="Y782" s="437">
        <f t="shared" si="399"/>
        <v>0</v>
      </c>
      <c r="Z782" s="437">
        <f t="shared" si="400"/>
        <v>17</v>
      </c>
      <c r="AA782" s="437">
        <f t="shared" si="401"/>
        <v>1</v>
      </c>
      <c r="AB782" s="684">
        <f t="shared" si="402"/>
        <v>0</v>
      </c>
      <c r="AC782" s="434"/>
    </row>
    <row r="783" spans="5:29">
      <c r="E783" s="598"/>
      <c r="F783" s="699"/>
      <c r="G783" s="700"/>
      <c r="H783" s="598"/>
      <c r="I783" s="598"/>
      <c r="J783" s="598"/>
      <c r="K783" s="598"/>
      <c r="L783" s="598"/>
      <c r="Q783" s="438"/>
      <c r="R783" s="439" t="s">
        <v>217</v>
      </c>
      <c r="S783" s="440"/>
      <c r="T783" s="441"/>
      <c r="U783" s="441"/>
      <c r="V783" s="442"/>
      <c r="W783" s="443">
        <f t="shared" ref="W783:AB783" si="403">SUM(W768:W782)</f>
        <v>2824.4000000000005</v>
      </c>
      <c r="X783" s="443">
        <f t="shared" si="403"/>
        <v>208.59</v>
      </c>
      <c r="Y783" s="443">
        <f t="shared" si="403"/>
        <v>84.455999999999989</v>
      </c>
      <c r="Z783" s="443">
        <f t="shared" si="403"/>
        <v>279.14</v>
      </c>
      <c r="AA783" s="685">
        <f t="shared" si="403"/>
        <v>26.57</v>
      </c>
      <c r="AB783" s="691">
        <f t="shared" si="403"/>
        <v>0</v>
      </c>
      <c r="AC783" s="439"/>
    </row>
    <row r="784" spans="5:29">
      <c r="E784" s="598"/>
      <c r="F784" s="699"/>
      <c r="G784" s="700"/>
      <c r="H784" s="598"/>
      <c r="I784" s="598"/>
      <c r="J784" s="598"/>
      <c r="K784" s="598"/>
      <c r="L784" s="598"/>
      <c r="Q784" s="438"/>
      <c r="R784" s="439" t="s">
        <v>220</v>
      </c>
      <c r="S784" s="440"/>
      <c r="T784" s="441"/>
      <c r="U784" s="441"/>
      <c r="V784" s="442"/>
      <c r="W784" s="444">
        <f>$B$27</f>
        <v>2834.5625</v>
      </c>
      <c r="X784" s="444">
        <f>$B$29</f>
        <v>154</v>
      </c>
      <c r="Y784" s="444">
        <f>$B$30</f>
        <v>63.91</v>
      </c>
      <c r="Z784" s="444">
        <f>$B$31</f>
        <v>410.84312499999999</v>
      </c>
      <c r="AA784" s="692">
        <f>$B$32</f>
        <v>39.683875</v>
      </c>
      <c r="AB784" s="695">
        <f>$B$39</f>
        <v>500</v>
      </c>
      <c r="AC784" s="439"/>
    </row>
    <row r="785" spans="5:29">
      <c r="E785" s="598"/>
      <c r="F785" s="699"/>
      <c r="G785" s="700"/>
      <c r="H785" s="598"/>
      <c r="I785" s="598"/>
      <c r="J785" s="598"/>
      <c r="K785" s="598"/>
      <c r="L785" s="598"/>
      <c r="Q785" s="438"/>
      <c r="R785" s="439" t="s">
        <v>222</v>
      </c>
      <c r="S785" s="440"/>
      <c r="T785" s="441"/>
      <c r="U785" s="441"/>
      <c r="V785" s="442"/>
      <c r="W785" s="284">
        <f t="shared" ref="W785:AB785" si="404">W783-W784</f>
        <v>-10.162499999999454</v>
      </c>
      <c r="X785" s="284">
        <f t="shared" si="404"/>
        <v>54.59</v>
      </c>
      <c r="Y785" s="284">
        <f t="shared" si="404"/>
        <v>20.545999999999992</v>
      </c>
      <c r="Z785" s="284">
        <f t="shared" si="404"/>
        <v>-131.703125</v>
      </c>
      <c r="AA785" s="690">
        <f t="shared" si="404"/>
        <v>-13.113875</v>
      </c>
      <c r="AB785" s="689">
        <f t="shared" si="404"/>
        <v>-500</v>
      </c>
      <c r="AC785" s="439"/>
    </row>
    <row r="786" spans="5:29">
      <c r="E786" s="598"/>
      <c r="F786" s="699"/>
      <c r="G786" s="700"/>
      <c r="H786" s="598"/>
      <c r="I786" s="598"/>
      <c r="J786" s="598"/>
      <c r="K786" s="598"/>
      <c r="L786" s="598"/>
      <c r="Q786" s="432">
        <v>46083</v>
      </c>
      <c r="R786" s="433">
        <v>0.375</v>
      </c>
      <c r="S786" s="434" t="s">
        <v>178</v>
      </c>
      <c r="T786" s="434" t="s">
        <v>295</v>
      </c>
      <c r="U786" s="435">
        <v>1</v>
      </c>
      <c r="V786" s="436" t="str">
        <f t="shared" ref="V786:V797" si="405">IFERROR(VLOOKUP(T786, $E$5:$L$818, 3, FALSE), "")</f>
        <v>bottle</v>
      </c>
      <c r="W786" s="437">
        <f t="shared" ref="W786:W797" si="406">IFERROR(VLOOKUP(T786, $E$5:$L$818, 4, FALSE) * (U786 / VLOOKUP(T786, $E$5:$L$818, 2, FALSE)), "")</f>
        <v>200</v>
      </c>
      <c r="X786" s="437">
        <f t="shared" ref="X786:X797" si="407">IFERROR(VLOOKUP(T786, $E$5:$L$818, 5, FALSE) * (U786 / VLOOKUP(T786, $E$5:$L$818, 2, FALSE)), "")</f>
        <v>35</v>
      </c>
      <c r="Y786" s="437">
        <f t="shared" ref="Y786:Y797" si="408">IFERROR(VLOOKUP(T786, $E$5:$L$818, 6, FALSE) * (U786 / VLOOKUP(T786, $E$5:$L$818, 2, FALSE)), "")</f>
        <v>2.5</v>
      </c>
      <c r="Z786" s="437">
        <f t="shared" ref="Z786:Z797" si="409">IFERROR(VLOOKUP(T786, $E$5:$L$818, 7, FALSE) * (U786 / VLOOKUP(T786, $E$5:$L$818, 2, FALSE)), "")</f>
        <v>9</v>
      </c>
      <c r="AA786" s="437">
        <f t="shared" ref="AA786:AA797" si="410">IFERROR(VLOOKUP(T786, $E$5:$L$818, 8, FALSE) * (U786 / VLOOKUP(T786, $E$5:$L$818, 2, FALSE)), "")</f>
        <v>0</v>
      </c>
      <c r="AB786" s="674">
        <f t="shared" ref="AB786:AB797" si="411">IFERROR(VLOOKUP(T786, $E$5:$O$818, 9, FALSE) * (U786 / VLOOKUP(T786, $E$5:$O$818, 2, FALSE)), "")</f>
        <v>0</v>
      </c>
      <c r="AC786" s="434"/>
    </row>
    <row r="787" spans="5:29">
      <c r="E787" s="598"/>
      <c r="F787" s="699"/>
      <c r="G787" s="700"/>
      <c r="H787" s="598"/>
      <c r="I787" s="598"/>
      <c r="J787" s="598"/>
      <c r="K787" s="598"/>
      <c r="L787" s="598"/>
      <c r="Q787" s="432">
        <v>46083</v>
      </c>
      <c r="R787" s="433">
        <v>0.375</v>
      </c>
      <c r="S787" s="434" t="s">
        <v>289</v>
      </c>
      <c r="T787" s="434" t="s">
        <v>214</v>
      </c>
      <c r="U787" s="435">
        <v>1</v>
      </c>
      <c r="V787" s="436" t="str">
        <f t="shared" si="405"/>
        <v>bar</v>
      </c>
      <c r="W787" s="437">
        <f t="shared" si="406"/>
        <v>67</v>
      </c>
      <c r="X787" s="437">
        <f t="shared" si="407"/>
        <v>1</v>
      </c>
      <c r="Y787" s="437">
        <f t="shared" si="408"/>
        <v>3.5</v>
      </c>
      <c r="Z787" s="437">
        <f t="shared" si="409"/>
        <v>22</v>
      </c>
      <c r="AA787" s="437">
        <f t="shared" si="410"/>
        <v>0.3</v>
      </c>
      <c r="AB787" s="584">
        <f t="shared" si="411"/>
        <v>0</v>
      </c>
      <c r="AC787" s="434"/>
    </row>
    <row r="788" spans="5:29">
      <c r="E788" s="598"/>
      <c r="F788" s="699"/>
      <c r="G788" s="700"/>
      <c r="H788" s="598"/>
      <c r="I788" s="598"/>
      <c r="J788" s="598"/>
      <c r="K788" s="598"/>
      <c r="L788" s="598"/>
      <c r="Q788" s="432">
        <v>46083</v>
      </c>
      <c r="R788" s="433">
        <v>0.45833333333333331</v>
      </c>
      <c r="S788" s="434" t="s">
        <v>289</v>
      </c>
      <c r="T788" s="434" t="s">
        <v>464</v>
      </c>
      <c r="U788" s="435">
        <v>1</v>
      </c>
      <c r="V788" s="436" t="str">
        <f t="shared" si="405"/>
        <v>lozenge</v>
      </c>
      <c r="W788" s="437">
        <f t="shared" si="406"/>
        <v>10</v>
      </c>
      <c r="X788" s="437">
        <f t="shared" si="407"/>
        <v>0</v>
      </c>
      <c r="Y788" s="437">
        <f t="shared" si="408"/>
        <v>0</v>
      </c>
      <c r="Z788" s="437">
        <f t="shared" si="409"/>
        <v>3</v>
      </c>
      <c r="AA788" s="437">
        <f t="shared" si="410"/>
        <v>0</v>
      </c>
      <c r="AB788" s="584">
        <f t="shared" si="411"/>
        <v>0</v>
      </c>
      <c r="AC788" s="434"/>
    </row>
    <row r="789" spans="5:29">
      <c r="E789" s="598"/>
      <c r="F789" s="699"/>
      <c r="G789" s="700"/>
      <c r="H789" s="598"/>
      <c r="I789" s="598"/>
      <c r="J789" s="598"/>
      <c r="K789" s="598"/>
      <c r="L789" s="598"/>
      <c r="Q789" s="432">
        <v>46083</v>
      </c>
      <c r="R789" s="433">
        <v>0.5</v>
      </c>
      <c r="S789" s="434" t="s">
        <v>289</v>
      </c>
      <c r="T789" s="434" t="s">
        <v>214</v>
      </c>
      <c r="U789" s="435">
        <v>1</v>
      </c>
      <c r="V789" s="436" t="str">
        <f t="shared" si="405"/>
        <v>bar</v>
      </c>
      <c r="W789" s="437">
        <f t="shared" si="406"/>
        <v>67</v>
      </c>
      <c r="X789" s="437">
        <f t="shared" si="407"/>
        <v>1</v>
      </c>
      <c r="Y789" s="437">
        <f t="shared" si="408"/>
        <v>3.5</v>
      </c>
      <c r="Z789" s="437">
        <f t="shared" si="409"/>
        <v>22</v>
      </c>
      <c r="AA789" s="437">
        <f t="shared" si="410"/>
        <v>0.3</v>
      </c>
      <c r="AB789" s="584">
        <f t="shared" si="411"/>
        <v>0</v>
      </c>
      <c r="AC789" s="434"/>
    </row>
    <row r="790" spans="5:29">
      <c r="E790" s="598"/>
      <c r="F790" s="699"/>
      <c r="G790" s="700"/>
      <c r="H790" s="598"/>
      <c r="I790" s="598"/>
      <c r="J790" s="598"/>
      <c r="K790" s="598"/>
      <c r="L790" s="598"/>
      <c r="Q790" s="432">
        <v>46083</v>
      </c>
      <c r="R790" s="433">
        <v>0.54166666666666663</v>
      </c>
      <c r="S790" s="434" t="s">
        <v>185</v>
      </c>
      <c r="T790" s="434" t="s">
        <v>616</v>
      </c>
      <c r="U790" s="435">
        <v>1</v>
      </c>
      <c r="V790" s="436" t="str">
        <f t="shared" si="405"/>
        <v>meal</v>
      </c>
      <c r="W790" s="437">
        <f t="shared" si="406"/>
        <v>880</v>
      </c>
      <c r="X790" s="437">
        <f t="shared" si="407"/>
        <v>78</v>
      </c>
      <c r="Y790" s="437">
        <f t="shared" si="408"/>
        <v>28</v>
      </c>
      <c r="Z790" s="437">
        <f t="shared" si="409"/>
        <v>90</v>
      </c>
      <c r="AA790" s="437">
        <f t="shared" si="410"/>
        <v>3</v>
      </c>
      <c r="AB790" s="584">
        <f t="shared" si="411"/>
        <v>0</v>
      </c>
      <c r="AC790" s="434"/>
    </row>
    <row r="791" spans="5:29">
      <c r="E791" s="598"/>
      <c r="F791" s="699"/>
      <c r="G791" s="700"/>
      <c r="H791" s="598"/>
      <c r="I791" s="598"/>
      <c r="J791" s="598"/>
      <c r="K791" s="598"/>
      <c r="L791" s="598"/>
      <c r="Q791" s="432">
        <v>46083</v>
      </c>
      <c r="R791" s="433">
        <v>0.54166666666666663</v>
      </c>
      <c r="S791" s="434" t="s">
        <v>185</v>
      </c>
      <c r="T791" s="434" t="s">
        <v>816</v>
      </c>
      <c r="U791" s="435">
        <v>160</v>
      </c>
      <c r="V791" s="436" t="str">
        <f t="shared" si="405"/>
        <v>g</v>
      </c>
      <c r="W791" s="437">
        <f t="shared" si="406"/>
        <v>347.20000000000005</v>
      </c>
      <c r="X791" s="437">
        <f t="shared" si="407"/>
        <v>41.6</v>
      </c>
      <c r="Y791" s="437">
        <f t="shared" si="408"/>
        <v>19.200000000000003</v>
      </c>
      <c r="Z791" s="437">
        <f t="shared" si="409"/>
        <v>0</v>
      </c>
      <c r="AA791" s="437">
        <f t="shared" si="410"/>
        <v>0</v>
      </c>
      <c r="AB791" s="584">
        <f t="shared" si="411"/>
        <v>0</v>
      </c>
      <c r="AC791" s="434"/>
    </row>
    <row r="792" spans="5:29">
      <c r="E792" s="598"/>
      <c r="F792" s="699"/>
      <c r="G792" s="700"/>
      <c r="H792" s="598"/>
      <c r="I792" s="598"/>
      <c r="J792" s="598"/>
      <c r="K792" s="598"/>
      <c r="L792" s="598"/>
      <c r="Q792" s="432">
        <v>46083</v>
      </c>
      <c r="R792" s="433">
        <v>0.58333333333333337</v>
      </c>
      <c r="S792" s="434" t="s">
        <v>289</v>
      </c>
      <c r="T792" s="434" t="s">
        <v>783</v>
      </c>
      <c r="U792" s="435">
        <v>3.5</v>
      </c>
      <c r="V792" s="436" t="str">
        <f t="shared" si="405"/>
        <v>piece</v>
      </c>
      <c r="W792" s="437">
        <f t="shared" si="406"/>
        <v>122.5</v>
      </c>
      <c r="X792" s="437">
        <f t="shared" si="407"/>
        <v>0</v>
      </c>
      <c r="Y792" s="437">
        <f t="shared" si="408"/>
        <v>7</v>
      </c>
      <c r="Z792" s="437">
        <f t="shared" si="409"/>
        <v>14</v>
      </c>
      <c r="AA792" s="437">
        <f t="shared" si="410"/>
        <v>0</v>
      </c>
      <c r="AB792" s="584">
        <f t="shared" si="411"/>
        <v>0</v>
      </c>
      <c r="AC792" s="434"/>
    </row>
    <row r="793" spans="5:29">
      <c r="E793" s="598"/>
      <c r="F793" s="699"/>
      <c r="G793" s="700"/>
      <c r="H793" s="598"/>
      <c r="I793" s="598"/>
      <c r="J793" s="598"/>
      <c r="K793" s="598"/>
      <c r="L793" s="598"/>
      <c r="Q793" s="432">
        <v>46083</v>
      </c>
      <c r="R793" s="433">
        <v>0.66666666666666663</v>
      </c>
      <c r="S793" s="434" t="s">
        <v>289</v>
      </c>
      <c r="T793" s="434" t="s">
        <v>214</v>
      </c>
      <c r="U793" s="435">
        <v>1</v>
      </c>
      <c r="V793" s="436" t="str">
        <f t="shared" si="405"/>
        <v>bar</v>
      </c>
      <c r="W793" s="437">
        <f t="shared" si="406"/>
        <v>67</v>
      </c>
      <c r="X793" s="437">
        <f t="shared" si="407"/>
        <v>1</v>
      </c>
      <c r="Y793" s="437">
        <f t="shared" si="408"/>
        <v>3.5</v>
      </c>
      <c r="Z793" s="437">
        <f t="shared" si="409"/>
        <v>22</v>
      </c>
      <c r="AA793" s="437">
        <f t="shared" si="410"/>
        <v>0.3</v>
      </c>
      <c r="AB793" s="584">
        <f t="shared" si="411"/>
        <v>0</v>
      </c>
      <c r="AC793" s="434"/>
    </row>
    <row r="794" spans="5:29">
      <c r="E794" s="598"/>
      <c r="F794" s="699"/>
      <c r="G794" s="700"/>
      <c r="H794" s="598"/>
      <c r="I794" s="598"/>
      <c r="J794" s="598"/>
      <c r="K794" s="598"/>
      <c r="L794" s="598"/>
      <c r="Q794" s="432">
        <v>46083</v>
      </c>
      <c r="R794" s="433">
        <v>0.875</v>
      </c>
      <c r="S794" s="434" t="s">
        <v>199</v>
      </c>
      <c r="T794" s="434" t="s">
        <v>778</v>
      </c>
      <c r="U794" s="435">
        <v>1</v>
      </c>
      <c r="V794" s="436" t="str">
        <f t="shared" si="405"/>
        <v>can</v>
      </c>
      <c r="W794" s="437">
        <f t="shared" si="406"/>
        <v>0</v>
      </c>
      <c r="X794" s="437">
        <f t="shared" si="407"/>
        <v>0</v>
      </c>
      <c r="Y794" s="437">
        <f t="shared" si="408"/>
        <v>0</v>
      </c>
      <c r="Z794" s="437">
        <f t="shared" si="409"/>
        <v>1</v>
      </c>
      <c r="AA794" s="437">
        <f t="shared" si="410"/>
        <v>0</v>
      </c>
      <c r="AB794" s="584">
        <f t="shared" si="411"/>
        <v>0</v>
      </c>
      <c r="AC794" s="434"/>
    </row>
    <row r="795" spans="5:29">
      <c r="E795" s="598"/>
      <c r="F795" s="699"/>
      <c r="G795" s="700"/>
      <c r="H795" s="598"/>
      <c r="I795" s="598"/>
      <c r="J795" s="598"/>
      <c r="K795" s="598"/>
      <c r="L795" s="598"/>
      <c r="Q795" s="432">
        <v>46083</v>
      </c>
      <c r="R795" s="433">
        <v>0.875</v>
      </c>
      <c r="S795" s="434" t="s">
        <v>199</v>
      </c>
      <c r="T795" s="434" t="s">
        <v>181</v>
      </c>
      <c r="U795" s="435">
        <v>2</v>
      </c>
      <c r="V795" s="436" t="str">
        <f t="shared" si="405"/>
        <v>slice</v>
      </c>
      <c r="W795" s="437">
        <f t="shared" si="406"/>
        <v>140</v>
      </c>
      <c r="X795" s="437">
        <f t="shared" si="407"/>
        <v>5</v>
      </c>
      <c r="Y795" s="437">
        <f t="shared" si="408"/>
        <v>2.5</v>
      </c>
      <c r="Z795" s="437">
        <f t="shared" si="409"/>
        <v>24</v>
      </c>
      <c r="AA795" s="437">
        <f t="shared" si="410"/>
        <v>2</v>
      </c>
      <c r="AB795" s="584">
        <f t="shared" si="411"/>
        <v>0</v>
      </c>
      <c r="AC795" s="434"/>
    </row>
    <row r="796" spans="5:29">
      <c r="E796" s="598"/>
      <c r="F796" s="699"/>
      <c r="G796" s="700"/>
      <c r="H796" s="598"/>
      <c r="I796" s="598"/>
      <c r="J796" s="598"/>
      <c r="K796" s="598"/>
      <c r="L796" s="598"/>
      <c r="Q796" s="432">
        <v>46083</v>
      </c>
      <c r="R796" s="433">
        <v>0.875</v>
      </c>
      <c r="S796" s="434" t="s">
        <v>199</v>
      </c>
      <c r="T796" s="434" t="s">
        <v>374</v>
      </c>
      <c r="U796" s="435">
        <v>3</v>
      </c>
      <c r="V796" s="436" t="str">
        <f t="shared" si="405"/>
        <v>egg</v>
      </c>
      <c r="W796" s="437">
        <f t="shared" si="406"/>
        <v>240</v>
      </c>
      <c r="X796" s="437">
        <f t="shared" si="407"/>
        <v>21</v>
      </c>
      <c r="Y796" s="437">
        <f t="shared" si="408"/>
        <v>18</v>
      </c>
      <c r="Z796" s="437">
        <f t="shared" si="409"/>
        <v>0</v>
      </c>
      <c r="AA796" s="437">
        <f t="shared" si="410"/>
        <v>0</v>
      </c>
      <c r="AB796" s="584">
        <f t="shared" si="411"/>
        <v>120</v>
      </c>
      <c r="AC796" s="434"/>
    </row>
    <row r="797" spans="5:29">
      <c r="E797" s="598"/>
      <c r="F797" s="699"/>
      <c r="G797" s="700"/>
      <c r="H797" s="598"/>
      <c r="I797" s="598"/>
      <c r="J797" s="598"/>
      <c r="K797" s="598"/>
      <c r="L797" s="598"/>
      <c r="Q797" s="432">
        <v>46083</v>
      </c>
      <c r="R797" s="433">
        <v>0.875</v>
      </c>
      <c r="S797" s="434" t="s">
        <v>199</v>
      </c>
      <c r="T797" s="434" t="s">
        <v>816</v>
      </c>
      <c r="U797" s="435">
        <v>150</v>
      </c>
      <c r="V797" s="436" t="str">
        <f t="shared" si="405"/>
        <v>g</v>
      </c>
      <c r="W797" s="437">
        <f t="shared" si="406"/>
        <v>325.5</v>
      </c>
      <c r="X797" s="437">
        <f t="shared" si="407"/>
        <v>39</v>
      </c>
      <c r="Y797" s="437">
        <f t="shared" si="408"/>
        <v>18</v>
      </c>
      <c r="Z797" s="437">
        <f t="shared" si="409"/>
        <v>0</v>
      </c>
      <c r="AA797" s="437">
        <f t="shared" si="410"/>
        <v>0</v>
      </c>
      <c r="AB797" s="684">
        <f t="shared" si="411"/>
        <v>0</v>
      </c>
      <c r="AC797" s="434"/>
    </row>
    <row r="798" spans="5:29">
      <c r="E798" s="598"/>
      <c r="F798" s="699"/>
      <c r="G798" s="700"/>
      <c r="H798" s="598"/>
      <c r="I798" s="598"/>
      <c r="J798" s="598"/>
      <c r="K798" s="598"/>
      <c r="L798" s="598"/>
      <c r="Q798" s="438"/>
      <c r="R798" s="439" t="s">
        <v>217</v>
      </c>
      <c r="S798" s="440"/>
      <c r="T798" s="441"/>
      <c r="U798" s="441"/>
      <c r="V798" s="442"/>
      <c r="W798" s="443">
        <f t="shared" ref="W798:AB798" si="412">SUM(W786:W797)</f>
        <v>2466.1999999999998</v>
      </c>
      <c r="X798" s="443">
        <f t="shared" si="412"/>
        <v>222.6</v>
      </c>
      <c r="Y798" s="443">
        <f t="shared" si="412"/>
        <v>105.7</v>
      </c>
      <c r="Z798" s="443">
        <f t="shared" si="412"/>
        <v>207</v>
      </c>
      <c r="AA798" s="685">
        <f t="shared" si="412"/>
        <v>5.9</v>
      </c>
      <c r="AB798" s="691">
        <f t="shared" si="412"/>
        <v>120</v>
      </c>
      <c r="AC798" s="439"/>
    </row>
    <row r="799" spans="5:29">
      <c r="E799" s="598"/>
      <c r="F799" s="699"/>
      <c r="G799" s="700"/>
      <c r="H799" s="598"/>
      <c r="I799" s="598"/>
      <c r="J799" s="598"/>
      <c r="K799" s="598"/>
      <c r="L799" s="598"/>
      <c r="Q799" s="438"/>
      <c r="R799" s="439" t="s">
        <v>220</v>
      </c>
      <c r="S799" s="440"/>
      <c r="T799" s="441"/>
      <c r="U799" s="441"/>
      <c r="V799" s="442"/>
      <c r="W799" s="444">
        <f>$B$27</f>
        <v>2834.5625</v>
      </c>
      <c r="X799" s="444">
        <f>$B$29</f>
        <v>154</v>
      </c>
      <c r="Y799" s="444">
        <f>$B$30</f>
        <v>63.91</v>
      </c>
      <c r="Z799" s="444">
        <f>$B$31</f>
        <v>410.84312499999999</v>
      </c>
      <c r="AA799" s="692">
        <f>$B$32</f>
        <v>39.683875</v>
      </c>
      <c r="AB799" s="695">
        <f>$B$39</f>
        <v>500</v>
      </c>
      <c r="AC799" s="439"/>
    </row>
    <row r="800" spans="5:29">
      <c r="E800" s="598"/>
      <c r="F800" s="699"/>
      <c r="G800" s="700"/>
      <c r="H800" s="598"/>
      <c r="I800" s="598"/>
      <c r="J800" s="598"/>
      <c r="K800" s="598"/>
      <c r="L800" s="598"/>
      <c r="Q800" s="438"/>
      <c r="R800" s="439" t="s">
        <v>222</v>
      </c>
      <c r="S800" s="440"/>
      <c r="T800" s="441"/>
      <c r="U800" s="441"/>
      <c r="V800" s="442"/>
      <c r="W800" s="284">
        <f t="shared" ref="W800:AB800" si="413">W798-W799</f>
        <v>-368.36250000000018</v>
      </c>
      <c r="X800" s="284">
        <f t="shared" si="413"/>
        <v>68.599999999999994</v>
      </c>
      <c r="Y800" s="284">
        <f t="shared" si="413"/>
        <v>41.790000000000006</v>
      </c>
      <c r="Z800" s="284">
        <f t="shared" si="413"/>
        <v>-203.84312499999999</v>
      </c>
      <c r="AA800" s="690">
        <f t="shared" si="413"/>
        <v>-33.783875000000002</v>
      </c>
      <c r="AB800" s="689">
        <f t="shared" si="413"/>
        <v>-380</v>
      </c>
      <c r="AC800" s="439"/>
    </row>
    <row r="801" spans="5:29">
      <c r="E801" s="598"/>
      <c r="F801" s="699"/>
      <c r="G801" s="700"/>
      <c r="H801" s="598"/>
      <c r="I801" s="598"/>
      <c r="J801" s="598"/>
      <c r="K801" s="598"/>
      <c r="L801" s="598"/>
      <c r="Q801" s="432">
        <v>46084</v>
      </c>
      <c r="R801" s="433">
        <v>0.45833333333333331</v>
      </c>
      <c r="S801" s="434" t="s">
        <v>178</v>
      </c>
      <c r="T801" s="434" t="s">
        <v>753</v>
      </c>
      <c r="U801" s="435">
        <v>210</v>
      </c>
      <c r="V801" s="436" t="str">
        <f t="shared" ref="V801:V814" si="414">IFERROR(VLOOKUP(T801, $E$5:$L$818, 3, FALSE), "")</f>
        <v>g</v>
      </c>
      <c r="W801" s="437">
        <f t="shared" ref="W801:W814" si="415">IFERROR(VLOOKUP(T801, $E$5:$L$818, 4, FALSE) * (U801 / VLOOKUP(T801, $E$5:$L$818, 2, FALSE)), "")</f>
        <v>273</v>
      </c>
      <c r="X801" s="437">
        <f t="shared" ref="X801:X814" si="416">IFERROR(VLOOKUP(T801, $E$5:$L$818, 5, FALSE) * (U801 / VLOOKUP(T801, $E$5:$L$818, 2, FALSE)), "")</f>
        <v>2.1</v>
      </c>
      <c r="Y801" s="437">
        <f t="shared" ref="Y801:Y814" si="417">IFERROR(VLOOKUP(T801, $E$5:$L$818, 6, FALSE) * (U801 / VLOOKUP(T801, $E$5:$L$818, 2, FALSE)), "")</f>
        <v>0</v>
      </c>
      <c r="Z801" s="437">
        <f t="shared" ref="Z801:Z814" si="418">IFERROR(VLOOKUP(T801, $E$5:$L$818, 7, FALSE) * (U801 / VLOOKUP(T801, $E$5:$L$818, 2, FALSE)), "")</f>
        <v>65.100000000000009</v>
      </c>
      <c r="AA801" s="437">
        <f t="shared" ref="AA801:AA814" si="419">IFERROR(VLOOKUP(T801, $E$5:$L$818, 8, FALSE) * (U801 / VLOOKUP(T801, $E$5:$L$818, 2, FALSE)), "")</f>
        <v>6.3000000000000007</v>
      </c>
      <c r="AB801" s="674">
        <f t="shared" ref="AB801:AB814" si="420">IFERROR(VLOOKUP(T801, $E$5:$O$818, 9, FALSE) * (U801 / VLOOKUP(T801, $E$5:$O$818, 2, FALSE)), "")</f>
        <v>0</v>
      </c>
      <c r="AC801" s="434"/>
    </row>
    <row r="802" spans="5:29">
      <c r="E802" s="598"/>
      <c r="F802" s="699"/>
      <c r="G802" s="700"/>
      <c r="H802" s="598"/>
      <c r="I802" s="598"/>
      <c r="J802" s="598"/>
      <c r="K802" s="598"/>
      <c r="L802" s="598"/>
      <c r="Q802" s="432">
        <v>46084</v>
      </c>
      <c r="R802" s="433">
        <v>0.45833333333333331</v>
      </c>
      <c r="S802" s="434" t="s">
        <v>178</v>
      </c>
      <c r="T802" s="434" t="s">
        <v>295</v>
      </c>
      <c r="U802" s="435">
        <v>1</v>
      </c>
      <c r="V802" s="436" t="str">
        <f t="shared" si="414"/>
        <v>bottle</v>
      </c>
      <c r="W802" s="437">
        <f t="shared" si="415"/>
        <v>200</v>
      </c>
      <c r="X802" s="437">
        <f t="shared" si="416"/>
        <v>35</v>
      </c>
      <c r="Y802" s="437">
        <f t="shared" si="417"/>
        <v>2.5</v>
      </c>
      <c r="Z802" s="437">
        <f t="shared" si="418"/>
        <v>9</v>
      </c>
      <c r="AA802" s="437">
        <f t="shared" si="419"/>
        <v>0</v>
      </c>
      <c r="AB802" s="584">
        <f t="shared" si="420"/>
        <v>0</v>
      </c>
      <c r="AC802" s="434"/>
    </row>
    <row r="803" spans="5:29">
      <c r="E803" s="598"/>
      <c r="F803" s="699"/>
      <c r="G803" s="700"/>
      <c r="H803" s="598"/>
      <c r="I803" s="598"/>
      <c r="J803" s="598"/>
      <c r="K803" s="598"/>
      <c r="L803" s="598"/>
      <c r="Q803" s="432">
        <v>46084</v>
      </c>
      <c r="R803" s="433">
        <v>0.45833333333333331</v>
      </c>
      <c r="S803" s="434" t="s">
        <v>289</v>
      </c>
      <c r="T803" s="434" t="s">
        <v>786</v>
      </c>
      <c r="U803" s="435">
        <v>1</v>
      </c>
      <c r="V803" s="436" t="str">
        <f t="shared" si="414"/>
        <v>bottle</v>
      </c>
      <c r="W803" s="437">
        <f t="shared" si="415"/>
        <v>90</v>
      </c>
      <c r="X803" s="437">
        <f t="shared" si="416"/>
        <v>0</v>
      </c>
      <c r="Y803" s="437">
        <f t="shared" si="417"/>
        <v>0</v>
      </c>
      <c r="Z803" s="437">
        <f t="shared" si="418"/>
        <v>22</v>
      </c>
      <c r="AA803" s="437">
        <f t="shared" si="419"/>
        <v>0</v>
      </c>
      <c r="AB803" s="584">
        <f t="shared" si="420"/>
        <v>0</v>
      </c>
      <c r="AC803" s="434"/>
    </row>
    <row r="804" spans="5:29">
      <c r="E804" s="598"/>
      <c r="F804" s="699"/>
      <c r="G804" s="700"/>
      <c r="H804" s="598"/>
      <c r="I804" s="598"/>
      <c r="J804" s="598"/>
      <c r="K804" s="598"/>
      <c r="L804" s="598"/>
      <c r="Q804" s="432">
        <v>46084</v>
      </c>
      <c r="R804" s="433">
        <v>0.625</v>
      </c>
      <c r="S804" s="434" t="s">
        <v>289</v>
      </c>
      <c r="T804" s="434" t="s">
        <v>181</v>
      </c>
      <c r="U804" s="435">
        <v>2</v>
      </c>
      <c r="V804" s="436" t="str">
        <f t="shared" si="414"/>
        <v>slice</v>
      </c>
      <c r="W804" s="437">
        <f t="shared" si="415"/>
        <v>140</v>
      </c>
      <c r="X804" s="437">
        <f t="shared" si="416"/>
        <v>5</v>
      </c>
      <c r="Y804" s="437">
        <f t="shared" si="417"/>
        <v>2.5</v>
      </c>
      <c r="Z804" s="437">
        <f t="shared" si="418"/>
        <v>24</v>
      </c>
      <c r="AA804" s="437">
        <f t="shared" si="419"/>
        <v>2</v>
      </c>
      <c r="AB804" s="584">
        <f t="shared" si="420"/>
        <v>0</v>
      </c>
      <c r="AC804" s="434"/>
    </row>
    <row r="805" spans="5:29">
      <c r="E805" s="598"/>
      <c r="F805" s="699"/>
      <c r="G805" s="700"/>
      <c r="H805" s="598"/>
      <c r="I805" s="598"/>
      <c r="J805" s="598"/>
      <c r="K805" s="598"/>
      <c r="L805" s="598"/>
      <c r="Q805" s="432">
        <v>46084</v>
      </c>
      <c r="R805" s="433">
        <v>0.66666666666666663</v>
      </c>
      <c r="S805" s="434" t="s">
        <v>289</v>
      </c>
      <c r="T805" s="434" t="s">
        <v>181</v>
      </c>
      <c r="U805" s="435">
        <v>2</v>
      </c>
      <c r="V805" s="436" t="str">
        <f t="shared" si="414"/>
        <v>slice</v>
      </c>
      <c r="W805" s="437">
        <f t="shared" si="415"/>
        <v>140</v>
      </c>
      <c r="X805" s="437">
        <f t="shared" si="416"/>
        <v>5</v>
      </c>
      <c r="Y805" s="437">
        <f t="shared" si="417"/>
        <v>2.5</v>
      </c>
      <c r="Z805" s="437">
        <f t="shared" si="418"/>
        <v>24</v>
      </c>
      <c r="AA805" s="437">
        <f t="shared" si="419"/>
        <v>2</v>
      </c>
      <c r="AB805" s="584">
        <f t="shared" si="420"/>
        <v>0</v>
      </c>
      <c r="AC805" s="434"/>
    </row>
    <row r="806" spans="5:29">
      <c r="E806" s="598"/>
      <c r="F806" s="699"/>
      <c r="G806" s="700"/>
      <c r="H806" s="598"/>
      <c r="I806" s="598"/>
      <c r="J806" s="598"/>
      <c r="K806" s="598"/>
      <c r="L806" s="598"/>
      <c r="Q806" s="432">
        <v>46084</v>
      </c>
      <c r="R806" s="433">
        <v>0.75</v>
      </c>
      <c r="S806" s="434" t="s">
        <v>289</v>
      </c>
      <c r="T806" s="434" t="s">
        <v>219</v>
      </c>
      <c r="U806" s="435">
        <v>1</v>
      </c>
      <c r="V806" s="436" t="str">
        <f t="shared" si="414"/>
        <v>bottle</v>
      </c>
      <c r="W806" s="437">
        <f t="shared" si="415"/>
        <v>0</v>
      </c>
      <c r="X806" s="437">
        <f t="shared" si="416"/>
        <v>0</v>
      </c>
      <c r="Y806" s="437">
        <f t="shared" si="417"/>
        <v>0</v>
      </c>
      <c r="Z806" s="437">
        <f t="shared" si="418"/>
        <v>0</v>
      </c>
      <c r="AA806" s="437">
        <f t="shared" si="419"/>
        <v>0</v>
      </c>
      <c r="AB806" s="584">
        <f t="shared" si="420"/>
        <v>0</v>
      </c>
      <c r="AC806" s="434"/>
    </row>
    <row r="807" spans="5:29">
      <c r="E807" s="598"/>
      <c r="F807" s="699"/>
      <c r="G807" s="700"/>
      <c r="H807" s="598"/>
      <c r="I807" s="598"/>
      <c r="J807" s="598"/>
      <c r="K807" s="598"/>
      <c r="L807" s="598"/>
      <c r="Q807" s="432">
        <v>46084</v>
      </c>
      <c r="R807" s="433">
        <v>0.79166666666666663</v>
      </c>
      <c r="S807" s="434" t="s">
        <v>289</v>
      </c>
      <c r="T807" s="434" t="s">
        <v>214</v>
      </c>
      <c r="U807" s="435">
        <v>1</v>
      </c>
      <c r="V807" s="436" t="str">
        <f t="shared" si="414"/>
        <v>bar</v>
      </c>
      <c r="W807" s="437">
        <f t="shared" si="415"/>
        <v>67</v>
      </c>
      <c r="X807" s="437">
        <f t="shared" si="416"/>
        <v>1</v>
      </c>
      <c r="Y807" s="437">
        <f t="shared" si="417"/>
        <v>3.5</v>
      </c>
      <c r="Z807" s="437">
        <f t="shared" si="418"/>
        <v>22</v>
      </c>
      <c r="AA807" s="437">
        <f t="shared" si="419"/>
        <v>0.3</v>
      </c>
      <c r="AB807" s="584">
        <f t="shared" si="420"/>
        <v>0</v>
      </c>
      <c r="AC807" s="434"/>
    </row>
    <row r="808" spans="5:29">
      <c r="E808" s="598"/>
      <c r="F808" s="699"/>
      <c r="G808" s="700"/>
      <c r="H808" s="598"/>
      <c r="I808" s="598"/>
      <c r="J808" s="598"/>
      <c r="K808" s="598"/>
      <c r="L808" s="598"/>
      <c r="Q808" s="432">
        <v>46084</v>
      </c>
      <c r="R808" s="433">
        <v>0.79166666666666663</v>
      </c>
      <c r="S808" s="434" t="s">
        <v>199</v>
      </c>
      <c r="T808" s="434" t="s">
        <v>176</v>
      </c>
      <c r="U808" s="435">
        <v>420</v>
      </c>
      <c r="V808" s="436" t="str">
        <f t="shared" si="414"/>
        <v>g</v>
      </c>
      <c r="W808" s="437">
        <f t="shared" si="415"/>
        <v>693</v>
      </c>
      <c r="X808" s="437">
        <f t="shared" si="416"/>
        <v>105</v>
      </c>
      <c r="Y808" s="437">
        <f t="shared" si="417"/>
        <v>15.120000000000001</v>
      </c>
      <c r="Z808" s="437">
        <f t="shared" si="418"/>
        <v>0</v>
      </c>
      <c r="AA808" s="437">
        <f t="shared" si="419"/>
        <v>0</v>
      </c>
      <c r="AB808" s="584">
        <f t="shared" si="420"/>
        <v>0</v>
      </c>
      <c r="AC808" s="434"/>
    </row>
    <row r="809" spans="5:29">
      <c r="E809" s="598"/>
      <c r="F809" s="699"/>
      <c r="G809" s="700"/>
      <c r="H809" s="598"/>
      <c r="I809" s="598"/>
      <c r="J809" s="598"/>
      <c r="K809" s="598"/>
      <c r="L809" s="598"/>
      <c r="Q809" s="432">
        <v>46084</v>
      </c>
      <c r="R809" s="433">
        <v>0.79166666666666663</v>
      </c>
      <c r="S809" s="434" t="s">
        <v>199</v>
      </c>
      <c r="T809" s="434" t="s">
        <v>753</v>
      </c>
      <c r="U809" s="435">
        <v>215</v>
      </c>
      <c r="V809" s="436" t="str">
        <f t="shared" si="414"/>
        <v>g</v>
      </c>
      <c r="W809" s="437">
        <f t="shared" si="415"/>
        <v>279.5</v>
      </c>
      <c r="X809" s="437">
        <f t="shared" si="416"/>
        <v>2.15</v>
      </c>
      <c r="Y809" s="437">
        <f t="shared" si="417"/>
        <v>0</v>
      </c>
      <c r="Z809" s="437">
        <f t="shared" si="418"/>
        <v>66.649999999999991</v>
      </c>
      <c r="AA809" s="437">
        <f t="shared" si="419"/>
        <v>6.4499999999999993</v>
      </c>
      <c r="AB809" s="584">
        <f t="shared" si="420"/>
        <v>0</v>
      </c>
      <c r="AC809" s="434"/>
    </row>
    <row r="810" spans="5:29">
      <c r="E810" s="598"/>
      <c r="F810" s="699"/>
      <c r="G810" s="700"/>
      <c r="H810" s="598"/>
      <c r="I810" s="598"/>
      <c r="J810" s="598"/>
      <c r="K810" s="598"/>
      <c r="L810" s="598"/>
      <c r="Q810" s="432">
        <v>46084</v>
      </c>
      <c r="R810" s="433">
        <v>0.83333333333333337</v>
      </c>
      <c r="S810" s="434" t="s">
        <v>199</v>
      </c>
      <c r="T810" s="434" t="s">
        <v>787</v>
      </c>
      <c r="U810" s="435">
        <v>1</v>
      </c>
      <c r="V810" s="436" t="str">
        <f t="shared" si="414"/>
        <v>can</v>
      </c>
      <c r="W810" s="437">
        <f t="shared" si="415"/>
        <v>0</v>
      </c>
      <c r="X810" s="437">
        <f t="shared" si="416"/>
        <v>0</v>
      </c>
      <c r="Y810" s="437">
        <f t="shared" si="417"/>
        <v>0</v>
      </c>
      <c r="Z810" s="437">
        <f t="shared" si="418"/>
        <v>1</v>
      </c>
      <c r="AA810" s="437">
        <f t="shared" si="419"/>
        <v>0</v>
      </c>
      <c r="AB810" s="584">
        <f t="shared" si="420"/>
        <v>0</v>
      </c>
      <c r="AC810" s="434"/>
    </row>
    <row r="811" spans="5:29">
      <c r="E811" s="598"/>
      <c r="F811" s="699"/>
      <c r="G811" s="700"/>
      <c r="H811" s="598"/>
      <c r="I811" s="598"/>
      <c r="J811" s="598"/>
      <c r="K811" s="598"/>
      <c r="L811" s="598"/>
      <c r="Q811" s="432">
        <v>46084</v>
      </c>
      <c r="R811" s="433">
        <v>0.875</v>
      </c>
      <c r="S811" s="434" t="s">
        <v>289</v>
      </c>
      <c r="T811" s="434" t="s">
        <v>214</v>
      </c>
      <c r="U811" s="435">
        <v>1</v>
      </c>
      <c r="V811" s="436" t="str">
        <f t="shared" si="414"/>
        <v>bar</v>
      </c>
      <c r="W811" s="437">
        <f t="shared" si="415"/>
        <v>67</v>
      </c>
      <c r="X811" s="437">
        <f t="shared" si="416"/>
        <v>1</v>
      </c>
      <c r="Y811" s="437">
        <f t="shared" si="417"/>
        <v>3.5</v>
      </c>
      <c r="Z811" s="437">
        <f t="shared" si="418"/>
        <v>22</v>
      </c>
      <c r="AA811" s="437">
        <f t="shared" si="419"/>
        <v>0.3</v>
      </c>
      <c r="AB811" s="584">
        <f t="shared" si="420"/>
        <v>0</v>
      </c>
      <c r="AC811" s="434"/>
    </row>
    <row r="812" spans="5:29">
      <c r="E812" s="598"/>
      <c r="F812" s="699"/>
      <c r="G812" s="700"/>
      <c r="H812" s="598"/>
      <c r="I812" s="598"/>
      <c r="J812" s="598"/>
      <c r="K812" s="598"/>
      <c r="L812" s="598"/>
      <c r="Q812" s="432">
        <v>46084</v>
      </c>
      <c r="R812" s="433">
        <v>0.91666666666666663</v>
      </c>
      <c r="S812" s="434" t="s">
        <v>289</v>
      </c>
      <c r="T812" s="434" t="s">
        <v>209</v>
      </c>
      <c r="U812" s="435">
        <v>3</v>
      </c>
      <c r="V812" s="436" t="str">
        <f t="shared" si="414"/>
        <v>tbsp</v>
      </c>
      <c r="W812" s="437">
        <f t="shared" si="415"/>
        <v>60</v>
      </c>
      <c r="X812" s="437">
        <f t="shared" si="416"/>
        <v>0</v>
      </c>
      <c r="Y812" s="437">
        <f t="shared" si="417"/>
        <v>0</v>
      </c>
      <c r="Z812" s="437">
        <f t="shared" si="418"/>
        <v>15</v>
      </c>
      <c r="AA812" s="437">
        <f t="shared" si="419"/>
        <v>13.5</v>
      </c>
      <c r="AB812" s="584">
        <f t="shared" si="420"/>
        <v>0</v>
      </c>
      <c r="AC812" s="434"/>
    </row>
    <row r="813" spans="5:29">
      <c r="E813" s="598"/>
      <c r="F813" s="699"/>
      <c r="G813" s="700"/>
      <c r="H813" s="598"/>
      <c r="I813" s="598"/>
      <c r="J813" s="598"/>
      <c r="K813" s="598"/>
      <c r="L813" s="598"/>
      <c r="Q813" s="432">
        <v>46084</v>
      </c>
      <c r="R813" s="433">
        <v>0.91666666666666663</v>
      </c>
      <c r="S813" s="434" t="s">
        <v>289</v>
      </c>
      <c r="T813" s="434" t="s">
        <v>212</v>
      </c>
      <c r="U813" s="435">
        <v>1</v>
      </c>
      <c r="V813" s="436" t="str">
        <f t="shared" si="414"/>
        <v>bottle</v>
      </c>
      <c r="W813" s="437">
        <f t="shared" si="415"/>
        <v>70</v>
      </c>
      <c r="X813" s="437">
        <f t="shared" si="416"/>
        <v>0</v>
      </c>
      <c r="Y813" s="437">
        <f t="shared" si="417"/>
        <v>0</v>
      </c>
      <c r="Z813" s="437">
        <f t="shared" si="418"/>
        <v>17</v>
      </c>
      <c r="AA813" s="437">
        <f t="shared" si="419"/>
        <v>1</v>
      </c>
      <c r="AB813" s="584">
        <f t="shared" si="420"/>
        <v>0</v>
      </c>
      <c r="AC813" s="434"/>
    </row>
    <row r="814" spans="5:29">
      <c r="E814" s="598"/>
      <c r="F814" s="699"/>
      <c r="G814" s="700"/>
      <c r="H814" s="598"/>
      <c r="I814" s="598"/>
      <c r="J814" s="598"/>
      <c r="K814" s="598"/>
      <c r="L814" s="598"/>
      <c r="Q814" s="432">
        <v>46084</v>
      </c>
      <c r="R814" s="433">
        <v>0.91666666666666663</v>
      </c>
      <c r="S814" s="434" t="s">
        <v>289</v>
      </c>
      <c r="T814" s="434" t="s">
        <v>190</v>
      </c>
      <c r="U814" s="435">
        <v>3</v>
      </c>
      <c r="V814" s="436" t="str">
        <f t="shared" si="414"/>
        <v>medium</v>
      </c>
      <c r="W814" s="437">
        <f t="shared" si="415"/>
        <v>186</v>
      </c>
      <c r="X814" s="437">
        <f t="shared" si="416"/>
        <v>3.5999999999999996</v>
      </c>
      <c r="Y814" s="437">
        <f t="shared" si="417"/>
        <v>0.60000000000000009</v>
      </c>
      <c r="Z814" s="437">
        <f t="shared" si="418"/>
        <v>46.2</v>
      </c>
      <c r="AA814" s="437">
        <f t="shared" si="419"/>
        <v>9.3000000000000007</v>
      </c>
      <c r="AB814" s="684">
        <f t="shared" si="420"/>
        <v>0</v>
      </c>
      <c r="AC814" s="434"/>
    </row>
    <row r="815" spans="5:29">
      <c r="E815" s="598"/>
      <c r="F815" s="699"/>
      <c r="G815" s="700"/>
      <c r="H815" s="598"/>
      <c r="I815" s="598"/>
      <c r="J815" s="598"/>
      <c r="K815" s="598"/>
      <c r="L815" s="598"/>
      <c r="Q815" s="438"/>
      <c r="R815" s="439" t="s">
        <v>217</v>
      </c>
      <c r="S815" s="440"/>
      <c r="T815" s="441"/>
      <c r="U815" s="441"/>
      <c r="V815" s="442"/>
      <c r="W815" s="443">
        <f t="shared" ref="W815:AB815" si="421">SUM(W801:W814)</f>
        <v>2265.5</v>
      </c>
      <c r="X815" s="443">
        <f t="shared" si="421"/>
        <v>159.85</v>
      </c>
      <c r="Y815" s="443">
        <f t="shared" si="421"/>
        <v>30.220000000000002</v>
      </c>
      <c r="Z815" s="443">
        <f t="shared" si="421"/>
        <v>333.95</v>
      </c>
      <c r="AA815" s="685">
        <f t="shared" si="421"/>
        <v>41.150000000000006</v>
      </c>
      <c r="AB815" s="691">
        <f t="shared" si="421"/>
        <v>0</v>
      </c>
      <c r="AC815" s="439"/>
    </row>
    <row r="816" spans="5:29">
      <c r="E816" s="598"/>
      <c r="F816" s="699"/>
      <c r="G816" s="700"/>
      <c r="H816" s="598"/>
      <c r="I816" s="598"/>
      <c r="J816" s="598"/>
      <c r="K816" s="598"/>
      <c r="L816" s="598"/>
      <c r="Q816" s="438"/>
      <c r="R816" s="439" t="s">
        <v>220</v>
      </c>
      <c r="S816" s="440"/>
      <c r="T816" s="441"/>
      <c r="U816" s="441"/>
      <c r="V816" s="442"/>
      <c r="W816" s="444">
        <f>$B$27</f>
        <v>2834.5625</v>
      </c>
      <c r="X816" s="444">
        <f>$B$29</f>
        <v>154</v>
      </c>
      <c r="Y816" s="444">
        <f>$B$30</f>
        <v>63.91</v>
      </c>
      <c r="Z816" s="444">
        <f>$B$31</f>
        <v>410.84312499999999</v>
      </c>
      <c r="AA816" s="692">
        <f>$B$32</f>
        <v>39.683875</v>
      </c>
      <c r="AB816" s="695">
        <f>$B$39</f>
        <v>500</v>
      </c>
      <c r="AC816" s="439"/>
    </row>
    <row r="817" spans="5:29">
      <c r="E817" s="598"/>
      <c r="F817" s="699"/>
      <c r="G817" s="700"/>
      <c r="H817" s="598"/>
      <c r="I817" s="598"/>
      <c r="J817" s="598"/>
      <c r="K817" s="598"/>
      <c r="L817" s="598"/>
      <c r="Q817" s="438"/>
      <c r="R817" s="439" t="s">
        <v>222</v>
      </c>
      <c r="S817" s="440"/>
      <c r="T817" s="441"/>
      <c r="U817" s="441"/>
      <c r="V817" s="442"/>
      <c r="W817" s="284">
        <f t="shared" ref="W817:AB817" si="422">W815-W816</f>
        <v>-569.0625</v>
      </c>
      <c r="X817" s="284">
        <f t="shared" si="422"/>
        <v>5.8499999999999943</v>
      </c>
      <c r="Y817" s="284">
        <f t="shared" si="422"/>
        <v>-33.69</v>
      </c>
      <c r="Z817" s="284">
        <f t="shared" si="422"/>
        <v>-76.893124999999998</v>
      </c>
      <c r="AA817" s="690">
        <f t="shared" si="422"/>
        <v>1.4661250000000052</v>
      </c>
      <c r="AB817" s="689">
        <f t="shared" si="422"/>
        <v>-500</v>
      </c>
      <c r="AC817" s="439"/>
    </row>
    <row r="818" spans="5:29">
      <c r="E818" s="598"/>
      <c r="F818" s="699"/>
      <c r="G818" s="700"/>
      <c r="H818" s="598"/>
      <c r="I818" s="598"/>
      <c r="J818" s="598"/>
      <c r="K818" s="598"/>
      <c r="L818" s="598"/>
      <c r="Q818" s="432">
        <v>46085</v>
      </c>
      <c r="R818" s="433">
        <v>0.33333333333333331</v>
      </c>
      <c r="S818" s="434" t="s">
        <v>178</v>
      </c>
      <c r="T818" s="434" t="s">
        <v>790</v>
      </c>
      <c r="U818" s="435">
        <v>150</v>
      </c>
      <c r="V818" s="436" t="str">
        <f t="shared" ref="V818:V834" si="423">IFERROR(VLOOKUP(T818, $E$5:$L$818, 3, FALSE), "")</f>
        <v>g</v>
      </c>
      <c r="W818" s="437">
        <f t="shared" ref="W818:W834" si="424">IFERROR(VLOOKUP(T818, $E$5:$L$818, 4, FALSE) * (U818 / VLOOKUP(T818, $E$5:$L$818, 2, FALSE)), "")</f>
        <v>220</v>
      </c>
      <c r="X818" s="437">
        <f t="shared" ref="X818:X834" si="425">IFERROR(VLOOKUP(T818, $E$5:$L$818, 5, FALSE) * (U818 / VLOOKUP(T818, $E$5:$L$818, 2, FALSE)), "")</f>
        <v>28</v>
      </c>
      <c r="Y818" s="437">
        <f t="shared" ref="Y818:Y834" si="426">IFERROR(VLOOKUP(T818, $E$5:$L$818, 6, FALSE) * (U818 / VLOOKUP(T818, $E$5:$L$818, 2, FALSE)), "")</f>
        <v>10</v>
      </c>
      <c r="Z818" s="437">
        <f t="shared" ref="Z818:Z834" si="427">IFERROR(VLOOKUP(T818, $E$5:$L$818, 7, FALSE) * (U818 / VLOOKUP(T818, $E$5:$L$818, 2, FALSE)), "")</f>
        <v>6</v>
      </c>
      <c r="AA818" s="437">
        <f t="shared" ref="AA818:AA834" si="428">IFERROR(VLOOKUP(T818, $E$5:$L$818, 8, FALSE) * (U818 / VLOOKUP(T818, $E$5:$L$818, 2, FALSE)), "")</f>
        <v>2</v>
      </c>
      <c r="AB818" s="674">
        <f t="shared" ref="AB818:AB834" si="429">IFERROR(VLOOKUP(T818, $E$5:$O$818, 9, FALSE) * (U818 / VLOOKUP(T818, $E$5:$O$818, 2, FALSE)), "")</f>
        <v>0</v>
      </c>
      <c r="AC818" s="434"/>
    </row>
    <row r="819" spans="5:29">
      <c r="E819" s="598"/>
      <c r="F819" s="699"/>
      <c r="G819" s="700"/>
      <c r="H819" s="598"/>
      <c r="I819" s="598"/>
      <c r="J819" s="598"/>
      <c r="K819" s="598"/>
      <c r="L819" s="598"/>
      <c r="Q819" s="432">
        <v>46085</v>
      </c>
      <c r="R819" s="433">
        <v>0.33333333333333331</v>
      </c>
      <c r="S819" s="434" t="s">
        <v>178</v>
      </c>
      <c r="T819" s="434" t="s">
        <v>180</v>
      </c>
      <c r="U819" s="435">
        <v>100</v>
      </c>
      <c r="V819" s="436" t="str">
        <f t="shared" si="423"/>
        <v>g</v>
      </c>
      <c r="W819" s="437">
        <f t="shared" si="424"/>
        <v>130</v>
      </c>
      <c r="X819" s="437">
        <f t="shared" si="425"/>
        <v>2.7</v>
      </c>
      <c r="Y819" s="437">
        <f t="shared" si="426"/>
        <v>0.3</v>
      </c>
      <c r="Z819" s="437">
        <f t="shared" si="427"/>
        <v>28</v>
      </c>
      <c r="AA819" s="437">
        <f t="shared" si="428"/>
        <v>0.4</v>
      </c>
      <c r="AB819" s="584">
        <f t="shared" si="429"/>
        <v>0</v>
      </c>
      <c r="AC819" s="434"/>
    </row>
    <row r="820" spans="5:29">
      <c r="E820" s="598"/>
      <c r="F820" s="699"/>
      <c r="G820" s="700"/>
      <c r="H820" s="598"/>
      <c r="I820" s="598"/>
      <c r="J820" s="598"/>
      <c r="K820" s="598"/>
      <c r="L820" s="598"/>
      <c r="Q820" s="432">
        <v>46085</v>
      </c>
      <c r="R820" s="433">
        <v>0.33333333333333331</v>
      </c>
      <c r="S820" s="434" t="s">
        <v>178</v>
      </c>
      <c r="T820" s="434" t="s">
        <v>753</v>
      </c>
      <c r="U820" s="435">
        <v>180</v>
      </c>
      <c r="V820" s="436" t="str">
        <f t="shared" si="423"/>
        <v>g</v>
      </c>
      <c r="W820" s="437">
        <f t="shared" si="424"/>
        <v>234</v>
      </c>
      <c r="X820" s="437">
        <f t="shared" si="425"/>
        <v>1.8</v>
      </c>
      <c r="Y820" s="437">
        <f t="shared" si="426"/>
        <v>0</v>
      </c>
      <c r="Z820" s="437">
        <f t="shared" si="427"/>
        <v>55.800000000000004</v>
      </c>
      <c r="AA820" s="437">
        <f t="shared" si="428"/>
        <v>5.4</v>
      </c>
      <c r="AB820" s="584">
        <f t="shared" si="429"/>
        <v>0</v>
      </c>
      <c r="AC820" s="434"/>
    </row>
    <row r="821" spans="5:29">
      <c r="E821" s="598"/>
      <c r="F821" s="699"/>
      <c r="G821" s="700"/>
      <c r="H821" s="598"/>
      <c r="I821" s="598"/>
      <c r="J821" s="598"/>
      <c r="K821" s="598"/>
      <c r="L821" s="598"/>
      <c r="Q821" s="432">
        <v>46085</v>
      </c>
      <c r="R821" s="433">
        <v>0.375</v>
      </c>
      <c r="S821" s="434" t="s">
        <v>178</v>
      </c>
      <c r="T821" s="434" t="s">
        <v>295</v>
      </c>
      <c r="U821" s="435">
        <v>1</v>
      </c>
      <c r="V821" s="436" t="str">
        <f t="shared" si="423"/>
        <v>bottle</v>
      </c>
      <c r="W821" s="437">
        <f t="shared" si="424"/>
        <v>200</v>
      </c>
      <c r="X821" s="437">
        <f t="shared" si="425"/>
        <v>35</v>
      </c>
      <c r="Y821" s="437">
        <f t="shared" si="426"/>
        <v>2.5</v>
      </c>
      <c r="Z821" s="437">
        <f t="shared" si="427"/>
        <v>9</v>
      </c>
      <c r="AA821" s="437">
        <f t="shared" si="428"/>
        <v>0</v>
      </c>
      <c r="AB821" s="584">
        <f t="shared" si="429"/>
        <v>0</v>
      </c>
      <c r="AC821" s="434"/>
    </row>
    <row r="822" spans="5:29">
      <c r="E822" s="598"/>
      <c r="F822" s="699"/>
      <c r="G822" s="700"/>
      <c r="H822" s="598"/>
      <c r="I822" s="598"/>
      <c r="J822" s="598"/>
      <c r="K822" s="598"/>
      <c r="L822" s="598"/>
      <c r="Q822" s="432">
        <v>46085</v>
      </c>
      <c r="R822" s="433">
        <v>0.54166666666666663</v>
      </c>
      <c r="S822" s="434" t="s">
        <v>185</v>
      </c>
      <c r="T822" s="434" t="s">
        <v>180</v>
      </c>
      <c r="U822" s="435">
        <v>250</v>
      </c>
      <c r="V822" s="436" t="str">
        <f t="shared" si="423"/>
        <v>g</v>
      </c>
      <c r="W822" s="437">
        <f t="shared" si="424"/>
        <v>325</v>
      </c>
      <c r="X822" s="437">
        <f t="shared" si="425"/>
        <v>6.75</v>
      </c>
      <c r="Y822" s="437">
        <f t="shared" si="426"/>
        <v>0.75</v>
      </c>
      <c r="Z822" s="437">
        <f t="shared" si="427"/>
        <v>70</v>
      </c>
      <c r="AA822" s="437">
        <f t="shared" si="428"/>
        <v>1</v>
      </c>
      <c r="AB822" s="584">
        <f t="shared" si="429"/>
        <v>0</v>
      </c>
      <c r="AC822" s="434"/>
    </row>
    <row r="823" spans="5:29">
      <c r="E823" s="598"/>
      <c r="F823" s="699"/>
      <c r="G823" s="700"/>
      <c r="H823" s="598"/>
      <c r="I823" s="598"/>
      <c r="J823" s="598"/>
      <c r="K823" s="598"/>
      <c r="L823" s="598"/>
      <c r="Q823" s="432">
        <v>46085</v>
      </c>
      <c r="R823" s="433">
        <v>0.54166666666666663</v>
      </c>
      <c r="S823" s="434" t="s">
        <v>185</v>
      </c>
      <c r="T823" s="434" t="s">
        <v>791</v>
      </c>
      <c r="U823" s="435">
        <v>150</v>
      </c>
      <c r="V823" s="436" t="str">
        <f t="shared" si="423"/>
        <v>g</v>
      </c>
      <c r="W823" s="437">
        <f t="shared" si="424"/>
        <v>280</v>
      </c>
      <c r="X823" s="437">
        <f t="shared" si="425"/>
        <v>22</v>
      </c>
      <c r="Y823" s="437">
        <f t="shared" si="426"/>
        <v>18</v>
      </c>
      <c r="Z823" s="437">
        <f t="shared" si="427"/>
        <v>8</v>
      </c>
      <c r="AA823" s="437">
        <f t="shared" si="428"/>
        <v>3</v>
      </c>
      <c r="AB823" s="584">
        <f t="shared" si="429"/>
        <v>0</v>
      </c>
      <c r="AC823" s="434"/>
    </row>
    <row r="824" spans="5:29">
      <c r="E824" s="598"/>
      <c r="F824" s="699"/>
      <c r="G824" s="700"/>
      <c r="H824" s="598"/>
      <c r="I824" s="598"/>
      <c r="J824" s="598"/>
      <c r="K824" s="598"/>
      <c r="L824" s="598"/>
      <c r="Q824" s="432">
        <v>46085</v>
      </c>
      <c r="R824" s="433">
        <v>0.54166666666666663</v>
      </c>
      <c r="S824" s="434" t="s">
        <v>185</v>
      </c>
      <c r="T824" s="434" t="s">
        <v>792</v>
      </c>
      <c r="U824" s="435">
        <v>2</v>
      </c>
      <c r="V824" s="436" t="str">
        <f t="shared" si="423"/>
        <v>pieces</v>
      </c>
      <c r="W824" s="437">
        <f t="shared" si="424"/>
        <v>140</v>
      </c>
      <c r="X824" s="437">
        <f t="shared" si="425"/>
        <v>4</v>
      </c>
      <c r="Y824" s="437">
        <f t="shared" si="426"/>
        <v>6</v>
      </c>
      <c r="Z824" s="437">
        <f t="shared" si="427"/>
        <v>18</v>
      </c>
      <c r="AA824" s="437">
        <f t="shared" si="428"/>
        <v>1</v>
      </c>
      <c r="AB824" s="584">
        <f t="shared" si="429"/>
        <v>0</v>
      </c>
      <c r="AC824" s="434"/>
    </row>
    <row r="825" spans="5:29">
      <c r="E825" s="598"/>
      <c r="F825" s="699"/>
      <c r="G825" s="700"/>
      <c r="H825" s="598"/>
      <c r="I825" s="598"/>
      <c r="J825" s="598"/>
      <c r="K825" s="598"/>
      <c r="L825" s="598"/>
      <c r="Q825" s="432">
        <v>46085</v>
      </c>
      <c r="R825" s="433">
        <v>0.54166666666666663</v>
      </c>
      <c r="S825" s="434" t="s">
        <v>185</v>
      </c>
      <c r="T825" s="434" t="s">
        <v>793</v>
      </c>
      <c r="U825" s="435">
        <v>150</v>
      </c>
      <c r="V825" s="436" t="str">
        <f t="shared" si="423"/>
        <v>g</v>
      </c>
      <c r="W825" s="437">
        <f t="shared" si="424"/>
        <v>120</v>
      </c>
      <c r="X825" s="437">
        <f t="shared" si="425"/>
        <v>3</v>
      </c>
      <c r="Y825" s="437">
        <f t="shared" si="426"/>
        <v>6</v>
      </c>
      <c r="Z825" s="437">
        <f t="shared" si="427"/>
        <v>15</v>
      </c>
      <c r="AA825" s="437">
        <f t="shared" si="428"/>
        <v>6</v>
      </c>
      <c r="AB825" s="584">
        <f t="shared" si="429"/>
        <v>30</v>
      </c>
      <c r="AC825" s="434"/>
    </row>
    <row r="826" spans="5:29">
      <c r="E826" s="598"/>
      <c r="F826" s="699"/>
      <c r="G826" s="700"/>
      <c r="H826" s="598"/>
      <c r="I826" s="598"/>
      <c r="J826" s="598"/>
      <c r="K826" s="598"/>
      <c r="L826" s="598"/>
      <c r="Q826" s="432">
        <v>46085</v>
      </c>
      <c r="R826" s="433">
        <v>0.625</v>
      </c>
      <c r="S826" s="434" t="s">
        <v>289</v>
      </c>
      <c r="T826" s="434" t="s">
        <v>783</v>
      </c>
      <c r="U826" s="435">
        <v>2</v>
      </c>
      <c r="V826" s="436" t="str">
        <f t="shared" si="423"/>
        <v>piece</v>
      </c>
      <c r="W826" s="437">
        <f t="shared" si="424"/>
        <v>70</v>
      </c>
      <c r="X826" s="437">
        <f t="shared" si="425"/>
        <v>0</v>
      </c>
      <c r="Y826" s="437">
        <f t="shared" si="426"/>
        <v>4</v>
      </c>
      <c r="Z826" s="437">
        <f t="shared" si="427"/>
        <v>8</v>
      </c>
      <c r="AA826" s="437">
        <f t="shared" si="428"/>
        <v>0</v>
      </c>
      <c r="AB826" s="584">
        <f t="shared" si="429"/>
        <v>0</v>
      </c>
      <c r="AC826" s="434"/>
    </row>
    <row r="827" spans="5:29">
      <c r="E827" s="598"/>
      <c r="F827" s="699"/>
      <c r="G827" s="700"/>
      <c r="H827" s="598"/>
      <c r="I827" s="598"/>
      <c r="J827" s="598"/>
      <c r="K827" s="598"/>
      <c r="L827" s="598"/>
      <c r="Q827" s="432">
        <v>46085</v>
      </c>
      <c r="R827" s="433">
        <v>0.79166666666666663</v>
      </c>
      <c r="S827" s="434" t="s">
        <v>289</v>
      </c>
      <c r="T827" s="434" t="s">
        <v>783</v>
      </c>
      <c r="U827" s="435">
        <v>1</v>
      </c>
      <c r="V827" s="436" t="str">
        <f t="shared" si="423"/>
        <v>piece</v>
      </c>
      <c r="W827" s="437">
        <f t="shared" si="424"/>
        <v>35</v>
      </c>
      <c r="X827" s="437">
        <f t="shared" si="425"/>
        <v>0</v>
      </c>
      <c r="Y827" s="437">
        <f t="shared" si="426"/>
        <v>2</v>
      </c>
      <c r="Z827" s="437">
        <f t="shared" si="427"/>
        <v>4</v>
      </c>
      <c r="AA827" s="437">
        <f t="shared" si="428"/>
        <v>0</v>
      </c>
      <c r="AB827" s="584">
        <f t="shared" si="429"/>
        <v>0</v>
      </c>
      <c r="AC827" s="434"/>
    </row>
    <row r="828" spans="5:29">
      <c r="E828" s="598"/>
      <c r="F828" s="699"/>
      <c r="G828" s="700"/>
      <c r="H828" s="598"/>
      <c r="I828" s="598"/>
      <c r="J828" s="598"/>
      <c r="K828" s="598"/>
      <c r="L828" s="598"/>
      <c r="Q828" s="432">
        <v>46085</v>
      </c>
      <c r="R828" s="433">
        <v>0.79166666666666663</v>
      </c>
      <c r="S828" s="434" t="s">
        <v>199</v>
      </c>
      <c r="T828" s="434" t="s">
        <v>816</v>
      </c>
      <c r="U828" s="435">
        <v>100</v>
      </c>
      <c r="V828" s="436" t="str">
        <f t="shared" si="423"/>
        <v>g</v>
      </c>
      <c r="W828" s="437">
        <f t="shared" si="424"/>
        <v>217</v>
      </c>
      <c r="X828" s="437">
        <f t="shared" si="425"/>
        <v>26</v>
      </c>
      <c r="Y828" s="437">
        <f t="shared" si="426"/>
        <v>12</v>
      </c>
      <c r="Z828" s="437">
        <f t="shared" si="427"/>
        <v>0</v>
      </c>
      <c r="AA828" s="437">
        <f t="shared" si="428"/>
        <v>0</v>
      </c>
      <c r="AB828" s="584">
        <f t="shared" si="429"/>
        <v>0</v>
      </c>
      <c r="AC828" s="434"/>
    </row>
    <row r="829" spans="5:29">
      <c r="E829" s="598"/>
      <c r="F829" s="699"/>
      <c r="G829" s="700"/>
      <c r="H829" s="598"/>
      <c r="I829" s="598"/>
      <c r="J829" s="598"/>
      <c r="K829" s="598"/>
      <c r="L829" s="598"/>
      <c r="Q829" s="432">
        <v>46085</v>
      </c>
      <c r="R829" s="433">
        <v>0.79166666666666663</v>
      </c>
      <c r="S829" s="434" t="s">
        <v>199</v>
      </c>
      <c r="T829" s="434" t="s">
        <v>176</v>
      </c>
      <c r="U829" s="435">
        <v>162</v>
      </c>
      <c r="V829" s="436" t="str">
        <f t="shared" si="423"/>
        <v>g</v>
      </c>
      <c r="W829" s="437">
        <f t="shared" si="424"/>
        <v>267.3</v>
      </c>
      <c r="X829" s="437">
        <f t="shared" si="425"/>
        <v>40.5</v>
      </c>
      <c r="Y829" s="437">
        <f t="shared" si="426"/>
        <v>5.8320000000000007</v>
      </c>
      <c r="Z829" s="437">
        <f t="shared" si="427"/>
        <v>0</v>
      </c>
      <c r="AA829" s="437">
        <f t="shared" si="428"/>
        <v>0</v>
      </c>
      <c r="AB829" s="584">
        <f t="shared" si="429"/>
        <v>0</v>
      </c>
      <c r="AC829" s="434"/>
    </row>
    <row r="830" spans="5:29">
      <c r="E830" s="598"/>
      <c r="F830" s="699"/>
      <c r="G830" s="700"/>
      <c r="H830" s="598"/>
      <c r="I830" s="598"/>
      <c r="J830" s="598"/>
      <c r="K830" s="598"/>
      <c r="L830" s="598"/>
      <c r="Q830" s="432">
        <v>46085</v>
      </c>
      <c r="R830" s="433">
        <v>0.79166666666666663</v>
      </c>
      <c r="S830" s="434" t="s">
        <v>199</v>
      </c>
      <c r="T830" s="434" t="s">
        <v>753</v>
      </c>
      <c r="U830" s="435">
        <v>120</v>
      </c>
      <c r="V830" s="436" t="str">
        <f t="shared" si="423"/>
        <v>g</v>
      </c>
      <c r="W830" s="437">
        <f t="shared" si="424"/>
        <v>156</v>
      </c>
      <c r="X830" s="437">
        <f t="shared" si="425"/>
        <v>1.2</v>
      </c>
      <c r="Y830" s="437">
        <f t="shared" si="426"/>
        <v>0</v>
      </c>
      <c r="Z830" s="437">
        <f t="shared" si="427"/>
        <v>37.199999999999996</v>
      </c>
      <c r="AA830" s="437">
        <f t="shared" si="428"/>
        <v>3.5999999999999996</v>
      </c>
      <c r="AB830" s="584">
        <f t="shared" si="429"/>
        <v>0</v>
      </c>
      <c r="AC830" s="434"/>
    </row>
    <row r="831" spans="5:29">
      <c r="E831" s="598"/>
      <c r="F831" s="699"/>
      <c r="G831" s="700"/>
      <c r="H831" s="598"/>
      <c r="I831" s="598"/>
      <c r="J831" s="598"/>
      <c r="K831" s="598"/>
      <c r="L831" s="598"/>
      <c r="Q831" s="432">
        <v>46085</v>
      </c>
      <c r="R831" s="433">
        <v>0.875</v>
      </c>
      <c r="S831" s="434" t="s">
        <v>289</v>
      </c>
      <c r="T831" s="434" t="s">
        <v>292</v>
      </c>
      <c r="U831" s="435">
        <v>1</v>
      </c>
      <c r="V831" s="436" t="str">
        <f t="shared" si="423"/>
        <v>bar</v>
      </c>
      <c r="W831" s="437">
        <f t="shared" si="424"/>
        <v>250</v>
      </c>
      <c r="X831" s="437">
        <f t="shared" si="425"/>
        <v>3</v>
      </c>
      <c r="Y831" s="437">
        <f t="shared" si="426"/>
        <v>15</v>
      </c>
      <c r="Z831" s="437">
        <f t="shared" si="427"/>
        <v>26</v>
      </c>
      <c r="AA831" s="437">
        <f t="shared" si="428"/>
        <v>0</v>
      </c>
      <c r="AB831" s="584">
        <f t="shared" si="429"/>
        <v>0</v>
      </c>
      <c r="AC831" s="434"/>
    </row>
    <row r="832" spans="5:29">
      <c r="E832" s="598"/>
      <c r="F832" s="699"/>
      <c r="G832" s="700"/>
      <c r="H832" s="598"/>
      <c r="I832" s="598"/>
      <c r="J832" s="598"/>
      <c r="K832" s="598"/>
      <c r="L832" s="598"/>
      <c r="Q832" s="432">
        <v>46085</v>
      </c>
      <c r="R832" s="433">
        <v>0.91666666666666663</v>
      </c>
      <c r="S832" s="434" t="s">
        <v>199</v>
      </c>
      <c r="T832" s="434" t="s">
        <v>786</v>
      </c>
      <c r="U832" s="435">
        <v>1</v>
      </c>
      <c r="V832" s="436" t="str">
        <f t="shared" si="423"/>
        <v>bottle</v>
      </c>
      <c r="W832" s="437">
        <f t="shared" si="424"/>
        <v>90</v>
      </c>
      <c r="X832" s="437">
        <f t="shared" si="425"/>
        <v>0</v>
      </c>
      <c r="Y832" s="437">
        <f t="shared" si="426"/>
        <v>0</v>
      </c>
      <c r="Z832" s="437">
        <f t="shared" si="427"/>
        <v>22</v>
      </c>
      <c r="AA832" s="437">
        <f t="shared" si="428"/>
        <v>0</v>
      </c>
      <c r="AB832" s="584">
        <f t="shared" si="429"/>
        <v>0</v>
      </c>
      <c r="AC832" s="434"/>
    </row>
    <row r="833" spans="5:29">
      <c r="E833" s="598"/>
      <c r="F833" s="699"/>
      <c r="G833" s="700"/>
      <c r="H833" s="598"/>
      <c r="I833" s="598"/>
      <c r="J833" s="598"/>
      <c r="K833" s="598"/>
      <c r="L833" s="598"/>
      <c r="Q833" s="432">
        <v>46085</v>
      </c>
      <c r="R833" s="433">
        <v>0.91666666666666663</v>
      </c>
      <c r="S833" s="434" t="s">
        <v>199</v>
      </c>
      <c r="T833" s="434" t="s">
        <v>209</v>
      </c>
      <c r="U833" s="435">
        <v>3</v>
      </c>
      <c r="V833" s="436" t="str">
        <f t="shared" si="423"/>
        <v>tbsp</v>
      </c>
      <c r="W833" s="437">
        <f t="shared" si="424"/>
        <v>60</v>
      </c>
      <c r="X833" s="437">
        <f t="shared" si="425"/>
        <v>0</v>
      </c>
      <c r="Y833" s="437">
        <f t="shared" si="426"/>
        <v>0</v>
      </c>
      <c r="Z833" s="437">
        <f t="shared" si="427"/>
        <v>15</v>
      </c>
      <c r="AA833" s="437">
        <f t="shared" si="428"/>
        <v>13.5</v>
      </c>
      <c r="AB833" s="584">
        <f t="shared" si="429"/>
        <v>0</v>
      </c>
      <c r="AC833" s="434"/>
    </row>
    <row r="834" spans="5:29">
      <c r="E834" s="598"/>
      <c r="F834" s="699"/>
      <c r="G834" s="700"/>
      <c r="H834" s="598"/>
      <c r="I834" s="598"/>
      <c r="J834" s="598"/>
      <c r="K834" s="598"/>
      <c r="L834" s="598"/>
      <c r="Q834" s="432">
        <v>46085</v>
      </c>
      <c r="R834" s="433">
        <v>0.91666666666666663</v>
      </c>
      <c r="S834" s="434" t="s">
        <v>289</v>
      </c>
      <c r="T834" s="434" t="s">
        <v>190</v>
      </c>
      <c r="U834" s="435">
        <v>1</v>
      </c>
      <c r="V834" s="436" t="str">
        <f t="shared" si="423"/>
        <v>medium</v>
      </c>
      <c r="W834" s="437">
        <f t="shared" si="424"/>
        <v>62</v>
      </c>
      <c r="X834" s="437">
        <f t="shared" si="425"/>
        <v>1.2</v>
      </c>
      <c r="Y834" s="437">
        <f t="shared" si="426"/>
        <v>0.2</v>
      </c>
      <c r="Z834" s="437">
        <f t="shared" si="427"/>
        <v>15.4</v>
      </c>
      <c r="AA834" s="437">
        <f t="shared" si="428"/>
        <v>3.1</v>
      </c>
      <c r="AB834" s="684">
        <f t="shared" si="429"/>
        <v>0</v>
      </c>
      <c r="AC834" s="434"/>
    </row>
    <row r="835" spans="5:29">
      <c r="E835" s="598"/>
      <c r="F835" s="699"/>
      <c r="G835" s="700"/>
      <c r="H835" s="598"/>
      <c r="I835" s="598"/>
      <c r="J835" s="598"/>
      <c r="K835" s="598"/>
      <c r="L835" s="598"/>
      <c r="Q835" s="438"/>
      <c r="R835" s="439" t="s">
        <v>217</v>
      </c>
      <c r="S835" s="440"/>
      <c r="T835" s="441"/>
      <c r="U835" s="441"/>
      <c r="V835" s="442"/>
      <c r="W835" s="443">
        <f t="shared" ref="W835:AB835" si="430">SUM(W818:W834)</f>
        <v>2856.3</v>
      </c>
      <c r="X835" s="443">
        <f t="shared" si="430"/>
        <v>175.14999999999998</v>
      </c>
      <c r="Y835" s="443">
        <f t="shared" si="430"/>
        <v>82.582000000000008</v>
      </c>
      <c r="Z835" s="443">
        <f t="shared" si="430"/>
        <v>337.4</v>
      </c>
      <c r="AA835" s="685">
        <f t="shared" si="430"/>
        <v>39</v>
      </c>
      <c r="AB835" s="691">
        <f t="shared" si="430"/>
        <v>30</v>
      </c>
      <c r="AC835" s="439"/>
    </row>
    <row r="836" spans="5:29">
      <c r="E836" s="598"/>
      <c r="F836" s="699"/>
      <c r="G836" s="700"/>
      <c r="H836" s="598"/>
      <c r="I836" s="598"/>
      <c r="J836" s="598"/>
      <c r="K836" s="598"/>
      <c r="L836" s="598"/>
      <c r="Q836" s="438"/>
      <c r="R836" s="439" t="s">
        <v>220</v>
      </c>
      <c r="S836" s="440"/>
      <c r="T836" s="441"/>
      <c r="U836" s="441"/>
      <c r="V836" s="442"/>
      <c r="W836" s="444">
        <f>$B$27</f>
        <v>2834.5625</v>
      </c>
      <c r="X836" s="444">
        <f>$B$29</f>
        <v>154</v>
      </c>
      <c r="Y836" s="444">
        <f>$B$30</f>
        <v>63.91</v>
      </c>
      <c r="Z836" s="444">
        <f>$B$31</f>
        <v>410.84312499999999</v>
      </c>
      <c r="AA836" s="692">
        <f>$B$32</f>
        <v>39.683875</v>
      </c>
      <c r="AB836" s="695">
        <f>$B$39</f>
        <v>500</v>
      </c>
      <c r="AC836" s="439"/>
    </row>
    <row r="837" spans="5:29">
      <c r="E837" s="598"/>
      <c r="F837" s="699"/>
      <c r="G837" s="700"/>
      <c r="H837" s="598"/>
      <c r="I837" s="598"/>
      <c r="J837" s="598"/>
      <c r="K837" s="598"/>
      <c r="L837" s="598"/>
      <c r="Q837" s="438"/>
      <c r="R837" s="439" t="s">
        <v>222</v>
      </c>
      <c r="S837" s="440"/>
      <c r="T837" s="441"/>
      <c r="U837" s="441"/>
      <c r="V837" s="442"/>
      <c r="W837" s="284">
        <f t="shared" ref="W837:AB837" si="431">W835-W836</f>
        <v>21.737500000000182</v>
      </c>
      <c r="X837" s="284">
        <f t="shared" si="431"/>
        <v>21.149999999999977</v>
      </c>
      <c r="Y837" s="284">
        <f t="shared" si="431"/>
        <v>18.672000000000011</v>
      </c>
      <c r="Z837" s="284">
        <f t="shared" si="431"/>
        <v>-73.443125000000009</v>
      </c>
      <c r="AA837" s="690">
        <f t="shared" si="431"/>
        <v>-0.68387500000000045</v>
      </c>
      <c r="AB837" s="689">
        <f t="shared" si="431"/>
        <v>-470</v>
      </c>
      <c r="AC837" s="439"/>
    </row>
    <row r="838" spans="5:29">
      <c r="E838" s="598"/>
      <c r="F838" s="699"/>
      <c r="G838" s="700"/>
      <c r="H838" s="598"/>
      <c r="I838" s="598"/>
      <c r="J838" s="598"/>
      <c r="K838" s="598"/>
      <c r="L838" s="598"/>
      <c r="Q838" s="432">
        <v>46086</v>
      </c>
      <c r="R838" s="433">
        <v>0.33333333333333331</v>
      </c>
      <c r="S838" s="434" t="s">
        <v>178</v>
      </c>
      <c r="T838" s="434" t="s">
        <v>181</v>
      </c>
      <c r="U838" s="435">
        <v>2</v>
      </c>
      <c r="V838" s="436" t="str">
        <f t="shared" ref="V838:V849" si="432">IFERROR(VLOOKUP(T838, $E$5:$L$818, 3, FALSE), "")</f>
        <v>slice</v>
      </c>
      <c r="W838" s="437">
        <f t="shared" ref="W838:W849" si="433">IFERROR(VLOOKUP(T838, $E$5:$L$818, 4, FALSE) * (U838 / VLOOKUP(T838, $E$5:$L$818, 2, FALSE)), "")</f>
        <v>140</v>
      </c>
      <c r="X838" s="437">
        <f t="shared" ref="X838:X849" si="434">IFERROR(VLOOKUP(T838, $E$5:$L$818, 5, FALSE) * (U838 / VLOOKUP(T838, $E$5:$L$818, 2, FALSE)), "")</f>
        <v>5</v>
      </c>
      <c r="Y838" s="437">
        <f t="shared" ref="Y838:Y849" si="435">IFERROR(VLOOKUP(T838, $E$5:$L$818, 6, FALSE) * (U838 / VLOOKUP(T838, $E$5:$L$818, 2, FALSE)), "")</f>
        <v>2.5</v>
      </c>
      <c r="Z838" s="437">
        <f t="shared" ref="Z838:Z849" si="436">IFERROR(VLOOKUP(T838, $E$5:$L$818, 7, FALSE) * (U838 / VLOOKUP(T838, $E$5:$L$818, 2, FALSE)), "")</f>
        <v>24</v>
      </c>
      <c r="AA838" s="437">
        <f t="shared" ref="AA838:AA849" si="437">IFERROR(VLOOKUP(T838, $E$5:$L$818, 8, FALSE) * (U838 / VLOOKUP(T838, $E$5:$L$818, 2, FALSE)), "")</f>
        <v>2</v>
      </c>
      <c r="AB838" s="674">
        <f t="shared" ref="AB838:AB849" si="438">IFERROR(VLOOKUP(T838, $E$5:$O$818, 9, FALSE) * (U838 / VLOOKUP(T838, $E$5:$O$818, 2, FALSE)), "")</f>
        <v>0</v>
      </c>
      <c r="AC838" s="434"/>
    </row>
    <row r="839" spans="5:29">
      <c r="E839" s="598"/>
      <c r="F839" s="699"/>
      <c r="G839" s="700"/>
      <c r="H839" s="598"/>
      <c r="I839" s="598"/>
      <c r="J839" s="598"/>
      <c r="K839" s="598"/>
      <c r="L839" s="598"/>
      <c r="Q839" s="432">
        <v>46086</v>
      </c>
      <c r="R839" s="433">
        <v>0.33333333333333331</v>
      </c>
      <c r="S839" s="434" t="s">
        <v>178</v>
      </c>
      <c r="T839" s="434" t="s">
        <v>795</v>
      </c>
      <c r="U839" s="435">
        <v>0.5</v>
      </c>
      <c r="V839" s="436" t="str">
        <f t="shared" si="432"/>
        <v>ear</v>
      </c>
      <c r="W839" s="437">
        <f t="shared" si="433"/>
        <v>45</v>
      </c>
      <c r="X839" s="437">
        <f t="shared" si="434"/>
        <v>1.5</v>
      </c>
      <c r="Y839" s="437">
        <f t="shared" si="435"/>
        <v>0.5</v>
      </c>
      <c r="Z839" s="437">
        <f t="shared" si="436"/>
        <v>9.5</v>
      </c>
      <c r="AA839" s="437">
        <f t="shared" si="437"/>
        <v>1</v>
      </c>
      <c r="AB839" s="584">
        <f t="shared" si="438"/>
        <v>0</v>
      </c>
      <c r="AC839" s="434"/>
    </row>
    <row r="840" spans="5:29">
      <c r="E840" s="598"/>
      <c r="F840" s="699"/>
      <c r="G840" s="700"/>
      <c r="H840" s="598"/>
      <c r="I840" s="598"/>
      <c r="J840" s="598"/>
      <c r="K840" s="598"/>
      <c r="L840" s="598"/>
      <c r="Q840" s="432">
        <v>46086</v>
      </c>
      <c r="R840" s="433">
        <v>0.33333333333333331</v>
      </c>
      <c r="S840" s="434" t="s">
        <v>178</v>
      </c>
      <c r="T840" s="434" t="s">
        <v>295</v>
      </c>
      <c r="U840" s="435">
        <v>1</v>
      </c>
      <c r="V840" s="436" t="str">
        <f t="shared" si="432"/>
        <v>bottle</v>
      </c>
      <c r="W840" s="437">
        <f t="shared" si="433"/>
        <v>200</v>
      </c>
      <c r="X840" s="437">
        <f t="shared" si="434"/>
        <v>35</v>
      </c>
      <c r="Y840" s="437">
        <f t="shared" si="435"/>
        <v>2.5</v>
      </c>
      <c r="Z840" s="437">
        <f t="shared" si="436"/>
        <v>9</v>
      </c>
      <c r="AA840" s="437">
        <f t="shared" si="437"/>
        <v>0</v>
      </c>
      <c r="AB840" s="584">
        <f t="shared" si="438"/>
        <v>0</v>
      </c>
      <c r="AC840" s="434"/>
    </row>
    <row r="841" spans="5:29">
      <c r="E841" s="598"/>
      <c r="F841" s="699"/>
      <c r="G841" s="700"/>
      <c r="H841" s="598"/>
      <c r="I841" s="598"/>
      <c r="J841" s="598"/>
      <c r="K841" s="598"/>
      <c r="L841" s="598"/>
      <c r="Q841" s="432">
        <v>46086</v>
      </c>
      <c r="R841" s="433">
        <v>0.54166666666666663</v>
      </c>
      <c r="S841" s="434" t="s">
        <v>185</v>
      </c>
      <c r="T841" s="434" t="s">
        <v>465</v>
      </c>
      <c r="U841" s="435">
        <v>95</v>
      </c>
      <c r="V841" s="436" t="str">
        <f t="shared" si="432"/>
        <v>g</v>
      </c>
      <c r="W841" s="437">
        <f t="shared" si="433"/>
        <v>171</v>
      </c>
      <c r="X841" s="437">
        <f t="shared" si="434"/>
        <v>20.9</v>
      </c>
      <c r="Y841" s="437">
        <f t="shared" si="435"/>
        <v>8.5499999999999989</v>
      </c>
      <c r="Z841" s="437">
        <f t="shared" si="436"/>
        <v>1.9</v>
      </c>
      <c r="AA841" s="437">
        <f t="shared" si="437"/>
        <v>0</v>
      </c>
      <c r="AB841" s="584">
        <f t="shared" si="438"/>
        <v>0</v>
      </c>
      <c r="AC841" s="434"/>
    </row>
    <row r="842" spans="5:29">
      <c r="E842" s="598"/>
      <c r="F842" s="699"/>
      <c r="G842" s="700"/>
      <c r="H842" s="598"/>
      <c r="I842" s="598"/>
      <c r="J842" s="598"/>
      <c r="K842" s="598"/>
      <c r="L842" s="598"/>
      <c r="Q842" s="432">
        <v>46086</v>
      </c>
      <c r="R842" s="433">
        <v>0.54166666666666663</v>
      </c>
      <c r="S842" s="434" t="s">
        <v>185</v>
      </c>
      <c r="T842" s="434" t="s">
        <v>176</v>
      </c>
      <c r="U842" s="435">
        <v>183</v>
      </c>
      <c r="V842" s="436" t="str">
        <f t="shared" si="432"/>
        <v>g</v>
      </c>
      <c r="W842" s="437">
        <f t="shared" si="433"/>
        <v>301.95</v>
      </c>
      <c r="X842" s="437">
        <f t="shared" si="434"/>
        <v>45.75</v>
      </c>
      <c r="Y842" s="437">
        <f t="shared" si="435"/>
        <v>6.5880000000000001</v>
      </c>
      <c r="Z842" s="437">
        <f t="shared" si="436"/>
        <v>0</v>
      </c>
      <c r="AA842" s="437">
        <f t="shared" si="437"/>
        <v>0</v>
      </c>
      <c r="AB842" s="584">
        <f t="shared" si="438"/>
        <v>0</v>
      </c>
      <c r="AC842" s="434"/>
    </row>
    <row r="843" spans="5:29">
      <c r="E843" s="598"/>
      <c r="F843" s="699"/>
      <c r="G843" s="700"/>
      <c r="H843" s="598"/>
      <c r="I843" s="598"/>
      <c r="J843" s="598"/>
      <c r="K843" s="598"/>
      <c r="L843" s="598"/>
      <c r="Q843" s="432">
        <v>46086</v>
      </c>
      <c r="R843" s="433">
        <v>0.54166666666666663</v>
      </c>
      <c r="S843" s="434" t="s">
        <v>185</v>
      </c>
      <c r="T843" s="434" t="s">
        <v>753</v>
      </c>
      <c r="U843" s="435">
        <v>104</v>
      </c>
      <c r="V843" s="436" t="str">
        <f t="shared" si="432"/>
        <v>g</v>
      </c>
      <c r="W843" s="437">
        <f t="shared" si="433"/>
        <v>135.20000000000002</v>
      </c>
      <c r="X843" s="437">
        <f t="shared" si="434"/>
        <v>1.04</v>
      </c>
      <c r="Y843" s="437">
        <f t="shared" si="435"/>
        <v>0</v>
      </c>
      <c r="Z843" s="437">
        <f t="shared" si="436"/>
        <v>32.24</v>
      </c>
      <c r="AA843" s="437">
        <f t="shared" si="437"/>
        <v>3.12</v>
      </c>
      <c r="AB843" s="584">
        <f t="shared" si="438"/>
        <v>0</v>
      </c>
      <c r="AC843" s="434"/>
    </row>
    <row r="844" spans="5:29">
      <c r="E844" s="598"/>
      <c r="F844" s="699"/>
      <c r="G844" s="700"/>
      <c r="H844" s="598"/>
      <c r="I844" s="598"/>
      <c r="J844" s="598"/>
      <c r="K844" s="598"/>
      <c r="L844" s="598"/>
      <c r="Q844" s="432">
        <v>46086</v>
      </c>
      <c r="R844" s="433">
        <v>0.625</v>
      </c>
      <c r="S844" s="434" t="s">
        <v>289</v>
      </c>
      <c r="T844" s="434" t="s">
        <v>468</v>
      </c>
      <c r="U844" s="435">
        <v>0.25</v>
      </c>
      <c r="V844" s="436" t="str">
        <f t="shared" si="432"/>
        <v>apple</v>
      </c>
      <c r="W844" s="437">
        <f t="shared" si="433"/>
        <v>23.75</v>
      </c>
      <c r="X844" s="437">
        <f t="shared" si="434"/>
        <v>0.125</v>
      </c>
      <c r="Y844" s="437">
        <f t="shared" si="435"/>
        <v>7.4999999999999997E-2</v>
      </c>
      <c r="Z844" s="437">
        <f t="shared" si="436"/>
        <v>6.25</v>
      </c>
      <c r="AA844" s="437">
        <f t="shared" si="437"/>
        <v>1</v>
      </c>
      <c r="AB844" s="584">
        <f t="shared" si="438"/>
        <v>0</v>
      </c>
      <c r="AC844" s="434"/>
    </row>
    <row r="845" spans="5:29">
      <c r="E845" s="598"/>
      <c r="F845" s="699"/>
      <c r="G845" s="700"/>
      <c r="H845" s="598"/>
      <c r="I845" s="598"/>
      <c r="J845" s="598"/>
      <c r="K845" s="598"/>
      <c r="L845" s="598"/>
      <c r="Q845" s="432">
        <v>46086</v>
      </c>
      <c r="R845" s="433">
        <v>0.83333333333333337</v>
      </c>
      <c r="S845" s="434" t="s">
        <v>199</v>
      </c>
      <c r="T845" s="434" t="s">
        <v>753</v>
      </c>
      <c r="U845" s="435">
        <v>294</v>
      </c>
      <c r="V845" s="436" t="str">
        <f t="shared" si="432"/>
        <v>g</v>
      </c>
      <c r="W845" s="437">
        <f t="shared" si="433"/>
        <v>382.2</v>
      </c>
      <c r="X845" s="437">
        <f t="shared" si="434"/>
        <v>2.94</v>
      </c>
      <c r="Y845" s="437">
        <f t="shared" si="435"/>
        <v>0</v>
      </c>
      <c r="Z845" s="437">
        <f t="shared" si="436"/>
        <v>91.14</v>
      </c>
      <c r="AA845" s="437">
        <f t="shared" si="437"/>
        <v>8.82</v>
      </c>
      <c r="AB845" s="584">
        <f t="shared" si="438"/>
        <v>0</v>
      </c>
      <c r="AC845" s="434"/>
    </row>
    <row r="846" spans="5:29">
      <c r="E846" s="598"/>
      <c r="F846" s="699"/>
      <c r="G846" s="700"/>
      <c r="H846" s="598"/>
      <c r="I846" s="598"/>
      <c r="J846" s="598"/>
      <c r="K846" s="598"/>
      <c r="L846" s="598"/>
      <c r="Q846" s="432">
        <v>46086</v>
      </c>
      <c r="R846" s="433">
        <v>0.83333333333333337</v>
      </c>
      <c r="S846" s="434" t="s">
        <v>199</v>
      </c>
      <c r="T846" s="434" t="s">
        <v>465</v>
      </c>
      <c r="U846" s="435">
        <v>189</v>
      </c>
      <c r="V846" s="436" t="str">
        <f t="shared" si="432"/>
        <v>g</v>
      </c>
      <c r="W846" s="437">
        <f t="shared" si="433"/>
        <v>340.2</v>
      </c>
      <c r="X846" s="437">
        <f t="shared" si="434"/>
        <v>41.58</v>
      </c>
      <c r="Y846" s="437">
        <f t="shared" si="435"/>
        <v>17.009999999999998</v>
      </c>
      <c r="Z846" s="437">
        <f t="shared" si="436"/>
        <v>3.78</v>
      </c>
      <c r="AA846" s="437">
        <f t="shared" si="437"/>
        <v>0</v>
      </c>
      <c r="AB846" s="584">
        <f t="shared" si="438"/>
        <v>0</v>
      </c>
      <c r="AC846" s="434"/>
    </row>
    <row r="847" spans="5:29">
      <c r="E847" s="598"/>
      <c r="F847" s="699"/>
      <c r="G847" s="700"/>
      <c r="H847" s="598"/>
      <c r="I847" s="598"/>
      <c r="J847" s="598"/>
      <c r="K847" s="598"/>
      <c r="L847" s="598"/>
      <c r="Q847" s="432">
        <v>46086</v>
      </c>
      <c r="R847" s="433">
        <v>0.83333333333333337</v>
      </c>
      <c r="S847" s="434" t="s">
        <v>199</v>
      </c>
      <c r="T847" s="434" t="s">
        <v>816</v>
      </c>
      <c r="U847" s="435">
        <v>150</v>
      </c>
      <c r="V847" s="436" t="str">
        <f t="shared" si="432"/>
        <v>g</v>
      </c>
      <c r="W847" s="437">
        <f t="shared" si="433"/>
        <v>325.5</v>
      </c>
      <c r="X847" s="437">
        <f t="shared" si="434"/>
        <v>39</v>
      </c>
      <c r="Y847" s="437">
        <f t="shared" si="435"/>
        <v>18</v>
      </c>
      <c r="Z847" s="437">
        <f t="shared" si="436"/>
        <v>0</v>
      </c>
      <c r="AA847" s="437">
        <f t="shared" si="437"/>
        <v>0</v>
      </c>
      <c r="AB847" s="584">
        <f t="shared" si="438"/>
        <v>0</v>
      </c>
      <c r="AC847" s="434"/>
    </row>
    <row r="848" spans="5:29">
      <c r="E848" s="598"/>
      <c r="F848" s="699"/>
      <c r="G848" s="700"/>
      <c r="H848" s="598"/>
      <c r="I848" s="598"/>
      <c r="J848" s="598"/>
      <c r="K848" s="598"/>
      <c r="L848" s="598"/>
      <c r="Q848" s="432">
        <v>46086</v>
      </c>
      <c r="R848" s="433">
        <v>0.83333333333333337</v>
      </c>
      <c r="S848" s="434" t="s">
        <v>199</v>
      </c>
      <c r="T848" s="434" t="s">
        <v>209</v>
      </c>
      <c r="U848" s="435">
        <v>3</v>
      </c>
      <c r="V848" s="436" t="str">
        <f t="shared" si="432"/>
        <v>tbsp</v>
      </c>
      <c r="W848" s="437">
        <f t="shared" si="433"/>
        <v>60</v>
      </c>
      <c r="X848" s="437">
        <f t="shared" si="434"/>
        <v>0</v>
      </c>
      <c r="Y848" s="437">
        <f t="shared" si="435"/>
        <v>0</v>
      </c>
      <c r="Z848" s="437">
        <f t="shared" si="436"/>
        <v>15</v>
      </c>
      <c r="AA848" s="437">
        <f t="shared" si="437"/>
        <v>13.5</v>
      </c>
      <c r="AB848" s="584">
        <f t="shared" si="438"/>
        <v>0</v>
      </c>
      <c r="AC848" s="434"/>
    </row>
    <row r="849" spans="5:29">
      <c r="E849" s="598"/>
      <c r="F849" s="699"/>
      <c r="G849" s="700"/>
      <c r="H849" s="598"/>
      <c r="I849" s="598"/>
      <c r="J849" s="598"/>
      <c r="K849" s="598"/>
      <c r="L849" s="598"/>
      <c r="Q849" s="432">
        <v>46086</v>
      </c>
      <c r="R849" s="433">
        <v>0.83333333333333337</v>
      </c>
      <c r="S849" s="434" t="s">
        <v>199</v>
      </c>
      <c r="T849" s="434" t="s">
        <v>786</v>
      </c>
      <c r="U849" s="435">
        <v>1</v>
      </c>
      <c r="V849" s="436" t="str">
        <f t="shared" si="432"/>
        <v>bottle</v>
      </c>
      <c r="W849" s="437">
        <f t="shared" si="433"/>
        <v>90</v>
      </c>
      <c r="X849" s="437">
        <f t="shared" si="434"/>
        <v>0</v>
      </c>
      <c r="Y849" s="437">
        <f t="shared" si="435"/>
        <v>0</v>
      </c>
      <c r="Z849" s="437">
        <f t="shared" si="436"/>
        <v>22</v>
      </c>
      <c r="AA849" s="437">
        <f t="shared" si="437"/>
        <v>0</v>
      </c>
      <c r="AB849" s="684">
        <f t="shared" si="438"/>
        <v>0</v>
      </c>
      <c r="AC849" s="434"/>
    </row>
    <row r="850" spans="5:29">
      <c r="E850" s="598"/>
      <c r="F850" s="699"/>
      <c r="G850" s="700"/>
      <c r="H850" s="598"/>
      <c r="I850" s="598"/>
      <c r="J850" s="598"/>
      <c r="K850" s="598"/>
      <c r="L850" s="598"/>
      <c r="Q850" s="438"/>
      <c r="R850" s="439" t="s">
        <v>217</v>
      </c>
      <c r="S850" s="440"/>
      <c r="T850" s="441"/>
      <c r="U850" s="441"/>
      <c r="V850" s="442"/>
      <c r="W850" s="443">
        <f t="shared" ref="W850:AB850" si="439">SUM(W838:W849)</f>
        <v>2214.8000000000002</v>
      </c>
      <c r="X850" s="443">
        <f t="shared" si="439"/>
        <v>192.83500000000001</v>
      </c>
      <c r="Y850" s="443">
        <f t="shared" si="439"/>
        <v>55.722999999999999</v>
      </c>
      <c r="Z850" s="443">
        <f t="shared" si="439"/>
        <v>214.81</v>
      </c>
      <c r="AA850" s="685">
        <f t="shared" si="439"/>
        <v>29.44</v>
      </c>
      <c r="AB850" s="691">
        <f t="shared" si="439"/>
        <v>0</v>
      </c>
      <c r="AC850" s="439"/>
    </row>
    <row r="851" spans="5:29">
      <c r="E851" s="598"/>
      <c r="F851" s="699"/>
      <c r="G851" s="700"/>
      <c r="H851" s="598"/>
      <c r="I851" s="598"/>
      <c r="J851" s="598"/>
      <c r="K851" s="598"/>
      <c r="L851" s="598"/>
      <c r="Q851" s="438"/>
      <c r="R851" s="439" t="s">
        <v>220</v>
      </c>
      <c r="S851" s="440"/>
      <c r="T851" s="441"/>
      <c r="U851" s="441"/>
      <c r="V851" s="442"/>
      <c r="W851" s="444">
        <f>$B$27</f>
        <v>2834.5625</v>
      </c>
      <c r="X851" s="444">
        <f>$B$29</f>
        <v>154</v>
      </c>
      <c r="Y851" s="444">
        <f>$B$30</f>
        <v>63.91</v>
      </c>
      <c r="Z851" s="444">
        <f>$B$31</f>
        <v>410.84312499999999</v>
      </c>
      <c r="AA851" s="692">
        <f>$B$32</f>
        <v>39.683875</v>
      </c>
      <c r="AB851" s="695">
        <f>$B$39</f>
        <v>500</v>
      </c>
      <c r="AC851" s="439"/>
    </row>
    <row r="852" spans="5:29">
      <c r="E852" s="598"/>
      <c r="F852" s="699"/>
      <c r="G852" s="700"/>
      <c r="H852" s="598"/>
      <c r="I852" s="598"/>
      <c r="J852" s="598"/>
      <c r="K852" s="598"/>
      <c r="L852" s="598"/>
      <c r="Q852" s="438"/>
      <c r="R852" s="439" t="s">
        <v>222</v>
      </c>
      <c r="S852" s="440"/>
      <c r="T852" s="441"/>
      <c r="U852" s="441"/>
      <c r="V852" s="442"/>
      <c r="W852" s="284">
        <f t="shared" ref="W852:AB852" si="440">W850-W851</f>
        <v>-619.76249999999982</v>
      </c>
      <c r="X852" s="284">
        <f t="shared" si="440"/>
        <v>38.835000000000008</v>
      </c>
      <c r="Y852" s="284">
        <f t="shared" si="440"/>
        <v>-8.1869999999999976</v>
      </c>
      <c r="Z852" s="284">
        <f t="shared" si="440"/>
        <v>-196.03312499999998</v>
      </c>
      <c r="AA852" s="690">
        <f t="shared" si="440"/>
        <v>-10.243874999999999</v>
      </c>
      <c r="AB852" s="689">
        <f t="shared" si="440"/>
        <v>-500</v>
      </c>
      <c r="AC852" s="439"/>
    </row>
    <row r="853" spans="5:29">
      <c r="E853" s="598"/>
      <c r="F853" s="699"/>
      <c r="G853" s="700"/>
      <c r="H853" s="598"/>
      <c r="I853" s="598"/>
      <c r="J853" s="598"/>
      <c r="K853" s="598"/>
      <c r="L853" s="598"/>
      <c r="Q853" s="432">
        <v>46087</v>
      </c>
      <c r="R853" s="433">
        <v>0.375</v>
      </c>
      <c r="S853" s="434" t="s">
        <v>178</v>
      </c>
      <c r="T853" s="434" t="s">
        <v>295</v>
      </c>
      <c r="U853" s="435">
        <v>1</v>
      </c>
      <c r="V853" s="436" t="str">
        <f t="shared" ref="V853:V868" si="441">IFERROR(VLOOKUP(T853, $E$5:$L$818, 3, FALSE), "")</f>
        <v>bottle</v>
      </c>
      <c r="W853" s="437">
        <f t="shared" ref="W853:W868" si="442">IFERROR(VLOOKUP(T853, $E$5:$L$818, 4, FALSE) * (U853 / VLOOKUP(T853, $E$5:$L$818, 2, FALSE)), "")</f>
        <v>200</v>
      </c>
      <c r="X853" s="437">
        <f t="shared" ref="X853:X868" si="443">IFERROR(VLOOKUP(T853, $E$5:$L$818, 5, FALSE) * (U853 / VLOOKUP(T853, $E$5:$L$818, 2, FALSE)), "")</f>
        <v>35</v>
      </c>
      <c r="Y853" s="437">
        <f t="shared" ref="Y853:Y868" si="444">IFERROR(VLOOKUP(T853, $E$5:$L$818, 6, FALSE) * (U853 / VLOOKUP(T853, $E$5:$L$818, 2, FALSE)), "")</f>
        <v>2.5</v>
      </c>
      <c r="Z853" s="437">
        <f t="shared" ref="Z853:Z868" si="445">IFERROR(VLOOKUP(T853, $E$5:$L$818, 7, FALSE) * (U853 / VLOOKUP(T853, $E$5:$L$818, 2, FALSE)), "")</f>
        <v>9</v>
      </c>
      <c r="AA853" s="437">
        <f t="shared" ref="AA853:AA868" si="446">IFERROR(VLOOKUP(T853, $E$5:$L$818, 8, FALSE) * (U853 / VLOOKUP(T853, $E$5:$L$818, 2, FALSE)), "")</f>
        <v>0</v>
      </c>
      <c r="AB853" s="674">
        <f t="shared" ref="AB853:AB868" si="447">IFERROR(VLOOKUP(T853, $E$5:$O$818, 9, FALSE) * (U853 / VLOOKUP(T853, $E$5:$O$818, 2, FALSE)), "")</f>
        <v>0</v>
      </c>
      <c r="AC853" s="434"/>
    </row>
    <row r="854" spans="5:29">
      <c r="E854" s="598"/>
      <c r="F854" s="699"/>
      <c r="G854" s="700"/>
      <c r="H854" s="598"/>
      <c r="I854" s="598"/>
      <c r="J854" s="598"/>
      <c r="K854" s="598"/>
      <c r="L854" s="598"/>
      <c r="Q854" s="432">
        <v>46087</v>
      </c>
      <c r="R854" s="433">
        <v>0.41666666666666669</v>
      </c>
      <c r="S854" s="434" t="s">
        <v>289</v>
      </c>
      <c r="T854" s="434" t="s">
        <v>783</v>
      </c>
      <c r="U854" s="435">
        <v>2</v>
      </c>
      <c r="V854" s="436" t="str">
        <f t="shared" si="441"/>
        <v>piece</v>
      </c>
      <c r="W854" s="437">
        <f t="shared" si="442"/>
        <v>70</v>
      </c>
      <c r="X854" s="437">
        <f t="shared" si="443"/>
        <v>0</v>
      </c>
      <c r="Y854" s="437">
        <f t="shared" si="444"/>
        <v>4</v>
      </c>
      <c r="Z854" s="437">
        <f t="shared" si="445"/>
        <v>8</v>
      </c>
      <c r="AA854" s="437">
        <f t="shared" si="446"/>
        <v>0</v>
      </c>
      <c r="AB854" s="584">
        <f t="shared" si="447"/>
        <v>0</v>
      </c>
      <c r="AC854" s="434"/>
    </row>
    <row r="855" spans="5:29">
      <c r="E855" s="598"/>
      <c r="F855" s="699"/>
      <c r="G855" s="700"/>
      <c r="H855" s="598"/>
      <c r="I855" s="598"/>
      <c r="J855" s="598"/>
      <c r="K855" s="598"/>
      <c r="L855" s="598"/>
      <c r="Q855" s="432">
        <v>46087</v>
      </c>
      <c r="R855" s="433">
        <v>0.45833333333333331</v>
      </c>
      <c r="S855" s="434" t="s">
        <v>289</v>
      </c>
      <c r="T855" s="434" t="s">
        <v>468</v>
      </c>
      <c r="U855" s="435">
        <v>1</v>
      </c>
      <c r="V855" s="436" t="str">
        <f t="shared" si="441"/>
        <v>apple</v>
      </c>
      <c r="W855" s="437">
        <f t="shared" si="442"/>
        <v>95</v>
      </c>
      <c r="X855" s="437">
        <f t="shared" si="443"/>
        <v>0.5</v>
      </c>
      <c r="Y855" s="437">
        <f t="shared" si="444"/>
        <v>0.3</v>
      </c>
      <c r="Z855" s="437">
        <f t="shared" si="445"/>
        <v>25</v>
      </c>
      <c r="AA855" s="437">
        <f t="shared" si="446"/>
        <v>4</v>
      </c>
      <c r="AB855" s="584">
        <f t="shared" si="447"/>
        <v>0</v>
      </c>
      <c r="AC855" s="434"/>
    </row>
    <row r="856" spans="5:29">
      <c r="E856" s="598"/>
      <c r="F856" s="699"/>
      <c r="G856" s="700"/>
      <c r="H856" s="598"/>
      <c r="I856" s="598"/>
      <c r="J856" s="598"/>
      <c r="K856" s="598"/>
      <c r="L856" s="598"/>
      <c r="Q856" s="432">
        <v>46087</v>
      </c>
      <c r="R856" s="433">
        <v>0.45833333333333331</v>
      </c>
      <c r="S856" s="434" t="s">
        <v>289</v>
      </c>
      <c r="T856" s="434" t="s">
        <v>464</v>
      </c>
      <c r="U856" s="435">
        <v>1</v>
      </c>
      <c r="V856" s="436" t="str">
        <f t="shared" si="441"/>
        <v>lozenge</v>
      </c>
      <c r="W856" s="437">
        <f t="shared" si="442"/>
        <v>10</v>
      </c>
      <c r="X856" s="437">
        <f t="shared" si="443"/>
        <v>0</v>
      </c>
      <c r="Y856" s="437">
        <f t="shared" si="444"/>
        <v>0</v>
      </c>
      <c r="Z856" s="437">
        <f t="shared" si="445"/>
        <v>3</v>
      </c>
      <c r="AA856" s="437">
        <f t="shared" si="446"/>
        <v>0</v>
      </c>
      <c r="AB856" s="584">
        <f t="shared" si="447"/>
        <v>0</v>
      </c>
      <c r="AC856" s="434"/>
    </row>
    <row r="857" spans="5:29">
      <c r="E857" s="598"/>
      <c r="F857" s="699"/>
      <c r="G857" s="700"/>
      <c r="H857" s="598"/>
      <c r="I857" s="598"/>
      <c r="J857" s="598"/>
      <c r="K857" s="598"/>
      <c r="L857" s="598"/>
      <c r="Q857" s="432">
        <v>46087</v>
      </c>
      <c r="R857" s="433">
        <v>0.45833333333333298</v>
      </c>
      <c r="S857" s="434" t="s">
        <v>185</v>
      </c>
      <c r="T857" s="434" t="s">
        <v>753</v>
      </c>
      <c r="U857" s="435">
        <v>170</v>
      </c>
      <c r="V857" s="436" t="str">
        <f t="shared" si="441"/>
        <v>g</v>
      </c>
      <c r="W857" s="437">
        <f t="shared" si="442"/>
        <v>221</v>
      </c>
      <c r="X857" s="437">
        <f t="shared" si="443"/>
        <v>1.7</v>
      </c>
      <c r="Y857" s="437">
        <f t="shared" si="444"/>
        <v>0</v>
      </c>
      <c r="Z857" s="437">
        <f t="shared" si="445"/>
        <v>52.699999999999996</v>
      </c>
      <c r="AA857" s="437">
        <f t="shared" si="446"/>
        <v>5.0999999999999996</v>
      </c>
      <c r="AB857" s="584">
        <f t="shared" si="447"/>
        <v>0</v>
      </c>
      <c r="AC857" s="434"/>
    </row>
    <row r="858" spans="5:29">
      <c r="E858" s="598"/>
      <c r="F858" s="699"/>
      <c r="G858" s="700"/>
      <c r="H858" s="598"/>
      <c r="I858" s="598"/>
      <c r="J858" s="598"/>
      <c r="K858" s="598"/>
      <c r="L858" s="598"/>
      <c r="Q858" s="432">
        <v>46087</v>
      </c>
      <c r="R858" s="433">
        <v>0.45833333333333298</v>
      </c>
      <c r="S858" s="434" t="s">
        <v>185</v>
      </c>
      <c r="T858" s="434" t="s">
        <v>465</v>
      </c>
      <c r="U858" s="435">
        <v>95</v>
      </c>
      <c r="V858" s="436" t="str">
        <f t="shared" si="441"/>
        <v>g</v>
      </c>
      <c r="W858" s="437">
        <f t="shared" si="442"/>
        <v>171</v>
      </c>
      <c r="X858" s="437">
        <f t="shared" si="443"/>
        <v>20.9</v>
      </c>
      <c r="Y858" s="437">
        <f t="shared" si="444"/>
        <v>8.5499999999999989</v>
      </c>
      <c r="Z858" s="437">
        <f t="shared" si="445"/>
        <v>1.9</v>
      </c>
      <c r="AA858" s="437">
        <f t="shared" si="446"/>
        <v>0</v>
      </c>
      <c r="AB858" s="584">
        <f t="shared" si="447"/>
        <v>0</v>
      </c>
      <c r="AC858" s="434"/>
    </row>
    <row r="859" spans="5:29">
      <c r="E859" s="598"/>
      <c r="F859" s="699"/>
      <c r="G859" s="700"/>
      <c r="H859" s="598"/>
      <c r="I859" s="598"/>
      <c r="J859" s="598"/>
      <c r="K859" s="598"/>
      <c r="L859" s="598"/>
      <c r="Q859" s="432">
        <v>46087</v>
      </c>
      <c r="R859" s="433">
        <v>0.45833333333333298</v>
      </c>
      <c r="S859" s="434" t="s">
        <v>185</v>
      </c>
      <c r="T859" s="434" t="s">
        <v>176</v>
      </c>
      <c r="U859" s="435">
        <v>190</v>
      </c>
      <c r="V859" s="436" t="str">
        <f t="shared" si="441"/>
        <v>g</v>
      </c>
      <c r="W859" s="437">
        <f t="shared" si="442"/>
        <v>313.5</v>
      </c>
      <c r="X859" s="437">
        <f t="shared" si="443"/>
        <v>47.5</v>
      </c>
      <c r="Y859" s="437">
        <f t="shared" si="444"/>
        <v>6.84</v>
      </c>
      <c r="Z859" s="437">
        <f t="shared" si="445"/>
        <v>0</v>
      </c>
      <c r="AA859" s="437">
        <f t="shared" si="446"/>
        <v>0</v>
      </c>
      <c r="AB859" s="584">
        <f t="shared" si="447"/>
        <v>0</v>
      </c>
      <c r="AC859" s="434"/>
    </row>
    <row r="860" spans="5:29">
      <c r="E860" s="598"/>
      <c r="F860" s="699"/>
      <c r="G860" s="700"/>
      <c r="H860" s="598"/>
      <c r="I860" s="598"/>
      <c r="J860" s="598"/>
      <c r="K860" s="598"/>
      <c r="L860" s="598"/>
      <c r="Q860" s="432">
        <v>46087</v>
      </c>
      <c r="R860" s="433">
        <v>0.45833333333333298</v>
      </c>
      <c r="S860" s="434" t="s">
        <v>185</v>
      </c>
      <c r="T860" s="434" t="s">
        <v>816</v>
      </c>
      <c r="U860" s="435">
        <v>100</v>
      </c>
      <c r="V860" s="436" t="str">
        <f t="shared" si="441"/>
        <v>g</v>
      </c>
      <c r="W860" s="437">
        <f t="shared" si="442"/>
        <v>217</v>
      </c>
      <c r="X860" s="437">
        <f t="shared" si="443"/>
        <v>26</v>
      </c>
      <c r="Y860" s="437">
        <f t="shared" si="444"/>
        <v>12</v>
      </c>
      <c r="Z860" s="437">
        <f t="shared" si="445"/>
        <v>0</v>
      </c>
      <c r="AA860" s="437">
        <f t="shared" si="446"/>
        <v>0</v>
      </c>
      <c r="AB860" s="584">
        <f t="shared" si="447"/>
        <v>0</v>
      </c>
      <c r="AC860" s="434"/>
    </row>
    <row r="861" spans="5:29">
      <c r="E861" s="598"/>
      <c r="F861" s="699"/>
      <c r="G861" s="700"/>
      <c r="H861" s="598"/>
      <c r="I861" s="598"/>
      <c r="J861" s="598"/>
      <c r="K861" s="598"/>
      <c r="L861" s="598"/>
      <c r="Q861" s="432">
        <v>46087</v>
      </c>
      <c r="R861" s="433">
        <v>0.58333333333333337</v>
      </c>
      <c r="S861" s="434" t="s">
        <v>289</v>
      </c>
      <c r="T861" s="434" t="s">
        <v>214</v>
      </c>
      <c r="U861" s="435">
        <f>(2/3)+1</f>
        <v>1.6666666666666665</v>
      </c>
      <c r="V861" s="436" t="str">
        <f t="shared" si="441"/>
        <v>bar</v>
      </c>
      <c r="W861" s="437">
        <f t="shared" si="442"/>
        <v>111.66666666666666</v>
      </c>
      <c r="X861" s="437">
        <f t="shared" si="443"/>
        <v>1.6666666666666665</v>
      </c>
      <c r="Y861" s="437">
        <f t="shared" si="444"/>
        <v>5.833333333333333</v>
      </c>
      <c r="Z861" s="437">
        <f t="shared" si="445"/>
        <v>36.666666666666664</v>
      </c>
      <c r="AA861" s="437">
        <f t="shared" si="446"/>
        <v>0.49999999999999994</v>
      </c>
      <c r="AB861" s="584">
        <f t="shared" si="447"/>
        <v>0</v>
      </c>
      <c r="AC861" s="434"/>
    </row>
    <row r="862" spans="5:29">
      <c r="E862" s="598"/>
      <c r="F862" s="699"/>
      <c r="G862" s="700"/>
      <c r="H862" s="598"/>
      <c r="I862" s="598"/>
      <c r="J862" s="598"/>
      <c r="K862" s="598"/>
      <c r="L862" s="598"/>
      <c r="Q862" s="432">
        <v>46087</v>
      </c>
      <c r="R862" s="433">
        <v>0.625</v>
      </c>
      <c r="S862" s="434" t="s">
        <v>289</v>
      </c>
      <c r="T862" s="434" t="s">
        <v>423</v>
      </c>
      <c r="U862" s="435">
        <v>2</v>
      </c>
      <c r="V862" s="436" t="str">
        <f t="shared" si="441"/>
        <v>pieces</v>
      </c>
      <c r="W862" s="437">
        <f t="shared" si="442"/>
        <v>15</v>
      </c>
      <c r="X862" s="437">
        <f t="shared" si="443"/>
        <v>0</v>
      </c>
      <c r="Y862" s="437">
        <f t="shared" si="444"/>
        <v>0</v>
      </c>
      <c r="Z862" s="437">
        <f t="shared" si="445"/>
        <v>3</v>
      </c>
      <c r="AA862" s="437">
        <f t="shared" si="446"/>
        <v>0</v>
      </c>
      <c r="AB862" s="584">
        <f t="shared" si="447"/>
        <v>0</v>
      </c>
      <c r="AC862" s="434"/>
    </row>
    <row r="863" spans="5:29">
      <c r="E863" s="598"/>
      <c r="F863" s="699"/>
      <c r="G863" s="700"/>
      <c r="H863" s="598"/>
      <c r="I863" s="598"/>
      <c r="J863" s="598"/>
      <c r="K863" s="598"/>
      <c r="L863" s="598"/>
      <c r="Q863" s="432">
        <v>46087</v>
      </c>
      <c r="R863" s="433">
        <v>0.625</v>
      </c>
      <c r="S863" s="434" t="s">
        <v>289</v>
      </c>
      <c r="T863" s="434" t="s">
        <v>783</v>
      </c>
      <c r="U863" s="435">
        <v>1</v>
      </c>
      <c r="V863" s="436" t="str">
        <f t="shared" si="441"/>
        <v>piece</v>
      </c>
      <c r="W863" s="437">
        <f t="shared" si="442"/>
        <v>35</v>
      </c>
      <c r="X863" s="437">
        <f t="shared" si="443"/>
        <v>0</v>
      </c>
      <c r="Y863" s="437">
        <f t="shared" si="444"/>
        <v>2</v>
      </c>
      <c r="Z863" s="437">
        <f t="shared" si="445"/>
        <v>4</v>
      </c>
      <c r="AA863" s="437">
        <f t="shared" si="446"/>
        <v>0</v>
      </c>
      <c r="AB863" s="584">
        <f t="shared" si="447"/>
        <v>0</v>
      </c>
      <c r="AC863" s="434"/>
    </row>
    <row r="864" spans="5:29">
      <c r="E864" s="598"/>
      <c r="F864" s="699"/>
      <c r="G864" s="700"/>
      <c r="H864" s="598"/>
      <c r="I864" s="598"/>
      <c r="J864" s="598"/>
      <c r="K864" s="598"/>
      <c r="L864" s="598"/>
      <c r="Q864" s="432">
        <v>46087</v>
      </c>
      <c r="R864" s="433">
        <v>0.625</v>
      </c>
      <c r="S864" s="434" t="s">
        <v>199</v>
      </c>
      <c r="T864" s="434" t="s">
        <v>176</v>
      </c>
      <c r="U864" s="435">
        <v>272</v>
      </c>
      <c r="V864" s="436" t="str">
        <f t="shared" si="441"/>
        <v>g</v>
      </c>
      <c r="W864" s="437">
        <f t="shared" si="442"/>
        <v>448.8</v>
      </c>
      <c r="X864" s="437">
        <f t="shared" si="443"/>
        <v>68</v>
      </c>
      <c r="Y864" s="437">
        <f t="shared" si="444"/>
        <v>9.7920000000000016</v>
      </c>
      <c r="Z864" s="437">
        <f t="shared" si="445"/>
        <v>0</v>
      </c>
      <c r="AA864" s="437">
        <f t="shared" si="446"/>
        <v>0</v>
      </c>
      <c r="AB864" s="584">
        <f t="shared" si="447"/>
        <v>0</v>
      </c>
      <c r="AC864" s="434"/>
    </row>
    <row r="865" spans="5:29">
      <c r="E865" s="598"/>
      <c r="F865" s="699"/>
      <c r="G865" s="700"/>
      <c r="H865" s="598"/>
      <c r="I865" s="598"/>
      <c r="J865" s="598"/>
      <c r="K865" s="598"/>
      <c r="L865" s="598"/>
      <c r="Q865" s="432">
        <v>46087</v>
      </c>
      <c r="R865" s="433">
        <v>0.625</v>
      </c>
      <c r="S865" s="434" t="s">
        <v>199</v>
      </c>
      <c r="T865" s="434" t="s">
        <v>753</v>
      </c>
      <c r="U865" s="435">
        <v>121</v>
      </c>
      <c r="V865" s="436" t="str">
        <f t="shared" si="441"/>
        <v>g</v>
      </c>
      <c r="W865" s="437">
        <f t="shared" si="442"/>
        <v>157.29999999999998</v>
      </c>
      <c r="X865" s="437">
        <f t="shared" si="443"/>
        <v>1.21</v>
      </c>
      <c r="Y865" s="437">
        <f t="shared" si="444"/>
        <v>0</v>
      </c>
      <c r="Z865" s="437">
        <f t="shared" si="445"/>
        <v>37.51</v>
      </c>
      <c r="AA865" s="437">
        <f t="shared" si="446"/>
        <v>3.63</v>
      </c>
      <c r="AB865" s="584">
        <f t="shared" si="447"/>
        <v>0</v>
      </c>
      <c r="AC865" s="434"/>
    </row>
    <row r="866" spans="5:29">
      <c r="E866" s="598"/>
      <c r="F866" s="699"/>
      <c r="G866" s="700"/>
      <c r="H866" s="598"/>
      <c r="I866" s="598"/>
      <c r="J866" s="598"/>
      <c r="K866" s="598"/>
      <c r="L866" s="598"/>
      <c r="Q866" s="432">
        <v>46087</v>
      </c>
      <c r="R866" s="433">
        <v>0.625</v>
      </c>
      <c r="S866" s="434" t="s">
        <v>289</v>
      </c>
      <c r="T866" s="434" t="s">
        <v>786</v>
      </c>
      <c r="U866" s="435">
        <v>1</v>
      </c>
      <c r="V866" s="436" t="str">
        <f t="shared" si="441"/>
        <v>bottle</v>
      </c>
      <c r="W866" s="437">
        <f t="shared" si="442"/>
        <v>90</v>
      </c>
      <c r="X866" s="437">
        <f t="shared" si="443"/>
        <v>0</v>
      </c>
      <c r="Y866" s="437">
        <f t="shared" si="444"/>
        <v>0</v>
      </c>
      <c r="Z866" s="437">
        <f t="shared" si="445"/>
        <v>22</v>
      </c>
      <c r="AA866" s="437">
        <f t="shared" si="446"/>
        <v>0</v>
      </c>
      <c r="AB866" s="584">
        <f t="shared" si="447"/>
        <v>0</v>
      </c>
      <c r="AC866" s="434"/>
    </row>
    <row r="867" spans="5:29">
      <c r="E867" s="598"/>
      <c r="F867" s="699"/>
      <c r="G867" s="700"/>
      <c r="H867" s="598"/>
      <c r="I867" s="598"/>
      <c r="J867" s="598"/>
      <c r="K867" s="598"/>
      <c r="L867" s="598"/>
      <c r="Q867" s="432">
        <v>46087</v>
      </c>
      <c r="R867" s="433">
        <v>0.625</v>
      </c>
      <c r="S867" s="434" t="s">
        <v>199</v>
      </c>
      <c r="T867" s="434" t="s">
        <v>209</v>
      </c>
      <c r="U867" s="435">
        <v>3</v>
      </c>
      <c r="V867" s="436" t="str">
        <f t="shared" si="441"/>
        <v>tbsp</v>
      </c>
      <c r="W867" s="437">
        <f t="shared" si="442"/>
        <v>60</v>
      </c>
      <c r="X867" s="437">
        <f t="shared" si="443"/>
        <v>0</v>
      </c>
      <c r="Y867" s="437">
        <f t="shared" si="444"/>
        <v>0</v>
      </c>
      <c r="Z867" s="437">
        <f t="shared" si="445"/>
        <v>15</v>
      </c>
      <c r="AA867" s="437">
        <f t="shared" si="446"/>
        <v>13.5</v>
      </c>
      <c r="AB867" s="584">
        <f t="shared" si="447"/>
        <v>0</v>
      </c>
      <c r="AC867" s="434"/>
    </row>
    <row r="868" spans="5:29">
      <c r="E868" s="598"/>
      <c r="F868" s="699"/>
      <c r="G868" s="700"/>
      <c r="H868" s="598"/>
      <c r="I868" s="598"/>
      <c r="J868" s="598"/>
      <c r="K868" s="598"/>
      <c r="L868" s="598"/>
      <c r="Q868" s="432">
        <v>46087</v>
      </c>
      <c r="R868" s="433">
        <v>0.625</v>
      </c>
      <c r="S868" s="434" t="s">
        <v>199</v>
      </c>
      <c r="T868" s="434" t="s">
        <v>181</v>
      </c>
      <c r="U868" s="435">
        <v>2</v>
      </c>
      <c r="V868" s="436" t="str">
        <f t="shared" si="441"/>
        <v>slice</v>
      </c>
      <c r="W868" s="437">
        <f t="shared" si="442"/>
        <v>140</v>
      </c>
      <c r="X868" s="437">
        <f t="shared" si="443"/>
        <v>5</v>
      </c>
      <c r="Y868" s="437">
        <f t="shared" si="444"/>
        <v>2.5</v>
      </c>
      <c r="Z868" s="437">
        <f t="shared" si="445"/>
        <v>24</v>
      </c>
      <c r="AA868" s="437">
        <f t="shared" si="446"/>
        <v>2</v>
      </c>
      <c r="AB868" s="684">
        <f t="shared" si="447"/>
        <v>0</v>
      </c>
      <c r="AC868" s="434"/>
    </row>
    <row r="869" spans="5:29">
      <c r="E869" s="598"/>
      <c r="F869" s="699"/>
      <c r="G869" s="700"/>
      <c r="H869" s="598"/>
      <c r="I869" s="598"/>
      <c r="J869" s="598"/>
      <c r="K869" s="598"/>
      <c r="L869" s="598"/>
      <c r="Q869" s="438"/>
      <c r="R869" s="439" t="s">
        <v>217</v>
      </c>
      <c r="S869" s="440"/>
      <c r="T869" s="441"/>
      <c r="U869" s="441"/>
      <c r="V869" s="442"/>
      <c r="W869" s="443">
        <f t="shared" ref="W869:AB869" si="448">SUM(W853:W868)</f>
        <v>2355.2666666666669</v>
      </c>
      <c r="X869" s="443">
        <f t="shared" si="448"/>
        <v>207.47666666666666</v>
      </c>
      <c r="Y869" s="443">
        <f t="shared" si="448"/>
        <v>54.315333333333335</v>
      </c>
      <c r="Z869" s="443">
        <f t="shared" si="448"/>
        <v>241.77666666666664</v>
      </c>
      <c r="AA869" s="685">
        <f t="shared" si="448"/>
        <v>28.73</v>
      </c>
      <c r="AB869" s="691">
        <f t="shared" si="448"/>
        <v>0</v>
      </c>
      <c r="AC869" s="439"/>
    </row>
    <row r="870" spans="5:29">
      <c r="E870" s="598"/>
      <c r="F870" s="699"/>
      <c r="G870" s="700"/>
      <c r="H870" s="598"/>
      <c r="I870" s="598"/>
      <c r="J870" s="598"/>
      <c r="K870" s="598"/>
      <c r="L870" s="598"/>
      <c r="Q870" s="438"/>
      <c r="R870" s="439" t="s">
        <v>220</v>
      </c>
      <c r="S870" s="440"/>
      <c r="T870" s="441"/>
      <c r="U870" s="441"/>
      <c r="V870" s="442"/>
      <c r="W870" s="444">
        <f>$B$27</f>
        <v>2834.5625</v>
      </c>
      <c r="X870" s="444">
        <f>$B$29</f>
        <v>154</v>
      </c>
      <c r="Y870" s="444">
        <f>$B$30</f>
        <v>63.91</v>
      </c>
      <c r="Z870" s="444">
        <f>$B$31</f>
        <v>410.84312499999999</v>
      </c>
      <c r="AA870" s="692">
        <f>$B$32</f>
        <v>39.683875</v>
      </c>
      <c r="AB870" s="695">
        <f>$B$39</f>
        <v>500</v>
      </c>
      <c r="AC870" s="439"/>
    </row>
    <row r="871" spans="5:29">
      <c r="E871" s="598"/>
      <c r="F871" s="699"/>
      <c r="G871" s="700"/>
      <c r="H871" s="598"/>
      <c r="I871" s="598"/>
      <c r="J871" s="598"/>
      <c r="K871" s="598"/>
      <c r="L871" s="598"/>
      <c r="Q871" s="438"/>
      <c r="R871" s="439" t="s">
        <v>222</v>
      </c>
      <c r="S871" s="440"/>
      <c r="T871" s="441"/>
      <c r="U871" s="441"/>
      <c r="V871" s="442"/>
      <c r="W871" s="284">
        <f t="shared" ref="W871:AB871" si="449">W869-W870</f>
        <v>-479.29583333333312</v>
      </c>
      <c r="X871" s="284">
        <f t="shared" si="449"/>
        <v>53.476666666666659</v>
      </c>
      <c r="Y871" s="284">
        <f t="shared" si="449"/>
        <v>-9.5946666666666616</v>
      </c>
      <c r="Z871" s="284">
        <f t="shared" si="449"/>
        <v>-169.06645833333334</v>
      </c>
      <c r="AA871" s="690">
        <f t="shared" si="449"/>
        <v>-10.953875</v>
      </c>
      <c r="AB871" s="689">
        <f t="shared" si="449"/>
        <v>-500</v>
      </c>
      <c r="AC871" s="439"/>
    </row>
    <row r="872" spans="5:29">
      <c r="E872" s="598"/>
      <c r="F872" s="699"/>
      <c r="G872" s="700"/>
      <c r="H872" s="598"/>
      <c r="I872" s="598"/>
      <c r="J872" s="598"/>
      <c r="K872" s="598"/>
      <c r="L872" s="598"/>
      <c r="Q872" s="432">
        <v>46088</v>
      </c>
      <c r="R872" s="433">
        <v>0.41666666666666669</v>
      </c>
      <c r="S872" s="434" t="s">
        <v>178</v>
      </c>
      <c r="T872" s="434" t="s">
        <v>295</v>
      </c>
      <c r="U872" s="435">
        <v>1</v>
      </c>
      <c r="V872" s="436" t="str">
        <f t="shared" ref="V872:V884" si="450">IFERROR(VLOOKUP(T872, $E$5:$L$818, 3, FALSE), "")</f>
        <v>bottle</v>
      </c>
      <c r="W872" s="437">
        <f t="shared" ref="W872:W884" si="451">IFERROR(VLOOKUP(T872, $E$5:$L$818, 4, FALSE) * (U872 / VLOOKUP(T872, $E$5:$L$818, 2, FALSE)), "")</f>
        <v>200</v>
      </c>
      <c r="X872" s="437">
        <f t="shared" ref="X872:X884" si="452">IFERROR(VLOOKUP(T872, $E$5:$L$818, 5, FALSE) * (U872 / VLOOKUP(T872, $E$5:$L$818, 2, FALSE)), "")</f>
        <v>35</v>
      </c>
      <c r="Y872" s="437">
        <f t="shared" ref="Y872:Y884" si="453">IFERROR(VLOOKUP(T872, $E$5:$L$818, 6, FALSE) * (U872 / VLOOKUP(T872, $E$5:$L$818, 2, FALSE)), "")</f>
        <v>2.5</v>
      </c>
      <c r="Z872" s="437">
        <f t="shared" ref="Z872:Z884" si="454">IFERROR(VLOOKUP(T872, $E$5:$L$818, 7, FALSE) * (U872 / VLOOKUP(T872, $E$5:$L$818, 2, FALSE)), "")</f>
        <v>9</v>
      </c>
      <c r="AA872" s="437">
        <f t="shared" ref="AA872:AA884" si="455">IFERROR(VLOOKUP(T872, $E$5:$L$818, 8, FALSE) * (U872 / VLOOKUP(T872, $E$5:$L$818, 2, FALSE)), "")</f>
        <v>0</v>
      </c>
      <c r="AB872" s="674">
        <f t="shared" ref="AB872:AB884" si="456">IFERROR(VLOOKUP(T872, $E$5:$O$818, 9, FALSE) * (U872 / VLOOKUP(T872, $E$5:$O$818, 2, FALSE)), "")</f>
        <v>0</v>
      </c>
      <c r="AC872" s="434"/>
    </row>
    <row r="873" spans="5:29">
      <c r="E873" s="598"/>
      <c r="F873" s="699"/>
      <c r="G873" s="700"/>
      <c r="H873" s="598"/>
      <c r="I873" s="598"/>
      <c r="J873" s="598"/>
      <c r="K873" s="598"/>
      <c r="L873" s="598"/>
      <c r="Q873" s="432">
        <v>46088</v>
      </c>
      <c r="R873" s="433">
        <v>0.41666666666666669</v>
      </c>
      <c r="S873" s="434" t="s">
        <v>178</v>
      </c>
      <c r="T873" s="434" t="s">
        <v>181</v>
      </c>
      <c r="U873" s="435">
        <v>4</v>
      </c>
      <c r="V873" s="436" t="str">
        <f t="shared" si="450"/>
        <v>slice</v>
      </c>
      <c r="W873" s="437">
        <f t="shared" si="451"/>
        <v>280</v>
      </c>
      <c r="X873" s="437">
        <f t="shared" si="452"/>
        <v>10</v>
      </c>
      <c r="Y873" s="437">
        <f t="shared" si="453"/>
        <v>5</v>
      </c>
      <c r="Z873" s="437">
        <f t="shared" si="454"/>
        <v>48</v>
      </c>
      <c r="AA873" s="437">
        <f t="shared" si="455"/>
        <v>4</v>
      </c>
      <c r="AB873" s="584">
        <f t="shared" si="456"/>
        <v>0</v>
      </c>
      <c r="AC873" s="434"/>
    </row>
    <row r="874" spans="5:29">
      <c r="E874" s="598"/>
      <c r="F874" s="699"/>
      <c r="G874" s="700"/>
      <c r="H874" s="598"/>
      <c r="I874" s="598"/>
      <c r="J874" s="598"/>
      <c r="K874" s="598"/>
      <c r="L874" s="598"/>
      <c r="Q874" s="432">
        <v>46088</v>
      </c>
      <c r="R874" s="433">
        <v>0.45833333333333331</v>
      </c>
      <c r="S874" s="434" t="s">
        <v>289</v>
      </c>
      <c r="T874" s="434" t="s">
        <v>214</v>
      </c>
      <c r="U874" s="435">
        <v>1</v>
      </c>
      <c r="V874" s="436" t="str">
        <f t="shared" si="450"/>
        <v>bar</v>
      </c>
      <c r="W874" s="437">
        <f t="shared" si="451"/>
        <v>67</v>
      </c>
      <c r="X874" s="437">
        <f t="shared" si="452"/>
        <v>1</v>
      </c>
      <c r="Y874" s="437">
        <f t="shared" si="453"/>
        <v>3.5</v>
      </c>
      <c r="Z874" s="437">
        <f t="shared" si="454"/>
        <v>22</v>
      </c>
      <c r="AA874" s="437">
        <f t="shared" si="455"/>
        <v>0.3</v>
      </c>
      <c r="AB874" s="584">
        <f t="shared" si="456"/>
        <v>0</v>
      </c>
      <c r="AC874" s="434"/>
    </row>
    <row r="875" spans="5:29">
      <c r="E875" s="598"/>
      <c r="F875" s="699"/>
      <c r="G875" s="700"/>
      <c r="H875" s="598"/>
      <c r="I875" s="598"/>
      <c r="J875" s="598"/>
      <c r="K875" s="598"/>
      <c r="L875" s="598"/>
      <c r="Q875" s="432">
        <v>46088</v>
      </c>
      <c r="R875" s="433">
        <v>0.66666666666666663</v>
      </c>
      <c r="S875" s="434" t="s">
        <v>289</v>
      </c>
      <c r="T875" s="434" t="s">
        <v>783</v>
      </c>
      <c r="U875" s="435">
        <v>1</v>
      </c>
      <c r="V875" s="436" t="str">
        <f t="shared" si="450"/>
        <v>piece</v>
      </c>
      <c r="W875" s="437">
        <f t="shared" si="451"/>
        <v>35</v>
      </c>
      <c r="X875" s="437">
        <f t="shared" si="452"/>
        <v>0</v>
      </c>
      <c r="Y875" s="437">
        <f t="shared" si="453"/>
        <v>2</v>
      </c>
      <c r="Z875" s="437">
        <f t="shared" si="454"/>
        <v>4</v>
      </c>
      <c r="AA875" s="437">
        <f t="shared" si="455"/>
        <v>0</v>
      </c>
      <c r="AB875" s="584">
        <f t="shared" si="456"/>
        <v>0</v>
      </c>
      <c r="AC875" s="434"/>
    </row>
    <row r="876" spans="5:29">
      <c r="E876" s="598"/>
      <c r="F876" s="699"/>
      <c r="G876" s="700"/>
      <c r="H876" s="598"/>
      <c r="I876" s="598"/>
      <c r="J876" s="598"/>
      <c r="K876" s="598"/>
      <c r="L876" s="598"/>
      <c r="Q876" s="432">
        <v>46088</v>
      </c>
      <c r="R876" s="433">
        <v>0.66666666666666696</v>
      </c>
      <c r="S876" s="434" t="s">
        <v>289</v>
      </c>
      <c r="T876" s="434" t="s">
        <v>214</v>
      </c>
      <c r="U876" s="435">
        <v>1</v>
      </c>
      <c r="V876" s="436" t="str">
        <f t="shared" si="450"/>
        <v>bar</v>
      </c>
      <c r="W876" s="437">
        <f t="shared" si="451"/>
        <v>67</v>
      </c>
      <c r="X876" s="437">
        <f t="shared" si="452"/>
        <v>1</v>
      </c>
      <c r="Y876" s="437">
        <f t="shared" si="453"/>
        <v>3.5</v>
      </c>
      <c r="Z876" s="437">
        <f t="shared" si="454"/>
        <v>22</v>
      </c>
      <c r="AA876" s="437">
        <f t="shared" si="455"/>
        <v>0.3</v>
      </c>
      <c r="AB876" s="584">
        <f t="shared" si="456"/>
        <v>0</v>
      </c>
      <c r="AC876" s="434"/>
    </row>
    <row r="877" spans="5:29">
      <c r="E877" s="598"/>
      <c r="F877" s="699"/>
      <c r="G877" s="700"/>
      <c r="H877" s="598"/>
      <c r="I877" s="598"/>
      <c r="J877" s="598"/>
      <c r="K877" s="598"/>
      <c r="L877" s="598"/>
      <c r="Q877" s="432">
        <v>46088</v>
      </c>
      <c r="R877" s="433">
        <v>0.66666666666666696</v>
      </c>
      <c r="S877" s="434" t="s">
        <v>199</v>
      </c>
      <c r="T877" s="434" t="s">
        <v>753</v>
      </c>
      <c r="U877" s="435">
        <v>142</v>
      </c>
      <c r="V877" s="436" t="str">
        <f t="shared" si="450"/>
        <v>g</v>
      </c>
      <c r="W877" s="437">
        <f t="shared" si="451"/>
        <v>184.6</v>
      </c>
      <c r="X877" s="437">
        <f t="shared" si="452"/>
        <v>1.42</v>
      </c>
      <c r="Y877" s="437">
        <f t="shared" si="453"/>
        <v>0</v>
      </c>
      <c r="Z877" s="437">
        <f t="shared" si="454"/>
        <v>44.019999999999996</v>
      </c>
      <c r="AA877" s="437">
        <f t="shared" si="455"/>
        <v>4.26</v>
      </c>
      <c r="AB877" s="584">
        <f t="shared" si="456"/>
        <v>0</v>
      </c>
      <c r="AC877" s="434"/>
    </row>
    <row r="878" spans="5:29">
      <c r="E878" s="598"/>
      <c r="F878" s="699"/>
      <c r="G878" s="700"/>
      <c r="H878" s="598"/>
      <c r="I878" s="598"/>
      <c r="J878" s="598"/>
      <c r="K878" s="598"/>
      <c r="L878" s="598"/>
      <c r="Q878" s="432">
        <v>46088</v>
      </c>
      <c r="R878" s="433">
        <v>0.66666666666666696</v>
      </c>
      <c r="S878" s="434" t="s">
        <v>199</v>
      </c>
      <c r="T878" s="434" t="s">
        <v>465</v>
      </c>
      <c r="U878" s="435">
        <v>294</v>
      </c>
      <c r="V878" s="436" t="str">
        <f t="shared" si="450"/>
        <v>g</v>
      </c>
      <c r="W878" s="437">
        <f t="shared" si="451"/>
        <v>529.20000000000005</v>
      </c>
      <c r="X878" s="437">
        <f t="shared" si="452"/>
        <v>64.679999999999993</v>
      </c>
      <c r="Y878" s="437">
        <f t="shared" si="453"/>
        <v>26.46</v>
      </c>
      <c r="Z878" s="437">
        <f t="shared" si="454"/>
        <v>5.88</v>
      </c>
      <c r="AA878" s="437">
        <f t="shared" si="455"/>
        <v>0</v>
      </c>
      <c r="AB878" s="584">
        <f t="shared" si="456"/>
        <v>0</v>
      </c>
      <c r="AC878" s="434"/>
    </row>
    <row r="879" spans="5:29">
      <c r="E879" s="598"/>
      <c r="F879" s="699"/>
      <c r="G879" s="700"/>
      <c r="H879" s="598"/>
      <c r="I879" s="598"/>
      <c r="J879" s="598"/>
      <c r="K879" s="598"/>
      <c r="L879" s="598"/>
      <c r="Q879" s="432">
        <v>46088</v>
      </c>
      <c r="R879" s="433">
        <v>0.875</v>
      </c>
      <c r="S879" s="434" t="s">
        <v>199</v>
      </c>
      <c r="T879" s="434" t="s">
        <v>295</v>
      </c>
      <c r="U879" s="435">
        <v>1</v>
      </c>
      <c r="V879" s="436" t="str">
        <f t="shared" si="450"/>
        <v>bottle</v>
      </c>
      <c r="W879" s="437">
        <f t="shared" si="451"/>
        <v>200</v>
      </c>
      <c r="X879" s="437">
        <f t="shared" si="452"/>
        <v>35</v>
      </c>
      <c r="Y879" s="437">
        <f t="shared" si="453"/>
        <v>2.5</v>
      </c>
      <c r="Z879" s="437">
        <f t="shared" si="454"/>
        <v>9</v>
      </c>
      <c r="AA879" s="437">
        <f t="shared" si="455"/>
        <v>0</v>
      </c>
      <c r="AB879" s="584">
        <f t="shared" si="456"/>
        <v>0</v>
      </c>
      <c r="AC879" s="434"/>
    </row>
    <row r="880" spans="5:29">
      <c r="E880" s="598"/>
      <c r="F880" s="699"/>
      <c r="G880" s="700"/>
      <c r="H880" s="598"/>
      <c r="I880" s="598"/>
      <c r="J880" s="598"/>
      <c r="K880" s="598"/>
      <c r="L880" s="598"/>
      <c r="Q880" s="432">
        <v>46088</v>
      </c>
      <c r="R880" s="433">
        <v>0.875</v>
      </c>
      <c r="S880" s="434" t="s">
        <v>289</v>
      </c>
      <c r="T880" s="434" t="s">
        <v>214</v>
      </c>
      <c r="U880" s="435">
        <v>1</v>
      </c>
      <c r="V880" s="436" t="str">
        <f t="shared" si="450"/>
        <v>bar</v>
      </c>
      <c r="W880" s="437">
        <f t="shared" si="451"/>
        <v>67</v>
      </c>
      <c r="X880" s="437">
        <f t="shared" si="452"/>
        <v>1</v>
      </c>
      <c r="Y880" s="437">
        <f t="shared" si="453"/>
        <v>3.5</v>
      </c>
      <c r="Z880" s="437">
        <f t="shared" si="454"/>
        <v>22</v>
      </c>
      <c r="AA880" s="437">
        <f t="shared" si="455"/>
        <v>0.3</v>
      </c>
      <c r="AB880" s="584">
        <f t="shared" si="456"/>
        <v>0</v>
      </c>
      <c r="AC880" s="434"/>
    </row>
    <row r="881" spans="5:29">
      <c r="E881" s="598"/>
      <c r="F881" s="699"/>
      <c r="G881" s="700"/>
      <c r="H881" s="598"/>
      <c r="I881" s="598"/>
      <c r="J881" s="598"/>
      <c r="K881" s="598"/>
      <c r="L881" s="598"/>
      <c r="Q881" s="432">
        <v>46088</v>
      </c>
      <c r="R881" s="433">
        <v>0.91666666666666663</v>
      </c>
      <c r="S881" s="434" t="s">
        <v>289</v>
      </c>
      <c r="T881" s="434" t="s">
        <v>285</v>
      </c>
      <c r="U881" s="435">
        <v>1</v>
      </c>
      <c r="V881" s="436" t="str">
        <f t="shared" si="450"/>
        <v>bar</v>
      </c>
      <c r="W881" s="437">
        <f t="shared" si="451"/>
        <v>240</v>
      </c>
      <c r="X881" s="437">
        <f t="shared" si="452"/>
        <v>4</v>
      </c>
      <c r="Y881" s="437">
        <f t="shared" si="453"/>
        <v>12</v>
      </c>
      <c r="Z881" s="437">
        <f t="shared" si="454"/>
        <v>30</v>
      </c>
      <c r="AA881" s="437">
        <f t="shared" si="455"/>
        <v>1.4</v>
      </c>
      <c r="AB881" s="584">
        <f t="shared" si="456"/>
        <v>0</v>
      </c>
      <c r="AC881" s="434"/>
    </row>
    <row r="882" spans="5:29">
      <c r="E882" s="598"/>
      <c r="F882" s="699"/>
      <c r="G882" s="700"/>
      <c r="H882" s="598"/>
      <c r="I882" s="598"/>
      <c r="J882" s="598"/>
      <c r="K882" s="598"/>
      <c r="L882" s="598"/>
      <c r="Q882" s="432">
        <v>46088</v>
      </c>
      <c r="R882" s="433">
        <v>0.91666666666666696</v>
      </c>
      <c r="S882" s="434" t="s">
        <v>289</v>
      </c>
      <c r="T882" s="434" t="s">
        <v>786</v>
      </c>
      <c r="U882" s="435">
        <v>1</v>
      </c>
      <c r="V882" s="436" t="str">
        <f t="shared" si="450"/>
        <v>bottle</v>
      </c>
      <c r="W882" s="437">
        <f t="shared" si="451"/>
        <v>90</v>
      </c>
      <c r="X882" s="437">
        <f t="shared" si="452"/>
        <v>0</v>
      </c>
      <c r="Y882" s="437">
        <f t="shared" si="453"/>
        <v>0</v>
      </c>
      <c r="Z882" s="437">
        <f t="shared" si="454"/>
        <v>22</v>
      </c>
      <c r="AA882" s="437">
        <f t="shared" si="455"/>
        <v>0</v>
      </c>
      <c r="AB882" s="584">
        <f t="shared" si="456"/>
        <v>0</v>
      </c>
      <c r="AC882" s="434"/>
    </row>
    <row r="883" spans="5:29">
      <c r="E883" s="598"/>
      <c r="F883" s="699"/>
      <c r="G883" s="700"/>
      <c r="H883" s="598"/>
      <c r="I883" s="598"/>
      <c r="J883" s="598"/>
      <c r="K883" s="598"/>
      <c r="L883" s="598"/>
      <c r="Q883" s="432">
        <v>46088</v>
      </c>
      <c r="R883" s="433">
        <v>0.91666666666666696</v>
      </c>
      <c r="S883" s="434" t="s">
        <v>199</v>
      </c>
      <c r="T883" s="434" t="s">
        <v>209</v>
      </c>
      <c r="U883" s="435">
        <v>3</v>
      </c>
      <c r="V883" s="436" t="str">
        <f t="shared" si="450"/>
        <v>tbsp</v>
      </c>
      <c r="W883" s="437">
        <f t="shared" si="451"/>
        <v>60</v>
      </c>
      <c r="X883" s="437">
        <f t="shared" si="452"/>
        <v>0</v>
      </c>
      <c r="Y883" s="437">
        <f t="shared" si="453"/>
        <v>0</v>
      </c>
      <c r="Z883" s="437">
        <f t="shared" si="454"/>
        <v>15</v>
      </c>
      <c r="AA883" s="437">
        <f t="shared" si="455"/>
        <v>13.5</v>
      </c>
      <c r="AB883" s="584">
        <f t="shared" si="456"/>
        <v>0</v>
      </c>
      <c r="AC883" s="434"/>
    </row>
    <row r="884" spans="5:29">
      <c r="E884" s="598"/>
      <c r="F884" s="699"/>
      <c r="G884" s="700"/>
      <c r="H884" s="598"/>
      <c r="I884" s="598"/>
      <c r="J884" s="598"/>
      <c r="K884" s="598"/>
      <c r="L884" s="598"/>
      <c r="Q884" s="432">
        <v>46088</v>
      </c>
      <c r="R884" s="433">
        <v>0.91666666666666696</v>
      </c>
      <c r="S884" s="434" t="s">
        <v>199</v>
      </c>
      <c r="T884" s="434" t="s">
        <v>753</v>
      </c>
      <c r="U884" s="435">
        <v>257</v>
      </c>
      <c r="V884" s="436" t="str">
        <f t="shared" si="450"/>
        <v>g</v>
      </c>
      <c r="W884" s="437">
        <f t="shared" si="451"/>
        <v>334.09999999999997</v>
      </c>
      <c r="X884" s="437">
        <f t="shared" si="452"/>
        <v>2.57</v>
      </c>
      <c r="Y884" s="437">
        <f t="shared" si="453"/>
        <v>0</v>
      </c>
      <c r="Z884" s="437">
        <f t="shared" si="454"/>
        <v>79.67</v>
      </c>
      <c r="AA884" s="437">
        <f t="shared" si="455"/>
        <v>7.7099999999999991</v>
      </c>
      <c r="AB884" s="684">
        <f t="shared" si="456"/>
        <v>0</v>
      </c>
      <c r="AC884" s="434"/>
    </row>
    <row r="885" spans="5:29">
      <c r="E885" s="598"/>
      <c r="F885" s="699"/>
      <c r="G885" s="700"/>
      <c r="H885" s="598"/>
      <c r="I885" s="598"/>
      <c r="J885" s="598"/>
      <c r="K885" s="598"/>
      <c r="L885" s="598"/>
      <c r="Q885" s="438"/>
      <c r="R885" s="439" t="s">
        <v>217</v>
      </c>
      <c r="S885" s="440"/>
      <c r="T885" s="441"/>
      <c r="U885" s="441"/>
      <c r="V885" s="442"/>
      <c r="W885" s="443">
        <f t="shared" ref="W885:AB885" si="457">SUM(W872:W884)</f>
        <v>2353.9</v>
      </c>
      <c r="X885" s="443">
        <f t="shared" si="457"/>
        <v>155.66999999999999</v>
      </c>
      <c r="Y885" s="443">
        <f t="shared" si="457"/>
        <v>60.96</v>
      </c>
      <c r="Z885" s="443">
        <f t="shared" si="457"/>
        <v>332.57</v>
      </c>
      <c r="AA885" s="685">
        <f t="shared" si="457"/>
        <v>31.770000000000003</v>
      </c>
      <c r="AB885" s="691">
        <f t="shared" si="457"/>
        <v>0</v>
      </c>
      <c r="AC885" s="439"/>
    </row>
    <row r="886" spans="5:29">
      <c r="E886" s="598"/>
      <c r="F886" s="699"/>
      <c r="G886" s="700"/>
      <c r="H886" s="598"/>
      <c r="I886" s="598"/>
      <c r="J886" s="598"/>
      <c r="K886" s="598"/>
      <c r="L886" s="598"/>
      <c r="Q886" s="438"/>
      <c r="R886" s="439" t="s">
        <v>220</v>
      </c>
      <c r="S886" s="440"/>
      <c r="T886" s="441"/>
      <c r="U886" s="441"/>
      <c r="V886" s="442"/>
      <c r="W886" s="444">
        <f>$B$27</f>
        <v>2834.5625</v>
      </c>
      <c r="X886" s="444">
        <f>$B$29</f>
        <v>154</v>
      </c>
      <c r="Y886" s="444">
        <f>$B$30</f>
        <v>63.91</v>
      </c>
      <c r="Z886" s="444">
        <f>$B$31</f>
        <v>410.84312499999999</v>
      </c>
      <c r="AA886" s="692">
        <f>$B$32</f>
        <v>39.683875</v>
      </c>
      <c r="AB886" s="695">
        <f>$B$39</f>
        <v>500</v>
      </c>
      <c r="AC886" s="439"/>
    </row>
    <row r="887" spans="5:29">
      <c r="E887" s="598"/>
      <c r="F887" s="699"/>
      <c r="G887" s="700"/>
      <c r="H887" s="598"/>
      <c r="I887" s="598"/>
      <c r="J887" s="598"/>
      <c r="K887" s="598"/>
      <c r="L887" s="598"/>
      <c r="Q887" s="438"/>
      <c r="R887" s="439" t="s">
        <v>222</v>
      </c>
      <c r="S887" s="440"/>
      <c r="T887" s="441"/>
      <c r="U887" s="441"/>
      <c r="V887" s="442"/>
      <c r="W887" s="284">
        <f t="shared" ref="W887:AB887" si="458">W885-W886</f>
        <v>-480.66249999999991</v>
      </c>
      <c r="X887" s="284">
        <f t="shared" si="458"/>
        <v>1.6699999999999875</v>
      </c>
      <c r="Y887" s="284">
        <f t="shared" si="458"/>
        <v>-2.9499999999999957</v>
      </c>
      <c r="Z887" s="284">
        <f t="shared" si="458"/>
        <v>-78.273124999999993</v>
      </c>
      <c r="AA887" s="690">
        <f t="shared" si="458"/>
        <v>-7.9138749999999973</v>
      </c>
      <c r="AB887" s="689">
        <f t="shared" si="458"/>
        <v>-500</v>
      </c>
      <c r="AC887" s="439"/>
    </row>
    <row r="888" spans="5:29">
      <c r="E888" s="598"/>
      <c r="F888" s="699"/>
      <c r="G888" s="700"/>
      <c r="H888" s="598"/>
      <c r="I888" s="598"/>
      <c r="J888" s="598"/>
      <c r="K888" s="598"/>
      <c r="L888" s="598"/>
      <c r="Q888" s="432">
        <v>46089</v>
      </c>
      <c r="R888" s="433">
        <v>0.41666666666666669</v>
      </c>
      <c r="S888" s="434" t="s">
        <v>178</v>
      </c>
      <c r="T888" s="434" t="s">
        <v>313</v>
      </c>
      <c r="U888" s="435">
        <v>2</v>
      </c>
      <c r="V888" s="436" t="str">
        <f t="shared" ref="V888:V900" si="459">IFERROR(VLOOKUP(T888, $E$5:$L$818, 3, FALSE), "")</f>
        <v>sandwich</v>
      </c>
      <c r="W888" s="437">
        <f t="shared" ref="W888:W900" si="460">IFERROR(VLOOKUP(T888, $E$5:$L$818, 4, FALSE) * (U888 / VLOOKUP(T888, $E$5:$L$818, 2, FALSE)), "")</f>
        <v>1240</v>
      </c>
      <c r="X888" s="437">
        <f t="shared" ref="X888:X900" si="461">IFERROR(VLOOKUP(T888, $E$5:$L$818, 5, FALSE) * (U888 / VLOOKUP(T888, $E$5:$L$818, 2, FALSE)), "")</f>
        <v>76</v>
      </c>
      <c r="Y888" s="437">
        <f t="shared" ref="Y888:Y900" si="462">IFERROR(VLOOKUP(T888, $E$5:$L$818, 6, FALSE) * (U888 / VLOOKUP(T888, $E$5:$L$818, 2, FALSE)), "")</f>
        <v>84</v>
      </c>
      <c r="Z888" s="437">
        <f t="shared" ref="Z888:Z900" si="463">IFERROR(VLOOKUP(T888, $E$5:$L$818, 7, FALSE) * (U888 / VLOOKUP(T888, $E$5:$L$818, 2, FALSE)), "")</f>
        <v>44</v>
      </c>
      <c r="AA888" s="437">
        <f t="shared" ref="AA888:AA900" si="464">IFERROR(VLOOKUP(T888, $E$5:$L$818, 8, FALSE) * (U888 / VLOOKUP(T888, $E$5:$L$818, 2, FALSE)), "")</f>
        <v>2</v>
      </c>
      <c r="AB888" s="674">
        <f t="shared" ref="AB888:AB900" si="465">IFERROR(VLOOKUP(T888, $E$5:$O$818, 9, FALSE) * (U888 / VLOOKUP(T888, $E$5:$O$818, 2, FALSE)), "")</f>
        <v>60</v>
      </c>
      <c r="AC888" s="434"/>
    </row>
    <row r="889" spans="5:29">
      <c r="E889" s="598"/>
      <c r="F889" s="699"/>
      <c r="G889" s="700"/>
      <c r="H889" s="598"/>
      <c r="I889" s="598"/>
      <c r="J889" s="598"/>
      <c r="K889" s="598"/>
      <c r="L889" s="598"/>
      <c r="Q889" s="432">
        <v>46089</v>
      </c>
      <c r="R889" s="433">
        <v>0.41666666666666669</v>
      </c>
      <c r="S889" s="434" t="s">
        <v>178</v>
      </c>
      <c r="T889" s="434" t="s">
        <v>374</v>
      </c>
      <c r="U889" s="435">
        <v>2</v>
      </c>
      <c r="V889" s="436" t="str">
        <f t="shared" si="459"/>
        <v>egg</v>
      </c>
      <c r="W889" s="437">
        <f t="shared" si="460"/>
        <v>160</v>
      </c>
      <c r="X889" s="437">
        <f t="shared" si="461"/>
        <v>14</v>
      </c>
      <c r="Y889" s="437">
        <f t="shared" si="462"/>
        <v>12</v>
      </c>
      <c r="Z889" s="437">
        <f t="shared" si="463"/>
        <v>0</v>
      </c>
      <c r="AA889" s="437">
        <f t="shared" si="464"/>
        <v>0</v>
      </c>
      <c r="AB889" s="584">
        <f t="shared" si="465"/>
        <v>80</v>
      </c>
      <c r="AC889" s="434"/>
    </row>
    <row r="890" spans="5:29">
      <c r="E890" s="598"/>
      <c r="F890" s="699"/>
      <c r="G890" s="700"/>
      <c r="H890" s="598"/>
      <c r="I890" s="598"/>
      <c r="J890" s="598"/>
      <c r="K890" s="598"/>
      <c r="L890" s="598"/>
      <c r="Q890" s="432">
        <v>46089</v>
      </c>
      <c r="R890" s="433">
        <v>0.5</v>
      </c>
      <c r="S890" s="434" t="s">
        <v>289</v>
      </c>
      <c r="T890" s="434" t="s">
        <v>798</v>
      </c>
      <c r="U890" s="435">
        <v>1</v>
      </c>
      <c r="V890" s="436" t="str">
        <f t="shared" si="459"/>
        <v>bar</v>
      </c>
      <c r="W890" s="437">
        <f t="shared" si="460"/>
        <v>130</v>
      </c>
      <c r="X890" s="437">
        <f t="shared" si="461"/>
        <v>2</v>
      </c>
      <c r="Y890" s="437">
        <f t="shared" si="462"/>
        <v>8</v>
      </c>
      <c r="Z890" s="437">
        <f t="shared" si="463"/>
        <v>11</v>
      </c>
      <c r="AA890" s="437">
        <f t="shared" si="464"/>
        <v>0</v>
      </c>
      <c r="AB890" s="584">
        <f t="shared" si="465"/>
        <v>0</v>
      </c>
      <c r="AC890" s="434"/>
    </row>
    <row r="891" spans="5:29">
      <c r="E891" s="598"/>
      <c r="F891" s="699"/>
      <c r="G891" s="700"/>
      <c r="H891" s="598"/>
      <c r="I891" s="598"/>
      <c r="J891" s="598"/>
      <c r="K891" s="598"/>
      <c r="L891" s="598"/>
      <c r="Q891" s="432">
        <v>46089</v>
      </c>
      <c r="R891" s="433">
        <v>0.54166666666666663</v>
      </c>
      <c r="S891" s="434" t="s">
        <v>289</v>
      </c>
      <c r="T891" s="434" t="s">
        <v>799</v>
      </c>
      <c r="U891" s="435">
        <v>1</v>
      </c>
      <c r="V891" s="436" t="str">
        <f t="shared" si="459"/>
        <v>cup</v>
      </c>
      <c r="W891" s="437">
        <f t="shared" si="460"/>
        <v>200</v>
      </c>
      <c r="X891" s="437">
        <f t="shared" si="461"/>
        <v>2</v>
      </c>
      <c r="Y891" s="437">
        <f t="shared" si="462"/>
        <v>10</v>
      </c>
      <c r="Z891" s="437">
        <f t="shared" si="463"/>
        <v>26</v>
      </c>
      <c r="AA891" s="437">
        <f t="shared" si="464"/>
        <v>1</v>
      </c>
      <c r="AB891" s="584">
        <f t="shared" si="465"/>
        <v>0</v>
      </c>
      <c r="AC891" s="434"/>
    </row>
    <row r="892" spans="5:29">
      <c r="E892" s="598"/>
      <c r="F892" s="699"/>
      <c r="G892" s="700"/>
      <c r="H892" s="598"/>
      <c r="I892" s="598"/>
      <c r="J892" s="598"/>
      <c r="K892" s="598"/>
      <c r="L892" s="598"/>
      <c r="Q892" s="432">
        <v>46089</v>
      </c>
      <c r="R892" s="433">
        <v>0.58333333333333337</v>
      </c>
      <c r="S892" s="434" t="s">
        <v>185</v>
      </c>
      <c r="T892" s="434" t="s">
        <v>800</v>
      </c>
      <c r="U892" s="435">
        <f>1/2</f>
        <v>0.5</v>
      </c>
      <c r="V892" s="436" t="str">
        <f t="shared" si="459"/>
        <v>plate</v>
      </c>
      <c r="W892" s="437">
        <f t="shared" si="460"/>
        <v>175</v>
      </c>
      <c r="X892" s="437">
        <f t="shared" si="461"/>
        <v>10</v>
      </c>
      <c r="Y892" s="437">
        <f t="shared" si="462"/>
        <v>6</v>
      </c>
      <c r="Z892" s="437">
        <f t="shared" si="463"/>
        <v>21</v>
      </c>
      <c r="AA892" s="437">
        <f t="shared" si="464"/>
        <v>1.5</v>
      </c>
      <c r="AB892" s="584">
        <f t="shared" si="465"/>
        <v>0</v>
      </c>
      <c r="AC892" s="434"/>
    </row>
    <row r="893" spans="5:29">
      <c r="E893" s="598"/>
      <c r="F893" s="699"/>
      <c r="G893" s="700"/>
      <c r="H893" s="598"/>
      <c r="I893" s="598"/>
      <c r="J893" s="598"/>
      <c r="K893" s="598"/>
      <c r="L893" s="598"/>
      <c r="Q893" s="432">
        <v>46089</v>
      </c>
      <c r="R893" s="433">
        <v>0.58333333333333337</v>
      </c>
      <c r="S893" s="434" t="s">
        <v>185</v>
      </c>
      <c r="T893" s="434" t="s">
        <v>801</v>
      </c>
      <c r="U893" s="435">
        <v>1</v>
      </c>
      <c r="V893" s="436" t="str">
        <f t="shared" si="459"/>
        <v>bowl</v>
      </c>
      <c r="W893" s="437">
        <f t="shared" si="460"/>
        <v>650</v>
      </c>
      <c r="X893" s="437">
        <f t="shared" si="461"/>
        <v>28</v>
      </c>
      <c r="Y893" s="437">
        <f t="shared" si="462"/>
        <v>38</v>
      </c>
      <c r="Z893" s="437">
        <f t="shared" si="463"/>
        <v>58</v>
      </c>
      <c r="AA893" s="437">
        <f t="shared" si="464"/>
        <v>3</v>
      </c>
      <c r="AB893" s="584">
        <f t="shared" si="465"/>
        <v>0</v>
      </c>
      <c r="AC893" s="434"/>
    </row>
    <row r="894" spans="5:29">
      <c r="E894" s="598"/>
      <c r="F894" s="699"/>
      <c r="G894" s="700"/>
      <c r="H894" s="598"/>
      <c r="I894" s="598"/>
      <c r="J894" s="598"/>
      <c r="K894" s="598"/>
      <c r="L894" s="598"/>
      <c r="Q894" s="432">
        <v>46089</v>
      </c>
      <c r="R894" s="433">
        <v>0.58333333333333337</v>
      </c>
      <c r="S894" s="434" t="s">
        <v>185</v>
      </c>
      <c r="T894" s="434" t="s">
        <v>802</v>
      </c>
      <c r="U894" s="435">
        <f>3/4</f>
        <v>0.75</v>
      </c>
      <c r="V894" s="436" t="str">
        <f t="shared" si="459"/>
        <v>bowl</v>
      </c>
      <c r="W894" s="437">
        <f t="shared" si="460"/>
        <v>210</v>
      </c>
      <c r="X894" s="437">
        <f t="shared" si="461"/>
        <v>13.5</v>
      </c>
      <c r="Y894" s="437">
        <f t="shared" si="462"/>
        <v>6</v>
      </c>
      <c r="Z894" s="437">
        <f t="shared" si="463"/>
        <v>28.5</v>
      </c>
      <c r="AA894" s="437">
        <f t="shared" si="464"/>
        <v>1.5</v>
      </c>
      <c r="AB894" s="584">
        <f t="shared" si="465"/>
        <v>0</v>
      </c>
      <c r="AC894" s="434"/>
    </row>
    <row r="895" spans="5:29">
      <c r="E895" s="598"/>
      <c r="F895" s="699"/>
      <c r="G895" s="700"/>
      <c r="H895" s="598"/>
      <c r="I895" s="598"/>
      <c r="J895" s="598"/>
      <c r="K895" s="598"/>
      <c r="L895" s="598"/>
      <c r="Q895" s="432">
        <v>46089</v>
      </c>
      <c r="R895" s="433">
        <v>0.58333333333333337</v>
      </c>
      <c r="S895" s="434" t="s">
        <v>289</v>
      </c>
      <c r="T895" s="434" t="s">
        <v>803</v>
      </c>
      <c r="U895" s="435">
        <v>1</v>
      </c>
      <c r="V895" s="436" t="str">
        <f t="shared" si="459"/>
        <v>cup</v>
      </c>
      <c r="W895" s="437">
        <f t="shared" si="460"/>
        <v>240</v>
      </c>
      <c r="X895" s="437">
        <f t="shared" si="461"/>
        <v>3</v>
      </c>
      <c r="Y895" s="437">
        <f t="shared" si="462"/>
        <v>10</v>
      </c>
      <c r="Z895" s="437">
        <f t="shared" si="463"/>
        <v>38</v>
      </c>
      <c r="AA895" s="437">
        <f t="shared" si="464"/>
        <v>2</v>
      </c>
      <c r="AB895" s="584">
        <f t="shared" si="465"/>
        <v>0</v>
      </c>
      <c r="AC895" s="434"/>
    </row>
    <row r="896" spans="5:29">
      <c r="E896" s="598"/>
      <c r="F896" s="699"/>
      <c r="G896" s="700"/>
      <c r="H896" s="598"/>
      <c r="I896" s="598"/>
      <c r="J896" s="598"/>
      <c r="K896" s="598"/>
      <c r="L896" s="598"/>
      <c r="Q896" s="432">
        <v>46089</v>
      </c>
      <c r="R896" s="433">
        <v>0.58333333333333337</v>
      </c>
      <c r="S896" s="434" t="s">
        <v>289</v>
      </c>
      <c r="T896" s="434" t="s">
        <v>804</v>
      </c>
      <c r="U896" s="435">
        <v>1</v>
      </c>
      <c r="V896" s="436" t="str">
        <f t="shared" si="459"/>
        <v>bowl</v>
      </c>
      <c r="W896" s="437">
        <f t="shared" si="460"/>
        <v>180</v>
      </c>
      <c r="X896" s="437">
        <f t="shared" si="461"/>
        <v>2</v>
      </c>
      <c r="Y896" s="437">
        <f t="shared" si="462"/>
        <v>6</v>
      </c>
      <c r="Z896" s="437">
        <f t="shared" si="463"/>
        <v>32</v>
      </c>
      <c r="AA896" s="437">
        <f t="shared" si="464"/>
        <v>2</v>
      </c>
      <c r="AB896" s="584">
        <f t="shared" si="465"/>
        <v>0</v>
      </c>
      <c r="AC896" s="434"/>
    </row>
    <row r="897" spans="5:29">
      <c r="E897" s="598"/>
      <c r="F897" s="699"/>
      <c r="G897" s="700"/>
      <c r="H897" s="598"/>
      <c r="I897" s="598"/>
      <c r="J897" s="598"/>
      <c r="K897" s="598"/>
      <c r="L897" s="598"/>
      <c r="Q897" s="432">
        <v>46089</v>
      </c>
      <c r="R897" s="433">
        <v>0.625</v>
      </c>
      <c r="S897" s="434" t="s">
        <v>185</v>
      </c>
      <c r="T897" s="434" t="s">
        <v>295</v>
      </c>
      <c r="U897" s="435">
        <v>1</v>
      </c>
      <c r="V897" s="436" t="str">
        <f t="shared" si="459"/>
        <v>bottle</v>
      </c>
      <c r="W897" s="437">
        <f t="shared" si="460"/>
        <v>200</v>
      </c>
      <c r="X897" s="437">
        <f t="shared" si="461"/>
        <v>35</v>
      </c>
      <c r="Y897" s="437">
        <f t="shared" si="462"/>
        <v>2.5</v>
      </c>
      <c r="Z897" s="437">
        <f t="shared" si="463"/>
        <v>9</v>
      </c>
      <c r="AA897" s="437">
        <f t="shared" si="464"/>
        <v>0</v>
      </c>
      <c r="AB897" s="584">
        <f t="shared" si="465"/>
        <v>0</v>
      </c>
      <c r="AC897" s="434"/>
    </row>
    <row r="898" spans="5:29">
      <c r="E898" s="598"/>
      <c r="F898" s="699"/>
      <c r="G898" s="700"/>
      <c r="H898" s="598"/>
      <c r="I898" s="598"/>
      <c r="J898" s="598"/>
      <c r="K898" s="598"/>
      <c r="L898" s="598"/>
      <c r="Q898" s="432">
        <v>46089</v>
      </c>
      <c r="R898" s="433">
        <v>0.625</v>
      </c>
      <c r="S898" s="434" t="s">
        <v>199</v>
      </c>
      <c r="T898" s="434" t="s">
        <v>465</v>
      </c>
      <c r="U898" s="435">
        <v>275</v>
      </c>
      <c r="V898" s="436" t="str">
        <f t="shared" si="459"/>
        <v>g</v>
      </c>
      <c r="W898" s="437">
        <f t="shared" si="460"/>
        <v>495</v>
      </c>
      <c r="X898" s="437">
        <f t="shared" si="461"/>
        <v>60.5</v>
      </c>
      <c r="Y898" s="437">
        <f t="shared" si="462"/>
        <v>24.75</v>
      </c>
      <c r="Z898" s="437">
        <f t="shared" si="463"/>
        <v>5.5</v>
      </c>
      <c r="AA898" s="437">
        <f t="shared" si="464"/>
        <v>0</v>
      </c>
      <c r="AB898" s="584">
        <f t="shared" si="465"/>
        <v>0</v>
      </c>
      <c r="AC898" s="434"/>
    </row>
    <row r="899" spans="5:29">
      <c r="E899" s="598"/>
      <c r="F899" s="699"/>
      <c r="G899" s="700"/>
      <c r="H899" s="598"/>
      <c r="I899" s="598"/>
      <c r="J899" s="598"/>
      <c r="K899" s="598"/>
      <c r="L899" s="598"/>
      <c r="Q899" s="432">
        <v>46089</v>
      </c>
      <c r="R899" s="433">
        <v>0.625</v>
      </c>
      <c r="S899" s="434" t="s">
        <v>289</v>
      </c>
      <c r="T899" s="434" t="s">
        <v>786</v>
      </c>
      <c r="U899" s="435">
        <v>1</v>
      </c>
      <c r="V899" s="436" t="str">
        <f t="shared" si="459"/>
        <v>bottle</v>
      </c>
      <c r="W899" s="437">
        <f t="shared" si="460"/>
        <v>90</v>
      </c>
      <c r="X899" s="437">
        <f t="shared" si="461"/>
        <v>0</v>
      </c>
      <c r="Y899" s="437">
        <f t="shared" si="462"/>
        <v>0</v>
      </c>
      <c r="Z899" s="437">
        <f t="shared" si="463"/>
        <v>22</v>
      </c>
      <c r="AA899" s="437">
        <f t="shared" si="464"/>
        <v>0</v>
      </c>
      <c r="AB899" s="584">
        <f t="shared" si="465"/>
        <v>0</v>
      </c>
      <c r="AC899" s="434"/>
    </row>
    <row r="900" spans="5:29">
      <c r="E900" s="598"/>
      <c r="F900" s="699"/>
      <c r="G900" s="700"/>
      <c r="H900" s="598"/>
      <c r="I900" s="598"/>
      <c r="J900" s="598"/>
      <c r="K900" s="598"/>
      <c r="L900" s="598"/>
      <c r="Q900" s="432">
        <v>46089</v>
      </c>
      <c r="R900" s="433">
        <v>0.625</v>
      </c>
      <c r="S900" s="434" t="s">
        <v>199</v>
      </c>
      <c r="T900" s="434" t="s">
        <v>209</v>
      </c>
      <c r="U900" s="435">
        <v>3</v>
      </c>
      <c r="V900" s="436" t="str">
        <f t="shared" si="459"/>
        <v>tbsp</v>
      </c>
      <c r="W900" s="437">
        <f t="shared" si="460"/>
        <v>60</v>
      </c>
      <c r="X900" s="437">
        <f t="shared" si="461"/>
        <v>0</v>
      </c>
      <c r="Y900" s="437">
        <f t="shared" si="462"/>
        <v>0</v>
      </c>
      <c r="Z900" s="437">
        <f t="shared" si="463"/>
        <v>15</v>
      </c>
      <c r="AA900" s="437">
        <f t="shared" si="464"/>
        <v>13.5</v>
      </c>
      <c r="AB900" s="684">
        <f t="shared" si="465"/>
        <v>0</v>
      </c>
      <c r="AC900" s="434"/>
    </row>
    <row r="901" spans="5:29">
      <c r="E901" s="598"/>
      <c r="F901" s="699"/>
      <c r="G901" s="700"/>
      <c r="H901" s="598"/>
      <c r="I901" s="598"/>
      <c r="J901" s="598"/>
      <c r="K901" s="598"/>
      <c r="L901" s="598"/>
      <c r="Q901" s="438"/>
      <c r="R901" s="439" t="s">
        <v>217</v>
      </c>
      <c r="S901" s="440"/>
      <c r="T901" s="441"/>
      <c r="U901" s="441"/>
      <c r="V901" s="442"/>
      <c r="W901" s="443">
        <f t="shared" ref="W901:AB901" si="466">SUM(W888:W900)</f>
        <v>4030</v>
      </c>
      <c r="X901" s="443">
        <f t="shared" si="466"/>
        <v>246</v>
      </c>
      <c r="Y901" s="443">
        <f t="shared" si="466"/>
        <v>207.25</v>
      </c>
      <c r="Z901" s="443">
        <f t="shared" si="466"/>
        <v>310</v>
      </c>
      <c r="AA901" s="685">
        <f t="shared" si="466"/>
        <v>26.5</v>
      </c>
      <c r="AB901" s="691">
        <f t="shared" si="466"/>
        <v>140</v>
      </c>
      <c r="AC901" s="439"/>
    </row>
    <row r="902" spans="5:29">
      <c r="E902" s="598"/>
      <c r="F902" s="699"/>
      <c r="G902" s="700"/>
      <c r="H902" s="598"/>
      <c r="I902" s="598"/>
      <c r="J902" s="598"/>
      <c r="K902" s="598"/>
      <c r="L902" s="598"/>
      <c r="Q902" s="438"/>
      <c r="R902" s="439" t="s">
        <v>220</v>
      </c>
      <c r="S902" s="440"/>
      <c r="T902" s="441"/>
      <c r="U902" s="441"/>
      <c r="V902" s="442"/>
      <c r="W902" s="444">
        <f>$B$27</f>
        <v>2834.5625</v>
      </c>
      <c r="X902" s="444">
        <f>$B$29</f>
        <v>154</v>
      </c>
      <c r="Y902" s="444">
        <f>$B$30</f>
        <v>63.91</v>
      </c>
      <c r="Z902" s="444">
        <f>$B$31</f>
        <v>410.84312499999999</v>
      </c>
      <c r="AA902" s="692">
        <f>$B$32</f>
        <v>39.683875</v>
      </c>
      <c r="AB902" s="695">
        <f>$B$39</f>
        <v>500</v>
      </c>
      <c r="AC902" s="439"/>
    </row>
    <row r="903" spans="5:29">
      <c r="E903" s="598"/>
      <c r="F903" s="699"/>
      <c r="G903" s="700"/>
      <c r="H903" s="598"/>
      <c r="I903" s="598"/>
      <c r="J903" s="598"/>
      <c r="K903" s="598"/>
      <c r="L903" s="598"/>
      <c r="Q903" s="438"/>
      <c r="R903" s="439" t="s">
        <v>222</v>
      </c>
      <c r="S903" s="440"/>
      <c r="T903" s="441"/>
      <c r="U903" s="441"/>
      <c r="V903" s="442"/>
      <c r="W903" s="284">
        <f t="shared" ref="W903:AB903" si="467">W901-W902</f>
        <v>1195.4375</v>
      </c>
      <c r="X903" s="284">
        <f t="shared" si="467"/>
        <v>92</v>
      </c>
      <c r="Y903" s="284">
        <f t="shared" si="467"/>
        <v>143.34</v>
      </c>
      <c r="Z903" s="284">
        <f t="shared" si="467"/>
        <v>-100.84312499999999</v>
      </c>
      <c r="AA903" s="690">
        <f t="shared" si="467"/>
        <v>-13.183875</v>
      </c>
      <c r="AB903" s="689">
        <f t="shared" si="467"/>
        <v>-360</v>
      </c>
      <c r="AC903" s="439"/>
    </row>
    <row r="904" spans="5:29">
      <c r="E904" s="598"/>
      <c r="F904" s="699"/>
      <c r="G904" s="700"/>
      <c r="H904" s="598"/>
      <c r="I904" s="598"/>
      <c r="J904" s="598"/>
      <c r="K904" s="598"/>
      <c r="L904" s="598"/>
      <c r="Q904" s="432">
        <v>46090</v>
      </c>
      <c r="R904" s="433">
        <v>0.33333333333333331</v>
      </c>
      <c r="S904" s="434" t="s">
        <v>178</v>
      </c>
      <c r="T904" s="434" t="s">
        <v>295</v>
      </c>
      <c r="U904" s="435">
        <v>1</v>
      </c>
      <c r="V904" s="436" t="str">
        <f t="shared" ref="V904:V919" si="468">IFERROR(VLOOKUP(T904, $E$5:$L$818, 3, FALSE), "")</f>
        <v>bottle</v>
      </c>
      <c r="W904" s="437">
        <f t="shared" ref="W904:W919" si="469">IFERROR(VLOOKUP(T904, $E$5:$L$818, 4, FALSE) * (U904 / VLOOKUP(T904, $E$5:$L$818, 2, FALSE)), "")</f>
        <v>200</v>
      </c>
      <c r="X904" s="437">
        <f t="shared" ref="X904:X919" si="470">IFERROR(VLOOKUP(T904, $E$5:$L$818, 5, FALSE) * (U904 / VLOOKUP(T904, $E$5:$L$818, 2, FALSE)), "")</f>
        <v>35</v>
      </c>
      <c r="Y904" s="437">
        <f t="shared" ref="Y904:Y919" si="471">IFERROR(VLOOKUP(T904, $E$5:$L$818, 6, FALSE) * (U904 / VLOOKUP(T904, $E$5:$L$818, 2, FALSE)), "")</f>
        <v>2.5</v>
      </c>
      <c r="Z904" s="437">
        <f t="shared" ref="Z904:Z919" si="472">IFERROR(VLOOKUP(T904, $E$5:$L$818, 7, FALSE) * (U904 / VLOOKUP(T904, $E$5:$L$818, 2, FALSE)), "")</f>
        <v>9</v>
      </c>
      <c r="AA904" s="437">
        <f t="shared" ref="AA904:AA919" si="473">IFERROR(VLOOKUP(T904, $E$5:$L$818, 8, FALSE) * (U904 / VLOOKUP(T904, $E$5:$L$818, 2, FALSE)), "")</f>
        <v>0</v>
      </c>
      <c r="AB904" s="674">
        <f t="shared" ref="AB904:AB919" si="474">IFERROR(VLOOKUP(T904, $E$5:$O$818, 9, FALSE) * (U904 / VLOOKUP(T904, $E$5:$O$818, 2, FALSE)), "")</f>
        <v>0</v>
      </c>
      <c r="AC904" s="434"/>
    </row>
    <row r="905" spans="5:29">
      <c r="E905" s="598"/>
      <c r="F905" s="699"/>
      <c r="G905" s="700"/>
      <c r="H905" s="598"/>
      <c r="I905" s="598"/>
      <c r="J905" s="598"/>
      <c r="K905" s="598"/>
      <c r="L905" s="598"/>
      <c r="Q905" s="432">
        <v>46090</v>
      </c>
      <c r="R905" s="433">
        <v>0.375</v>
      </c>
      <c r="S905" s="434" t="s">
        <v>178</v>
      </c>
      <c r="T905" s="434" t="s">
        <v>465</v>
      </c>
      <c r="U905" s="435">
        <v>190</v>
      </c>
      <c r="V905" s="436" t="str">
        <f t="shared" si="468"/>
        <v>g</v>
      </c>
      <c r="W905" s="437">
        <f t="shared" si="469"/>
        <v>342</v>
      </c>
      <c r="X905" s="437">
        <f t="shared" si="470"/>
        <v>41.8</v>
      </c>
      <c r="Y905" s="437">
        <f t="shared" si="471"/>
        <v>17.099999999999998</v>
      </c>
      <c r="Z905" s="437">
        <f t="shared" si="472"/>
        <v>3.8</v>
      </c>
      <c r="AA905" s="437">
        <f t="shared" si="473"/>
        <v>0</v>
      </c>
      <c r="AB905" s="584">
        <f t="shared" si="474"/>
        <v>0</v>
      </c>
      <c r="AC905" s="434"/>
    </row>
    <row r="906" spans="5:29">
      <c r="E906" s="598"/>
      <c r="F906" s="699"/>
      <c r="G906" s="700"/>
      <c r="H906" s="598"/>
      <c r="I906" s="598"/>
      <c r="J906" s="598"/>
      <c r="K906" s="598"/>
      <c r="L906" s="598"/>
      <c r="Q906" s="432">
        <v>46090</v>
      </c>
      <c r="R906" s="433">
        <v>0.41666666666666702</v>
      </c>
      <c r="S906" s="434" t="s">
        <v>178</v>
      </c>
      <c r="T906" s="434" t="s">
        <v>180</v>
      </c>
      <c r="U906" s="435">
        <v>100</v>
      </c>
      <c r="V906" s="436" t="str">
        <f t="shared" si="468"/>
        <v>g</v>
      </c>
      <c r="W906" s="437">
        <f t="shared" si="469"/>
        <v>130</v>
      </c>
      <c r="X906" s="437">
        <f t="shared" si="470"/>
        <v>2.7</v>
      </c>
      <c r="Y906" s="437">
        <f t="shared" si="471"/>
        <v>0.3</v>
      </c>
      <c r="Z906" s="437">
        <f t="shared" si="472"/>
        <v>28</v>
      </c>
      <c r="AA906" s="437">
        <f t="shared" si="473"/>
        <v>0.4</v>
      </c>
      <c r="AB906" s="584">
        <f t="shared" si="474"/>
        <v>0</v>
      </c>
      <c r="AC906" s="434"/>
    </row>
    <row r="907" spans="5:29">
      <c r="E907" s="598"/>
      <c r="F907" s="699"/>
      <c r="G907" s="700"/>
      <c r="H907" s="598"/>
      <c r="I907" s="598"/>
      <c r="J907" s="598"/>
      <c r="K907" s="598"/>
      <c r="L907" s="598"/>
      <c r="Q907" s="432">
        <v>46090</v>
      </c>
      <c r="R907" s="433">
        <v>0.45833333333333298</v>
      </c>
      <c r="S907" s="434" t="s">
        <v>178</v>
      </c>
      <c r="T907" s="434" t="s">
        <v>754</v>
      </c>
      <c r="U907" s="435">
        <v>67</v>
      </c>
      <c r="V907" s="436" t="str">
        <f t="shared" si="468"/>
        <v>g</v>
      </c>
      <c r="W907" s="437">
        <f t="shared" si="469"/>
        <v>73.7</v>
      </c>
      <c r="X907" s="437">
        <f t="shared" si="470"/>
        <v>1.7866666666666666</v>
      </c>
      <c r="Y907" s="437">
        <f t="shared" si="471"/>
        <v>0.44666666666666666</v>
      </c>
      <c r="Z907" s="437">
        <f t="shared" si="472"/>
        <v>15.186666666666666</v>
      </c>
      <c r="AA907" s="437">
        <f t="shared" si="473"/>
        <v>0.89333333333333331</v>
      </c>
      <c r="AB907" s="584">
        <f t="shared" si="474"/>
        <v>0</v>
      </c>
      <c r="AC907" s="434"/>
    </row>
    <row r="908" spans="5:29">
      <c r="E908" s="598"/>
      <c r="F908" s="699"/>
      <c r="G908" s="700"/>
      <c r="H908" s="598"/>
      <c r="I908" s="598"/>
      <c r="J908" s="598"/>
      <c r="K908" s="598"/>
      <c r="L908" s="598"/>
      <c r="Q908" s="432">
        <v>46090</v>
      </c>
      <c r="R908" s="433">
        <v>0.54166666666666663</v>
      </c>
      <c r="S908" s="434" t="s">
        <v>185</v>
      </c>
      <c r="T908" s="434" t="s">
        <v>243</v>
      </c>
      <c r="U908" s="435">
        <v>1</v>
      </c>
      <c r="V908" s="436" t="str">
        <f t="shared" si="468"/>
        <v>large plate</v>
      </c>
      <c r="W908" s="437">
        <f t="shared" si="469"/>
        <v>650</v>
      </c>
      <c r="X908" s="437">
        <f t="shared" si="470"/>
        <v>25</v>
      </c>
      <c r="Y908" s="437">
        <f t="shared" si="471"/>
        <v>25</v>
      </c>
      <c r="Z908" s="437">
        <f t="shared" si="472"/>
        <v>75</v>
      </c>
      <c r="AA908" s="437">
        <f t="shared" si="473"/>
        <v>2</v>
      </c>
      <c r="AB908" s="584">
        <f t="shared" si="474"/>
        <v>0</v>
      </c>
      <c r="AC908" s="434"/>
    </row>
    <row r="909" spans="5:29">
      <c r="E909" s="598"/>
      <c r="F909" s="699"/>
      <c r="G909" s="700"/>
      <c r="H909" s="598"/>
      <c r="I909" s="598"/>
      <c r="J909" s="598"/>
      <c r="K909" s="598"/>
      <c r="L909" s="598"/>
      <c r="Q909" s="432">
        <v>46090</v>
      </c>
      <c r="R909" s="433">
        <v>0.54166666666666663</v>
      </c>
      <c r="S909" s="434" t="s">
        <v>289</v>
      </c>
      <c r="T909" s="434" t="s">
        <v>468</v>
      </c>
      <c r="U909" s="435">
        <v>0.5</v>
      </c>
      <c r="V909" s="436" t="str">
        <f t="shared" si="468"/>
        <v>apple</v>
      </c>
      <c r="W909" s="437">
        <f t="shared" si="469"/>
        <v>47.5</v>
      </c>
      <c r="X909" s="437">
        <f t="shared" si="470"/>
        <v>0.25</v>
      </c>
      <c r="Y909" s="437">
        <f t="shared" si="471"/>
        <v>0.15</v>
      </c>
      <c r="Z909" s="437">
        <f t="shared" si="472"/>
        <v>12.5</v>
      </c>
      <c r="AA909" s="437">
        <f t="shared" si="473"/>
        <v>2</v>
      </c>
      <c r="AB909" s="584">
        <f t="shared" si="474"/>
        <v>0</v>
      </c>
      <c r="AC909" s="434"/>
    </row>
    <row r="910" spans="5:29">
      <c r="E910" s="598"/>
      <c r="F910" s="699"/>
      <c r="G910" s="700"/>
      <c r="H910" s="598"/>
      <c r="I910" s="598"/>
      <c r="J910" s="598"/>
      <c r="K910" s="598"/>
      <c r="L910" s="598"/>
      <c r="Q910" s="432">
        <v>46090</v>
      </c>
      <c r="R910" s="433">
        <v>0.625</v>
      </c>
      <c r="S910" s="434" t="s">
        <v>289</v>
      </c>
      <c r="T910" s="434" t="s">
        <v>806</v>
      </c>
      <c r="U910" s="435">
        <f>3/4</f>
        <v>0.75</v>
      </c>
      <c r="V910" s="436" t="str">
        <f t="shared" si="468"/>
        <v>pack</v>
      </c>
      <c r="W910" s="437">
        <f t="shared" si="469"/>
        <v>97.5</v>
      </c>
      <c r="X910" s="437">
        <f t="shared" si="470"/>
        <v>0.75</v>
      </c>
      <c r="Y910" s="437">
        <f t="shared" si="471"/>
        <v>4.5</v>
      </c>
      <c r="Z910" s="437">
        <f t="shared" si="472"/>
        <v>14.25</v>
      </c>
      <c r="AA910" s="437">
        <f t="shared" si="473"/>
        <v>0</v>
      </c>
      <c r="AB910" s="584">
        <f t="shared" si="474"/>
        <v>0</v>
      </c>
      <c r="AC910" s="434"/>
    </row>
    <row r="911" spans="5:29">
      <c r="E911" s="598"/>
      <c r="F911" s="699"/>
      <c r="G911" s="700"/>
      <c r="H911" s="598"/>
      <c r="I911" s="598"/>
      <c r="J911" s="598"/>
      <c r="K911" s="598"/>
      <c r="L911" s="598"/>
      <c r="Q911" s="432">
        <v>46090</v>
      </c>
      <c r="R911" s="433">
        <v>0.625</v>
      </c>
      <c r="S911" s="434" t="s">
        <v>289</v>
      </c>
      <c r="T911" s="434" t="s">
        <v>464</v>
      </c>
      <c r="U911" s="435">
        <v>1</v>
      </c>
      <c r="V911" s="436" t="str">
        <f t="shared" si="468"/>
        <v>lozenge</v>
      </c>
      <c r="W911" s="437">
        <f t="shared" si="469"/>
        <v>10</v>
      </c>
      <c r="X911" s="437">
        <f t="shared" si="470"/>
        <v>0</v>
      </c>
      <c r="Y911" s="437">
        <f t="shared" si="471"/>
        <v>0</v>
      </c>
      <c r="Z911" s="437">
        <f t="shared" si="472"/>
        <v>3</v>
      </c>
      <c r="AA911" s="437">
        <f t="shared" si="473"/>
        <v>0</v>
      </c>
      <c r="AB911" s="584">
        <f t="shared" si="474"/>
        <v>0</v>
      </c>
      <c r="AC911" s="434"/>
    </row>
    <row r="912" spans="5:29">
      <c r="E912" s="598"/>
      <c r="F912" s="699"/>
      <c r="G912" s="700"/>
      <c r="H912" s="598"/>
      <c r="I912" s="598"/>
      <c r="J912" s="598"/>
      <c r="K912" s="598"/>
      <c r="L912" s="598"/>
      <c r="Q912" s="432">
        <v>46090</v>
      </c>
      <c r="R912" s="433">
        <v>0.66666666666666696</v>
      </c>
      <c r="S912" s="434" t="s">
        <v>289</v>
      </c>
      <c r="T912" s="434" t="s">
        <v>219</v>
      </c>
      <c r="U912" s="435">
        <v>1</v>
      </c>
      <c r="V912" s="436" t="str">
        <f t="shared" si="468"/>
        <v>bottle</v>
      </c>
      <c r="W912" s="437">
        <f t="shared" si="469"/>
        <v>0</v>
      </c>
      <c r="X912" s="437">
        <f t="shared" si="470"/>
        <v>0</v>
      </c>
      <c r="Y912" s="437">
        <f t="shared" si="471"/>
        <v>0</v>
      </c>
      <c r="Z912" s="437">
        <f t="shared" si="472"/>
        <v>0</v>
      </c>
      <c r="AA912" s="437">
        <f t="shared" si="473"/>
        <v>0</v>
      </c>
      <c r="AB912" s="584">
        <f t="shared" si="474"/>
        <v>0</v>
      </c>
      <c r="AC912" s="434"/>
    </row>
    <row r="913" spans="5:29">
      <c r="E913" s="598"/>
      <c r="F913" s="699"/>
      <c r="G913" s="700"/>
      <c r="H913" s="598"/>
      <c r="I913" s="598"/>
      <c r="J913" s="598"/>
      <c r="K913" s="598"/>
      <c r="L913" s="598"/>
      <c r="Q913" s="432">
        <v>46090</v>
      </c>
      <c r="R913" s="433">
        <v>0.70833333333333337</v>
      </c>
      <c r="S913" s="434" t="s">
        <v>289</v>
      </c>
      <c r="T913" s="434" t="s">
        <v>464</v>
      </c>
      <c r="U913" s="435">
        <v>1</v>
      </c>
      <c r="V913" s="436" t="str">
        <f t="shared" si="468"/>
        <v>lozenge</v>
      </c>
      <c r="W913" s="437">
        <f t="shared" si="469"/>
        <v>10</v>
      </c>
      <c r="X913" s="437">
        <f t="shared" si="470"/>
        <v>0</v>
      </c>
      <c r="Y913" s="437">
        <f t="shared" si="471"/>
        <v>0</v>
      </c>
      <c r="Z913" s="437">
        <f t="shared" si="472"/>
        <v>3</v>
      </c>
      <c r="AA913" s="437">
        <f t="shared" si="473"/>
        <v>0</v>
      </c>
      <c r="AB913" s="584">
        <f t="shared" si="474"/>
        <v>0</v>
      </c>
      <c r="AC913" s="434"/>
    </row>
    <row r="914" spans="5:29">
      <c r="E914" s="598"/>
      <c r="F914" s="699"/>
      <c r="G914" s="700"/>
      <c r="H914" s="598"/>
      <c r="I914" s="598"/>
      <c r="J914" s="598"/>
      <c r="K914" s="598"/>
      <c r="L914" s="598"/>
      <c r="Q914" s="432">
        <v>46090</v>
      </c>
      <c r="R914" s="433">
        <v>0.79166666666666663</v>
      </c>
      <c r="S914" s="434" t="s">
        <v>199</v>
      </c>
      <c r="T914" s="434" t="s">
        <v>181</v>
      </c>
      <c r="U914" s="435">
        <v>2</v>
      </c>
      <c r="V914" s="436" t="str">
        <f t="shared" si="468"/>
        <v>slice</v>
      </c>
      <c r="W914" s="437">
        <f t="shared" si="469"/>
        <v>140</v>
      </c>
      <c r="X914" s="437">
        <f t="shared" si="470"/>
        <v>5</v>
      </c>
      <c r="Y914" s="437">
        <f t="shared" si="471"/>
        <v>2.5</v>
      </c>
      <c r="Z914" s="437">
        <f t="shared" si="472"/>
        <v>24</v>
      </c>
      <c r="AA914" s="437">
        <f t="shared" si="473"/>
        <v>2</v>
      </c>
      <c r="AB914" s="584">
        <f t="shared" si="474"/>
        <v>0</v>
      </c>
      <c r="AC914" s="434"/>
    </row>
    <row r="915" spans="5:29">
      <c r="E915" s="598"/>
      <c r="F915" s="699"/>
      <c r="G915" s="700"/>
      <c r="H915" s="598"/>
      <c r="I915" s="598"/>
      <c r="J915" s="598"/>
      <c r="K915" s="598"/>
      <c r="L915" s="598"/>
      <c r="Q915" s="432">
        <v>46090</v>
      </c>
      <c r="R915" s="433">
        <v>0.875</v>
      </c>
      <c r="S915" s="434" t="s">
        <v>199</v>
      </c>
      <c r="T915" s="434" t="s">
        <v>176</v>
      </c>
      <c r="U915" s="435">
        <v>240</v>
      </c>
      <c r="V915" s="436" t="str">
        <f t="shared" si="468"/>
        <v>g</v>
      </c>
      <c r="W915" s="437">
        <f t="shared" si="469"/>
        <v>396</v>
      </c>
      <c r="X915" s="437">
        <f t="shared" si="470"/>
        <v>60</v>
      </c>
      <c r="Y915" s="437">
        <f t="shared" si="471"/>
        <v>8.64</v>
      </c>
      <c r="Z915" s="437">
        <f t="shared" si="472"/>
        <v>0</v>
      </c>
      <c r="AA915" s="437">
        <f t="shared" si="473"/>
        <v>0</v>
      </c>
      <c r="AB915" s="584">
        <f t="shared" si="474"/>
        <v>0</v>
      </c>
      <c r="AC915" s="434"/>
    </row>
    <row r="916" spans="5:29">
      <c r="E916" s="598"/>
      <c r="F916" s="699"/>
      <c r="G916" s="700"/>
      <c r="H916" s="598"/>
      <c r="I916" s="598"/>
      <c r="J916" s="598"/>
      <c r="K916" s="598"/>
      <c r="L916" s="598"/>
      <c r="Q916" s="432">
        <v>46090</v>
      </c>
      <c r="R916" s="433">
        <v>0.875</v>
      </c>
      <c r="S916" s="434" t="s">
        <v>199</v>
      </c>
      <c r="T916" s="434" t="s">
        <v>753</v>
      </c>
      <c r="U916" s="435">
        <v>194</v>
      </c>
      <c r="V916" s="436" t="str">
        <f t="shared" si="468"/>
        <v>g</v>
      </c>
      <c r="W916" s="437">
        <f t="shared" si="469"/>
        <v>252.2</v>
      </c>
      <c r="X916" s="437">
        <f t="shared" si="470"/>
        <v>1.94</v>
      </c>
      <c r="Y916" s="437">
        <f t="shared" si="471"/>
        <v>0</v>
      </c>
      <c r="Z916" s="437">
        <f t="shared" si="472"/>
        <v>60.14</v>
      </c>
      <c r="AA916" s="437">
        <f t="shared" si="473"/>
        <v>5.82</v>
      </c>
      <c r="AB916" s="584">
        <f t="shared" si="474"/>
        <v>0</v>
      </c>
      <c r="AC916" s="434"/>
    </row>
    <row r="917" spans="5:29">
      <c r="E917" s="598"/>
      <c r="F917" s="699"/>
      <c r="G917" s="700"/>
      <c r="H917" s="598"/>
      <c r="I917" s="598"/>
      <c r="J917" s="598"/>
      <c r="K917" s="598"/>
      <c r="L917" s="598"/>
      <c r="Q917" s="432">
        <v>46090</v>
      </c>
      <c r="R917" s="433">
        <v>0.875</v>
      </c>
      <c r="S917" s="434" t="s">
        <v>289</v>
      </c>
      <c r="T917" s="434" t="s">
        <v>787</v>
      </c>
      <c r="U917" s="435">
        <v>1</v>
      </c>
      <c r="V917" s="436" t="str">
        <f t="shared" si="468"/>
        <v>can</v>
      </c>
      <c r="W917" s="437">
        <f t="shared" si="469"/>
        <v>0</v>
      </c>
      <c r="X917" s="437">
        <f t="shared" si="470"/>
        <v>0</v>
      </c>
      <c r="Y917" s="437">
        <f t="shared" si="471"/>
        <v>0</v>
      </c>
      <c r="Z917" s="437">
        <f t="shared" si="472"/>
        <v>1</v>
      </c>
      <c r="AA917" s="437">
        <f t="shared" si="473"/>
        <v>0</v>
      </c>
      <c r="AB917" s="584">
        <f t="shared" si="474"/>
        <v>0</v>
      </c>
      <c r="AC917" s="434"/>
    </row>
    <row r="918" spans="5:29">
      <c r="E918" s="598"/>
      <c r="F918" s="699"/>
      <c r="G918" s="700"/>
      <c r="H918" s="598"/>
      <c r="I918" s="598"/>
      <c r="J918" s="598"/>
      <c r="K918" s="598"/>
      <c r="L918" s="598"/>
      <c r="Q918" s="432">
        <v>46090</v>
      </c>
      <c r="R918" s="433">
        <v>0.875</v>
      </c>
      <c r="S918" s="434" t="s">
        <v>289</v>
      </c>
      <c r="T918" s="434" t="s">
        <v>786</v>
      </c>
      <c r="U918" s="435">
        <v>1</v>
      </c>
      <c r="V918" s="436" t="str">
        <f t="shared" si="468"/>
        <v>bottle</v>
      </c>
      <c r="W918" s="437">
        <f t="shared" si="469"/>
        <v>90</v>
      </c>
      <c r="X918" s="437">
        <f t="shared" si="470"/>
        <v>0</v>
      </c>
      <c r="Y918" s="437">
        <f t="shared" si="471"/>
        <v>0</v>
      </c>
      <c r="Z918" s="437">
        <f t="shared" si="472"/>
        <v>22</v>
      </c>
      <c r="AA918" s="437">
        <f t="shared" si="473"/>
        <v>0</v>
      </c>
      <c r="AB918" s="584">
        <f t="shared" si="474"/>
        <v>0</v>
      </c>
      <c r="AC918" s="434"/>
    </row>
    <row r="919" spans="5:29">
      <c r="E919" s="598"/>
      <c r="F919" s="699"/>
      <c r="G919" s="700"/>
      <c r="H919" s="598"/>
      <c r="I919" s="598"/>
      <c r="J919" s="598"/>
      <c r="K919" s="598"/>
      <c r="L919" s="598"/>
      <c r="Q919" s="432">
        <v>46090</v>
      </c>
      <c r="R919" s="433">
        <v>0.875</v>
      </c>
      <c r="S919" s="434" t="s">
        <v>199</v>
      </c>
      <c r="T919" s="434" t="s">
        <v>209</v>
      </c>
      <c r="U919" s="435">
        <v>3</v>
      </c>
      <c r="V919" s="436" t="str">
        <f t="shared" si="468"/>
        <v>tbsp</v>
      </c>
      <c r="W919" s="437">
        <f t="shared" si="469"/>
        <v>60</v>
      </c>
      <c r="X919" s="437">
        <f t="shared" si="470"/>
        <v>0</v>
      </c>
      <c r="Y919" s="437">
        <f t="shared" si="471"/>
        <v>0</v>
      </c>
      <c r="Z919" s="437">
        <f t="shared" si="472"/>
        <v>15</v>
      </c>
      <c r="AA919" s="437">
        <f t="shared" si="473"/>
        <v>13.5</v>
      </c>
      <c r="AB919" s="684">
        <f t="shared" si="474"/>
        <v>0</v>
      </c>
      <c r="AC919" s="434"/>
    </row>
    <row r="920" spans="5:29">
      <c r="E920" s="598"/>
      <c r="F920" s="699"/>
      <c r="G920" s="700"/>
      <c r="H920" s="598"/>
      <c r="I920" s="598"/>
      <c r="J920" s="598"/>
      <c r="K920" s="598"/>
      <c r="L920" s="598"/>
      <c r="Q920" s="438"/>
      <c r="R920" s="439" t="s">
        <v>217</v>
      </c>
      <c r="S920" s="440"/>
      <c r="T920" s="441"/>
      <c r="U920" s="441"/>
      <c r="V920" s="442"/>
      <c r="W920" s="443">
        <f t="shared" ref="W920:AB920" si="475">SUM(W904:W919)</f>
        <v>2498.8999999999996</v>
      </c>
      <c r="X920" s="443">
        <f t="shared" si="475"/>
        <v>174.22666666666666</v>
      </c>
      <c r="Y920" s="443">
        <f t="shared" si="475"/>
        <v>61.136666666666663</v>
      </c>
      <c r="Z920" s="443">
        <f t="shared" si="475"/>
        <v>285.87666666666667</v>
      </c>
      <c r="AA920" s="685">
        <f t="shared" si="475"/>
        <v>26.613333333333333</v>
      </c>
      <c r="AB920" s="691">
        <f t="shared" si="475"/>
        <v>0</v>
      </c>
      <c r="AC920" s="439"/>
    </row>
    <row r="921" spans="5:29">
      <c r="E921" s="598"/>
      <c r="F921" s="699"/>
      <c r="G921" s="700"/>
      <c r="H921" s="598"/>
      <c r="I921" s="598"/>
      <c r="J921" s="598"/>
      <c r="K921" s="598"/>
      <c r="L921" s="598"/>
      <c r="Q921" s="438"/>
      <c r="R921" s="439" t="s">
        <v>220</v>
      </c>
      <c r="S921" s="440"/>
      <c r="T921" s="441"/>
      <c r="U921" s="441"/>
      <c r="V921" s="442"/>
      <c r="W921" s="444">
        <f>$B$27</f>
        <v>2834.5625</v>
      </c>
      <c r="X921" s="444">
        <f>$B$29</f>
        <v>154</v>
      </c>
      <c r="Y921" s="444">
        <f>$B$30</f>
        <v>63.91</v>
      </c>
      <c r="Z921" s="444">
        <f>$B$31</f>
        <v>410.84312499999999</v>
      </c>
      <c r="AA921" s="692">
        <f>$B$32</f>
        <v>39.683875</v>
      </c>
      <c r="AB921" s="695">
        <f>$B$39</f>
        <v>500</v>
      </c>
      <c r="AC921" s="439"/>
    </row>
    <row r="922" spans="5:29">
      <c r="E922" s="598"/>
      <c r="F922" s="699"/>
      <c r="G922" s="700"/>
      <c r="H922" s="598"/>
      <c r="I922" s="598"/>
      <c r="J922" s="598"/>
      <c r="K922" s="598"/>
      <c r="L922" s="598"/>
      <c r="Q922" s="438"/>
      <c r="R922" s="439" t="s">
        <v>222</v>
      </c>
      <c r="S922" s="440"/>
      <c r="T922" s="441"/>
      <c r="U922" s="441"/>
      <c r="V922" s="442"/>
      <c r="W922" s="284">
        <f t="shared" ref="W922:AB922" si="476">W920-W921</f>
        <v>-335.66250000000036</v>
      </c>
      <c r="X922" s="284">
        <f t="shared" si="476"/>
        <v>20.226666666666659</v>
      </c>
      <c r="Y922" s="284">
        <f t="shared" si="476"/>
        <v>-2.7733333333333334</v>
      </c>
      <c r="Z922" s="284">
        <f t="shared" si="476"/>
        <v>-124.96645833333332</v>
      </c>
      <c r="AA922" s="690">
        <f t="shared" si="476"/>
        <v>-13.070541666666667</v>
      </c>
      <c r="AB922" s="689">
        <f t="shared" si="476"/>
        <v>-500</v>
      </c>
      <c r="AC922" s="439"/>
    </row>
    <row r="923" spans="5:29">
      <c r="E923" s="598"/>
      <c r="F923" s="699"/>
      <c r="G923" s="700"/>
      <c r="H923" s="598"/>
      <c r="I923" s="598"/>
      <c r="J923" s="598"/>
      <c r="K923" s="598"/>
      <c r="L923" s="598"/>
      <c r="Q923" s="432">
        <v>46091</v>
      </c>
      <c r="R923" s="433">
        <v>0.33333333333333331</v>
      </c>
      <c r="S923" s="434" t="s">
        <v>178</v>
      </c>
      <c r="T923" s="434" t="s">
        <v>295</v>
      </c>
      <c r="U923" s="435">
        <v>1</v>
      </c>
      <c r="V923" s="436" t="str">
        <f t="shared" ref="V923:V938" si="477">IFERROR(VLOOKUP(T923, $E$5:$L$818, 3, FALSE), "")</f>
        <v>bottle</v>
      </c>
      <c r="W923" s="437">
        <f t="shared" ref="W923:W938" si="478">IFERROR(VLOOKUP(T923, $E$5:$L$818, 4, FALSE) * (U923 / VLOOKUP(T923, $E$5:$L$818, 2, FALSE)), "")</f>
        <v>200</v>
      </c>
      <c r="X923" s="437">
        <f t="shared" ref="X923:X938" si="479">IFERROR(VLOOKUP(T923, $E$5:$L$818, 5, FALSE) * (U923 / VLOOKUP(T923, $E$5:$L$818, 2, FALSE)), "")</f>
        <v>35</v>
      </c>
      <c r="Y923" s="437">
        <f t="shared" ref="Y923:Y938" si="480">IFERROR(VLOOKUP(T923, $E$5:$L$818, 6, FALSE) * (U923 / VLOOKUP(T923, $E$5:$L$818, 2, FALSE)), "")</f>
        <v>2.5</v>
      </c>
      <c r="Z923" s="437">
        <f t="shared" ref="Z923:Z938" si="481">IFERROR(VLOOKUP(T923, $E$5:$L$818, 7, FALSE) * (U923 / VLOOKUP(T923, $E$5:$L$818, 2, FALSE)), "")</f>
        <v>9</v>
      </c>
      <c r="AA923" s="437">
        <f t="shared" ref="AA923:AA938" si="482">IFERROR(VLOOKUP(T923, $E$5:$L$818, 8, FALSE) * (U923 / VLOOKUP(T923, $E$5:$L$818, 2, FALSE)), "")</f>
        <v>0</v>
      </c>
      <c r="AB923" s="674">
        <f t="shared" ref="AB923:AB938" si="483">IFERROR(VLOOKUP(T923, $E$5:$O$818, 9, FALSE) * (U923 / VLOOKUP(T923, $E$5:$O$818, 2, FALSE)), "")</f>
        <v>0</v>
      </c>
      <c r="AC923" s="434"/>
    </row>
    <row r="924" spans="5:29">
      <c r="E924" s="598"/>
      <c r="F924" s="699"/>
      <c r="G924" s="700"/>
      <c r="H924" s="598"/>
      <c r="I924" s="598"/>
      <c r="J924" s="598"/>
      <c r="K924" s="598"/>
      <c r="L924" s="598"/>
      <c r="Q924" s="432">
        <v>46091</v>
      </c>
      <c r="R924" s="433">
        <v>0.33333333333333298</v>
      </c>
      <c r="S924" s="434" t="s">
        <v>178</v>
      </c>
      <c r="T924" s="434" t="s">
        <v>790</v>
      </c>
      <c r="U924" s="435">
        <v>150</v>
      </c>
      <c r="V924" s="436" t="str">
        <f t="shared" si="477"/>
        <v>g</v>
      </c>
      <c r="W924" s="437">
        <f t="shared" si="478"/>
        <v>220</v>
      </c>
      <c r="X924" s="437">
        <f t="shared" si="479"/>
        <v>28</v>
      </c>
      <c r="Y924" s="437">
        <f t="shared" si="480"/>
        <v>10</v>
      </c>
      <c r="Z924" s="437">
        <f t="shared" si="481"/>
        <v>6</v>
      </c>
      <c r="AA924" s="437">
        <f t="shared" si="482"/>
        <v>2</v>
      </c>
      <c r="AB924" s="584">
        <f t="shared" si="483"/>
        <v>0</v>
      </c>
      <c r="AC924" s="434"/>
    </row>
    <row r="925" spans="5:29">
      <c r="E925" s="598"/>
      <c r="F925" s="699"/>
      <c r="G925" s="700"/>
      <c r="H925" s="598"/>
      <c r="I925" s="598"/>
      <c r="J925" s="598"/>
      <c r="K925" s="598"/>
      <c r="L925" s="598"/>
      <c r="Q925" s="432">
        <v>46091</v>
      </c>
      <c r="R925" s="433">
        <v>0.33333333333333298</v>
      </c>
      <c r="S925" s="434" t="s">
        <v>178</v>
      </c>
      <c r="T925" s="434" t="s">
        <v>180</v>
      </c>
      <c r="U925" s="435">
        <v>150</v>
      </c>
      <c r="V925" s="436" t="str">
        <f t="shared" si="477"/>
        <v>g</v>
      </c>
      <c r="W925" s="437">
        <f t="shared" si="478"/>
        <v>195</v>
      </c>
      <c r="X925" s="437">
        <f t="shared" si="479"/>
        <v>4.0500000000000007</v>
      </c>
      <c r="Y925" s="437">
        <f t="shared" si="480"/>
        <v>0.44999999999999996</v>
      </c>
      <c r="Z925" s="437">
        <f t="shared" si="481"/>
        <v>42</v>
      </c>
      <c r="AA925" s="437">
        <f t="shared" si="482"/>
        <v>0.60000000000000009</v>
      </c>
      <c r="AB925" s="584">
        <f t="shared" si="483"/>
        <v>0</v>
      </c>
      <c r="AC925" s="434"/>
    </row>
    <row r="926" spans="5:29">
      <c r="E926" s="598"/>
      <c r="F926" s="699"/>
      <c r="G926" s="700"/>
      <c r="H926" s="598"/>
      <c r="I926" s="598"/>
      <c r="J926" s="598"/>
      <c r="K926" s="598"/>
      <c r="L926" s="598"/>
      <c r="Q926" s="432">
        <v>46091</v>
      </c>
      <c r="R926" s="433">
        <v>0.375</v>
      </c>
      <c r="S926" s="434" t="s">
        <v>289</v>
      </c>
      <c r="T926" s="434" t="s">
        <v>190</v>
      </c>
      <c r="U926" s="435">
        <v>3</v>
      </c>
      <c r="V926" s="436" t="str">
        <f t="shared" si="477"/>
        <v>medium</v>
      </c>
      <c r="W926" s="437">
        <f t="shared" si="478"/>
        <v>186</v>
      </c>
      <c r="X926" s="437">
        <f t="shared" si="479"/>
        <v>3.5999999999999996</v>
      </c>
      <c r="Y926" s="437">
        <f t="shared" si="480"/>
        <v>0.60000000000000009</v>
      </c>
      <c r="Z926" s="437">
        <f t="shared" si="481"/>
        <v>46.2</v>
      </c>
      <c r="AA926" s="437">
        <f t="shared" si="482"/>
        <v>9.3000000000000007</v>
      </c>
      <c r="AB926" s="584">
        <f t="shared" si="483"/>
        <v>0</v>
      </c>
      <c r="AC926" s="434"/>
    </row>
    <row r="927" spans="5:29">
      <c r="E927" s="598"/>
      <c r="F927" s="699"/>
      <c r="G927" s="700"/>
      <c r="H927" s="598"/>
      <c r="I927" s="598"/>
      <c r="J927" s="598"/>
      <c r="K927" s="598"/>
      <c r="L927" s="598"/>
      <c r="Q927" s="432">
        <v>46091</v>
      </c>
      <c r="R927" s="433">
        <v>0.41666666666666669</v>
      </c>
      <c r="S927" s="434" t="s">
        <v>178</v>
      </c>
      <c r="T927" s="434" t="s">
        <v>181</v>
      </c>
      <c r="U927" s="435">
        <v>2</v>
      </c>
      <c r="V927" s="436" t="str">
        <f t="shared" si="477"/>
        <v>slice</v>
      </c>
      <c r="W927" s="437">
        <f t="shared" si="478"/>
        <v>140</v>
      </c>
      <c r="X927" s="437">
        <f t="shared" si="479"/>
        <v>5</v>
      </c>
      <c r="Y927" s="437">
        <f t="shared" si="480"/>
        <v>2.5</v>
      </c>
      <c r="Z927" s="437">
        <f t="shared" si="481"/>
        <v>24</v>
      </c>
      <c r="AA927" s="437">
        <f t="shared" si="482"/>
        <v>2</v>
      </c>
      <c r="AB927" s="584">
        <f t="shared" si="483"/>
        <v>0</v>
      </c>
      <c r="AC927" s="434"/>
    </row>
    <row r="928" spans="5:29">
      <c r="E928" s="598"/>
      <c r="F928" s="699"/>
      <c r="G928" s="700"/>
      <c r="H928" s="598"/>
      <c r="I928" s="598"/>
      <c r="J928" s="598"/>
      <c r="K928" s="598"/>
      <c r="L928" s="598"/>
      <c r="Q928" s="432">
        <v>46091</v>
      </c>
      <c r="R928" s="433">
        <v>0.45833333333333331</v>
      </c>
      <c r="S928" s="434" t="s">
        <v>289</v>
      </c>
      <c r="T928" s="434" t="s">
        <v>214</v>
      </c>
      <c r="U928" s="435">
        <f>2/3</f>
        <v>0.66666666666666663</v>
      </c>
      <c r="V928" s="436" t="str">
        <f t="shared" si="477"/>
        <v>bar</v>
      </c>
      <c r="W928" s="437">
        <f t="shared" si="478"/>
        <v>44.666666666666664</v>
      </c>
      <c r="X928" s="437">
        <f t="shared" si="479"/>
        <v>0.66666666666666663</v>
      </c>
      <c r="Y928" s="437">
        <f t="shared" si="480"/>
        <v>2.333333333333333</v>
      </c>
      <c r="Z928" s="437">
        <f t="shared" si="481"/>
        <v>14.666666666666666</v>
      </c>
      <c r="AA928" s="437">
        <f t="shared" si="482"/>
        <v>0.19999999999999998</v>
      </c>
      <c r="AB928" s="584">
        <f t="shared" si="483"/>
        <v>0</v>
      </c>
      <c r="AC928" s="434"/>
    </row>
    <row r="929" spans="5:29">
      <c r="E929" s="598"/>
      <c r="F929" s="699"/>
      <c r="G929" s="700"/>
      <c r="H929" s="598"/>
      <c r="I929" s="598"/>
      <c r="J929" s="598"/>
      <c r="K929" s="598"/>
      <c r="L929" s="598"/>
      <c r="Q929" s="432">
        <v>46091</v>
      </c>
      <c r="R929" s="433">
        <v>0.45833333333333298</v>
      </c>
      <c r="S929" s="434" t="s">
        <v>289</v>
      </c>
      <c r="T929" s="434" t="s">
        <v>464</v>
      </c>
      <c r="U929" s="435">
        <v>1</v>
      </c>
      <c r="V929" s="436" t="str">
        <f t="shared" si="477"/>
        <v>lozenge</v>
      </c>
      <c r="W929" s="437">
        <f t="shared" si="478"/>
        <v>10</v>
      </c>
      <c r="X929" s="437">
        <f t="shared" si="479"/>
        <v>0</v>
      </c>
      <c r="Y929" s="437">
        <f t="shared" si="480"/>
        <v>0</v>
      </c>
      <c r="Z929" s="437">
        <f t="shared" si="481"/>
        <v>3</v>
      </c>
      <c r="AA929" s="437">
        <f t="shared" si="482"/>
        <v>0</v>
      </c>
      <c r="AB929" s="584">
        <f t="shared" si="483"/>
        <v>0</v>
      </c>
      <c r="AC929" s="434"/>
    </row>
    <row r="930" spans="5:29">
      <c r="E930" s="598"/>
      <c r="F930" s="699"/>
      <c r="G930" s="700"/>
      <c r="H930" s="598"/>
      <c r="I930" s="598"/>
      <c r="J930" s="598"/>
      <c r="K930" s="598"/>
      <c r="L930" s="598"/>
      <c r="Q930" s="432">
        <v>46091</v>
      </c>
      <c r="R930" s="433">
        <v>0.54166666666666663</v>
      </c>
      <c r="S930" s="434" t="s">
        <v>185</v>
      </c>
      <c r="T930" s="434" t="s">
        <v>176</v>
      </c>
      <c r="U930" s="435">
        <v>190</v>
      </c>
      <c r="V930" s="436" t="str">
        <f t="shared" si="477"/>
        <v>g</v>
      </c>
      <c r="W930" s="437">
        <f t="shared" si="478"/>
        <v>313.5</v>
      </c>
      <c r="X930" s="437">
        <f t="shared" si="479"/>
        <v>47.5</v>
      </c>
      <c r="Y930" s="437">
        <f t="shared" si="480"/>
        <v>6.84</v>
      </c>
      <c r="Z930" s="437">
        <f t="shared" si="481"/>
        <v>0</v>
      </c>
      <c r="AA930" s="437">
        <f t="shared" si="482"/>
        <v>0</v>
      </c>
      <c r="AB930" s="584">
        <f t="shared" si="483"/>
        <v>0</v>
      </c>
      <c r="AC930" s="434"/>
    </row>
    <row r="931" spans="5:29">
      <c r="E931" s="598"/>
      <c r="F931" s="699"/>
      <c r="G931" s="700"/>
      <c r="H931" s="598"/>
      <c r="I931" s="598"/>
      <c r="J931" s="598"/>
      <c r="K931" s="598"/>
      <c r="L931" s="598"/>
      <c r="Q931" s="432">
        <v>46091</v>
      </c>
      <c r="R931" s="433">
        <v>0.54166666666666696</v>
      </c>
      <c r="S931" s="434" t="s">
        <v>185</v>
      </c>
      <c r="T931" s="434" t="s">
        <v>181</v>
      </c>
      <c r="U931" s="435">
        <v>4</v>
      </c>
      <c r="V931" s="436" t="str">
        <f t="shared" si="477"/>
        <v>slice</v>
      </c>
      <c r="W931" s="437">
        <f t="shared" si="478"/>
        <v>280</v>
      </c>
      <c r="X931" s="437">
        <f t="shared" si="479"/>
        <v>10</v>
      </c>
      <c r="Y931" s="437">
        <f t="shared" si="480"/>
        <v>5</v>
      </c>
      <c r="Z931" s="437">
        <f t="shared" si="481"/>
        <v>48</v>
      </c>
      <c r="AA931" s="437">
        <f t="shared" si="482"/>
        <v>4</v>
      </c>
      <c r="AB931" s="584">
        <f t="shared" si="483"/>
        <v>0</v>
      </c>
      <c r="AC931" s="434"/>
    </row>
    <row r="932" spans="5:29">
      <c r="E932" s="598"/>
      <c r="F932" s="699"/>
      <c r="G932" s="700"/>
      <c r="H932" s="598"/>
      <c r="I932" s="598"/>
      <c r="J932" s="598"/>
      <c r="K932" s="598"/>
      <c r="L932" s="598"/>
      <c r="Q932" s="432">
        <v>46091</v>
      </c>
      <c r="R932" s="433">
        <v>0.66666666666666663</v>
      </c>
      <c r="S932" s="434" t="s">
        <v>289</v>
      </c>
      <c r="T932" s="434" t="s">
        <v>214</v>
      </c>
      <c r="U932" s="435">
        <v>2</v>
      </c>
      <c r="V932" s="436" t="str">
        <f t="shared" si="477"/>
        <v>bar</v>
      </c>
      <c r="W932" s="437">
        <f t="shared" si="478"/>
        <v>134</v>
      </c>
      <c r="X932" s="437">
        <f t="shared" si="479"/>
        <v>2</v>
      </c>
      <c r="Y932" s="437">
        <f t="shared" si="480"/>
        <v>7</v>
      </c>
      <c r="Z932" s="437">
        <f t="shared" si="481"/>
        <v>44</v>
      </c>
      <c r="AA932" s="437">
        <f t="shared" si="482"/>
        <v>0.6</v>
      </c>
      <c r="AB932" s="584">
        <f t="shared" si="483"/>
        <v>0</v>
      </c>
      <c r="AC932" s="434"/>
    </row>
    <row r="933" spans="5:29">
      <c r="E933" s="598"/>
      <c r="F933" s="699"/>
      <c r="G933" s="700"/>
      <c r="H933" s="598"/>
      <c r="I933" s="598"/>
      <c r="J933" s="598"/>
      <c r="K933" s="598"/>
      <c r="L933" s="598"/>
      <c r="Q933" s="432">
        <v>46091</v>
      </c>
      <c r="R933" s="433">
        <v>0.66666666666666696</v>
      </c>
      <c r="S933" s="434" t="s">
        <v>289</v>
      </c>
      <c r="T933" s="434" t="s">
        <v>219</v>
      </c>
      <c r="U933" s="435">
        <v>1</v>
      </c>
      <c r="V933" s="436" t="str">
        <f t="shared" si="477"/>
        <v>bottle</v>
      </c>
      <c r="W933" s="437">
        <f t="shared" si="478"/>
        <v>0</v>
      </c>
      <c r="X933" s="437">
        <f t="shared" si="479"/>
        <v>0</v>
      </c>
      <c r="Y933" s="437">
        <f t="shared" si="480"/>
        <v>0</v>
      </c>
      <c r="Z933" s="437">
        <f t="shared" si="481"/>
        <v>0</v>
      </c>
      <c r="AA933" s="437">
        <f t="shared" si="482"/>
        <v>0</v>
      </c>
      <c r="AB933" s="584">
        <f t="shared" si="483"/>
        <v>0</v>
      </c>
      <c r="AC933" s="434"/>
    </row>
    <row r="934" spans="5:29">
      <c r="E934" s="598"/>
      <c r="F934" s="699"/>
      <c r="G934" s="700"/>
      <c r="H934" s="598"/>
      <c r="I934" s="598"/>
      <c r="J934" s="598"/>
      <c r="K934" s="598"/>
      <c r="L934" s="598"/>
      <c r="Q934" s="432">
        <v>46091</v>
      </c>
      <c r="R934" s="433">
        <v>0.79166666666666663</v>
      </c>
      <c r="S934" s="434" t="s">
        <v>199</v>
      </c>
      <c r="T934" s="434" t="s">
        <v>753</v>
      </c>
      <c r="U934" s="435">
        <v>330</v>
      </c>
      <c r="V934" s="436" t="str">
        <f t="shared" si="477"/>
        <v>g</v>
      </c>
      <c r="W934" s="437">
        <f t="shared" si="478"/>
        <v>429</v>
      </c>
      <c r="X934" s="437">
        <f t="shared" si="479"/>
        <v>3.3</v>
      </c>
      <c r="Y934" s="437">
        <f t="shared" si="480"/>
        <v>0</v>
      </c>
      <c r="Z934" s="437">
        <f t="shared" si="481"/>
        <v>102.3</v>
      </c>
      <c r="AA934" s="437">
        <f t="shared" si="482"/>
        <v>9.8999999999999986</v>
      </c>
      <c r="AB934" s="584">
        <f t="shared" si="483"/>
        <v>0</v>
      </c>
      <c r="AC934" s="434"/>
    </row>
    <row r="935" spans="5:29">
      <c r="E935" s="598"/>
      <c r="F935" s="699"/>
      <c r="G935" s="700"/>
      <c r="H935" s="598"/>
      <c r="I935" s="598"/>
      <c r="J935" s="598"/>
      <c r="K935" s="598"/>
      <c r="L935" s="598"/>
      <c r="Q935" s="432">
        <v>46091</v>
      </c>
      <c r="R935" s="433">
        <v>0.79166666666666696</v>
      </c>
      <c r="S935" s="434" t="s">
        <v>199</v>
      </c>
      <c r="T935" s="434" t="s">
        <v>176</v>
      </c>
      <c r="U935" s="435">
        <v>150</v>
      </c>
      <c r="V935" s="436" t="str">
        <f t="shared" si="477"/>
        <v>g</v>
      </c>
      <c r="W935" s="437">
        <f t="shared" si="478"/>
        <v>247.5</v>
      </c>
      <c r="X935" s="437">
        <f t="shared" si="479"/>
        <v>37.5</v>
      </c>
      <c r="Y935" s="437">
        <f t="shared" si="480"/>
        <v>5.4</v>
      </c>
      <c r="Z935" s="437">
        <f t="shared" si="481"/>
        <v>0</v>
      </c>
      <c r="AA935" s="437">
        <f t="shared" si="482"/>
        <v>0</v>
      </c>
      <c r="AB935" s="584">
        <f t="shared" si="483"/>
        <v>0</v>
      </c>
      <c r="AC935" s="434"/>
    </row>
    <row r="936" spans="5:29">
      <c r="E936" s="598"/>
      <c r="F936" s="699"/>
      <c r="G936" s="700"/>
      <c r="H936" s="598"/>
      <c r="I936" s="598"/>
      <c r="J936" s="598"/>
      <c r="K936" s="598"/>
      <c r="L936" s="598"/>
      <c r="Q936" s="432">
        <v>46091</v>
      </c>
      <c r="R936" s="433">
        <v>0.83333333333333337</v>
      </c>
      <c r="S936" s="434" t="s">
        <v>289</v>
      </c>
      <c r="T936" s="434" t="s">
        <v>214</v>
      </c>
      <c r="U936" s="435">
        <v>1</v>
      </c>
      <c r="V936" s="436" t="str">
        <f t="shared" si="477"/>
        <v>bar</v>
      </c>
      <c r="W936" s="437">
        <f t="shared" si="478"/>
        <v>67</v>
      </c>
      <c r="X936" s="437">
        <f t="shared" si="479"/>
        <v>1</v>
      </c>
      <c r="Y936" s="437">
        <f t="shared" si="480"/>
        <v>3.5</v>
      </c>
      <c r="Z936" s="437">
        <f t="shared" si="481"/>
        <v>22</v>
      </c>
      <c r="AA936" s="437">
        <f t="shared" si="482"/>
        <v>0.3</v>
      </c>
      <c r="AB936" s="584">
        <f t="shared" si="483"/>
        <v>0</v>
      </c>
      <c r="AC936" s="434"/>
    </row>
    <row r="937" spans="5:29">
      <c r="E937" s="598"/>
      <c r="F937" s="699"/>
      <c r="G937" s="700"/>
      <c r="H937" s="598"/>
      <c r="I937" s="598"/>
      <c r="J937" s="598"/>
      <c r="K937" s="598"/>
      <c r="L937" s="598"/>
      <c r="Q937" s="432">
        <v>46091</v>
      </c>
      <c r="R937" s="433">
        <v>0.83333333333333304</v>
      </c>
      <c r="S937" s="434" t="s">
        <v>289</v>
      </c>
      <c r="T937" s="434" t="s">
        <v>786</v>
      </c>
      <c r="U937" s="435">
        <v>1</v>
      </c>
      <c r="V937" s="436" t="str">
        <f t="shared" si="477"/>
        <v>bottle</v>
      </c>
      <c r="W937" s="437">
        <f t="shared" si="478"/>
        <v>90</v>
      </c>
      <c r="X937" s="437">
        <f t="shared" si="479"/>
        <v>0</v>
      </c>
      <c r="Y937" s="437">
        <f t="shared" si="480"/>
        <v>0</v>
      </c>
      <c r="Z937" s="437">
        <f t="shared" si="481"/>
        <v>22</v>
      </c>
      <c r="AA937" s="437">
        <f t="shared" si="482"/>
        <v>0</v>
      </c>
      <c r="AB937" s="584">
        <f t="shared" si="483"/>
        <v>0</v>
      </c>
      <c r="AC937" s="434"/>
    </row>
    <row r="938" spans="5:29">
      <c r="E938" s="598"/>
      <c r="F938" s="699"/>
      <c r="G938" s="700"/>
      <c r="H938" s="598"/>
      <c r="I938" s="598"/>
      <c r="J938" s="598"/>
      <c r="K938" s="598"/>
      <c r="L938" s="598"/>
      <c r="Q938" s="432">
        <v>46091</v>
      </c>
      <c r="R938" s="433">
        <v>0.83333333333333304</v>
      </c>
      <c r="S938" s="434" t="s">
        <v>199</v>
      </c>
      <c r="T938" s="434" t="s">
        <v>209</v>
      </c>
      <c r="U938" s="435">
        <v>3</v>
      </c>
      <c r="V938" s="436" t="str">
        <f t="shared" si="477"/>
        <v>tbsp</v>
      </c>
      <c r="W938" s="437">
        <f t="shared" si="478"/>
        <v>60</v>
      </c>
      <c r="X938" s="437">
        <f t="shared" si="479"/>
        <v>0</v>
      </c>
      <c r="Y938" s="437">
        <f t="shared" si="480"/>
        <v>0</v>
      </c>
      <c r="Z938" s="437">
        <f t="shared" si="481"/>
        <v>15</v>
      </c>
      <c r="AA938" s="437">
        <f t="shared" si="482"/>
        <v>13.5</v>
      </c>
      <c r="AB938" s="684">
        <f t="shared" si="483"/>
        <v>0</v>
      </c>
      <c r="AC938" s="434"/>
    </row>
    <row r="939" spans="5:29">
      <c r="E939" s="598"/>
      <c r="F939" s="699"/>
      <c r="G939" s="700"/>
      <c r="H939" s="598"/>
      <c r="I939" s="598"/>
      <c r="J939" s="598"/>
      <c r="K939" s="598"/>
      <c r="L939" s="598"/>
      <c r="Q939" s="438"/>
      <c r="R939" s="439" t="s">
        <v>217</v>
      </c>
      <c r="S939" s="440"/>
      <c r="T939" s="441"/>
      <c r="U939" s="441"/>
      <c r="V939" s="442"/>
      <c r="W939" s="443">
        <f t="shared" ref="W939:AB939" si="484">SUM(W923:W938)</f>
        <v>2616.6666666666665</v>
      </c>
      <c r="X939" s="443">
        <f t="shared" si="484"/>
        <v>177.61666666666667</v>
      </c>
      <c r="Y939" s="443">
        <f t="shared" si="484"/>
        <v>46.123333333333328</v>
      </c>
      <c r="Z939" s="443">
        <f t="shared" si="484"/>
        <v>398.16666666666669</v>
      </c>
      <c r="AA939" s="685">
        <f t="shared" si="484"/>
        <v>42.400000000000006</v>
      </c>
      <c r="AB939" s="691">
        <f t="shared" si="484"/>
        <v>0</v>
      </c>
      <c r="AC939" s="439"/>
    </row>
    <row r="940" spans="5:29">
      <c r="E940" s="598"/>
      <c r="F940" s="699"/>
      <c r="G940" s="700"/>
      <c r="H940" s="598"/>
      <c r="I940" s="598"/>
      <c r="J940" s="598"/>
      <c r="K940" s="598"/>
      <c r="L940" s="598"/>
      <c r="Q940" s="438"/>
      <c r="R940" s="439" t="s">
        <v>220</v>
      </c>
      <c r="S940" s="440"/>
      <c r="T940" s="441"/>
      <c r="U940" s="441"/>
      <c r="V940" s="442"/>
      <c r="W940" s="444">
        <f>$B$27</f>
        <v>2834.5625</v>
      </c>
      <c r="X940" s="444">
        <f>$B$29</f>
        <v>154</v>
      </c>
      <c r="Y940" s="444">
        <f>$B$30</f>
        <v>63.91</v>
      </c>
      <c r="Z940" s="444">
        <f>$B$31</f>
        <v>410.84312499999999</v>
      </c>
      <c r="AA940" s="692">
        <f>$B$32</f>
        <v>39.683875</v>
      </c>
      <c r="AB940" s="695">
        <f>$B$39</f>
        <v>500</v>
      </c>
      <c r="AC940" s="439"/>
    </row>
    <row r="941" spans="5:29">
      <c r="E941" s="598"/>
      <c r="F941" s="699"/>
      <c r="G941" s="700"/>
      <c r="H941" s="598"/>
      <c r="I941" s="598"/>
      <c r="J941" s="598"/>
      <c r="K941" s="598"/>
      <c r="L941" s="598"/>
      <c r="Q941" s="438"/>
      <c r="R941" s="439" t="s">
        <v>222</v>
      </c>
      <c r="S941" s="440"/>
      <c r="T941" s="441"/>
      <c r="U941" s="441"/>
      <c r="V941" s="442"/>
      <c r="W941" s="284">
        <f t="shared" ref="W941:AB941" si="485">W939-W940</f>
        <v>-217.89583333333348</v>
      </c>
      <c r="X941" s="284">
        <f t="shared" si="485"/>
        <v>23.616666666666674</v>
      </c>
      <c r="Y941" s="284">
        <f t="shared" si="485"/>
        <v>-17.786666666666669</v>
      </c>
      <c r="Z941" s="284">
        <f t="shared" si="485"/>
        <v>-12.676458333333301</v>
      </c>
      <c r="AA941" s="690">
        <f t="shared" si="485"/>
        <v>2.7161250000000052</v>
      </c>
      <c r="AB941" s="689">
        <f t="shared" si="485"/>
        <v>-500</v>
      </c>
      <c r="AC941" s="439"/>
    </row>
    <row r="942" spans="5:29">
      <c r="E942" s="598"/>
      <c r="F942" s="699"/>
      <c r="G942" s="700"/>
      <c r="H942" s="598"/>
      <c r="I942" s="598"/>
      <c r="J942" s="598"/>
      <c r="K942" s="598"/>
      <c r="L942" s="598"/>
      <c r="Q942" s="432">
        <v>46092</v>
      </c>
      <c r="R942" s="433">
        <v>0.33333333333333331</v>
      </c>
      <c r="S942" s="434" t="s">
        <v>178</v>
      </c>
      <c r="T942" s="434" t="s">
        <v>295</v>
      </c>
      <c r="U942" s="435">
        <v>1</v>
      </c>
      <c r="V942" s="436" t="str">
        <f t="shared" ref="V942:V956" si="486">IFERROR(VLOOKUP(T942, $E$5:$L$818, 3, FALSE), "")</f>
        <v>bottle</v>
      </c>
      <c r="W942" s="437">
        <f t="shared" ref="W942:W956" si="487">IFERROR(VLOOKUP(T942, $E$5:$L$818, 4, FALSE) * (U942 / VLOOKUP(T942, $E$5:$L$818, 2, FALSE)), "")</f>
        <v>200</v>
      </c>
      <c r="X942" s="437">
        <f t="shared" ref="X942:X956" si="488">IFERROR(VLOOKUP(T942, $E$5:$L$818, 5, FALSE) * (U942 / VLOOKUP(T942, $E$5:$L$818, 2, FALSE)), "")</f>
        <v>35</v>
      </c>
      <c r="Y942" s="437">
        <f t="shared" ref="Y942:Y956" si="489">IFERROR(VLOOKUP(T942, $E$5:$L$818, 6, FALSE) * (U942 / VLOOKUP(T942, $E$5:$L$818, 2, FALSE)), "")</f>
        <v>2.5</v>
      </c>
      <c r="Z942" s="437">
        <f t="shared" ref="Z942:Z956" si="490">IFERROR(VLOOKUP(T942, $E$5:$L$818, 7, FALSE) * (U942 / VLOOKUP(T942, $E$5:$L$818, 2, FALSE)), "")</f>
        <v>9</v>
      </c>
      <c r="AA942" s="437">
        <f t="shared" ref="AA942:AA956" si="491">IFERROR(VLOOKUP(T942, $E$5:$L$818, 8, FALSE) * (U942 / VLOOKUP(T942, $E$5:$L$818, 2, FALSE)), "")</f>
        <v>0</v>
      </c>
      <c r="AB942" s="674">
        <f t="shared" ref="AB942:AB956" si="492">IFERROR(VLOOKUP(T942, $E$5:$O$818, 9, FALSE) * (U942 / VLOOKUP(T942, $E$5:$O$818, 2, FALSE)), "")</f>
        <v>0</v>
      </c>
      <c r="AC942" s="434"/>
    </row>
    <row r="943" spans="5:29">
      <c r="E943" s="598"/>
      <c r="F943" s="699"/>
      <c r="G943" s="700"/>
      <c r="H943" s="598"/>
      <c r="I943" s="598"/>
      <c r="J943" s="598"/>
      <c r="K943" s="598"/>
      <c r="L943" s="598"/>
      <c r="Q943" s="432">
        <v>46092</v>
      </c>
      <c r="R943" s="433">
        <v>0.33333333333333298</v>
      </c>
      <c r="S943" s="434" t="s">
        <v>178</v>
      </c>
      <c r="T943" s="434" t="s">
        <v>753</v>
      </c>
      <c r="U943" s="435">
        <v>186</v>
      </c>
      <c r="V943" s="436" t="str">
        <f t="shared" si="486"/>
        <v>g</v>
      </c>
      <c r="W943" s="437">
        <f t="shared" si="487"/>
        <v>241.8</v>
      </c>
      <c r="X943" s="437">
        <f t="shared" si="488"/>
        <v>1.86</v>
      </c>
      <c r="Y943" s="437">
        <f t="shared" si="489"/>
        <v>0</v>
      </c>
      <c r="Z943" s="437">
        <f t="shared" si="490"/>
        <v>57.660000000000004</v>
      </c>
      <c r="AA943" s="437">
        <f t="shared" si="491"/>
        <v>5.58</v>
      </c>
      <c r="AB943" s="584">
        <f t="shared" si="492"/>
        <v>0</v>
      </c>
      <c r="AC943" s="434"/>
    </row>
    <row r="944" spans="5:29">
      <c r="E944" s="598"/>
      <c r="F944" s="699"/>
      <c r="G944" s="700"/>
      <c r="H944" s="598"/>
      <c r="I944" s="598"/>
      <c r="J944" s="598"/>
      <c r="K944" s="598"/>
      <c r="L944" s="598"/>
      <c r="Q944" s="432">
        <v>46092</v>
      </c>
      <c r="R944" s="433">
        <v>0.375</v>
      </c>
      <c r="S944" s="434" t="s">
        <v>289</v>
      </c>
      <c r="T944" s="434" t="s">
        <v>253</v>
      </c>
      <c r="U944" s="435">
        <v>1</v>
      </c>
      <c r="V944" s="436" t="str">
        <f t="shared" si="486"/>
        <v>medium</v>
      </c>
      <c r="W944" s="437">
        <f t="shared" si="487"/>
        <v>42</v>
      </c>
      <c r="X944" s="437">
        <f t="shared" si="488"/>
        <v>0.8</v>
      </c>
      <c r="Y944" s="437">
        <f t="shared" si="489"/>
        <v>0.4</v>
      </c>
      <c r="Z944" s="437">
        <f t="shared" si="490"/>
        <v>10</v>
      </c>
      <c r="AA944" s="437">
        <f t="shared" si="491"/>
        <v>2.1</v>
      </c>
      <c r="AB944" s="584">
        <f t="shared" si="492"/>
        <v>0</v>
      </c>
      <c r="AC944" s="434"/>
    </row>
    <row r="945" spans="5:29">
      <c r="E945" s="598"/>
      <c r="F945" s="699"/>
      <c r="G945" s="700"/>
      <c r="H945" s="598"/>
      <c r="I945" s="598"/>
      <c r="J945" s="598"/>
      <c r="K945" s="598"/>
      <c r="L945" s="598"/>
      <c r="Q945" s="432">
        <v>46092</v>
      </c>
      <c r="R945" s="433">
        <v>0.375</v>
      </c>
      <c r="S945" s="434" t="s">
        <v>289</v>
      </c>
      <c r="T945" s="434" t="s">
        <v>468</v>
      </c>
      <c r="U945" s="435">
        <v>0.25</v>
      </c>
      <c r="V945" s="436" t="str">
        <f t="shared" si="486"/>
        <v>apple</v>
      </c>
      <c r="W945" s="437">
        <f t="shared" si="487"/>
        <v>23.75</v>
      </c>
      <c r="X945" s="437">
        <f t="shared" si="488"/>
        <v>0.125</v>
      </c>
      <c r="Y945" s="437">
        <f t="shared" si="489"/>
        <v>7.4999999999999997E-2</v>
      </c>
      <c r="Z945" s="437">
        <f t="shared" si="490"/>
        <v>6.25</v>
      </c>
      <c r="AA945" s="437">
        <f t="shared" si="491"/>
        <v>1</v>
      </c>
      <c r="AB945" s="584">
        <f t="shared" si="492"/>
        <v>0</v>
      </c>
      <c r="AC945" s="434"/>
    </row>
    <row r="946" spans="5:29">
      <c r="E946" s="598"/>
      <c r="F946" s="699"/>
      <c r="G946" s="700"/>
      <c r="H946" s="598"/>
      <c r="I946" s="598"/>
      <c r="J946" s="598"/>
      <c r="K946" s="598"/>
      <c r="L946" s="598"/>
      <c r="Q946" s="432">
        <v>46092</v>
      </c>
      <c r="R946" s="433">
        <v>0.54166666666666663</v>
      </c>
      <c r="S946" s="434" t="s">
        <v>185</v>
      </c>
      <c r="T946" s="434" t="s">
        <v>180</v>
      </c>
      <c r="U946" s="435">
        <v>50</v>
      </c>
      <c r="V946" s="436" t="str">
        <f t="shared" si="486"/>
        <v>g</v>
      </c>
      <c r="W946" s="437">
        <f t="shared" si="487"/>
        <v>65</v>
      </c>
      <c r="X946" s="437">
        <f t="shared" si="488"/>
        <v>1.35</v>
      </c>
      <c r="Y946" s="437">
        <f t="shared" si="489"/>
        <v>0.15</v>
      </c>
      <c r="Z946" s="437">
        <f t="shared" si="490"/>
        <v>14</v>
      </c>
      <c r="AA946" s="437">
        <f t="shared" si="491"/>
        <v>0.2</v>
      </c>
      <c r="AB946" s="584">
        <f t="shared" si="492"/>
        <v>0</v>
      </c>
      <c r="AC946" s="434"/>
    </row>
    <row r="947" spans="5:29">
      <c r="E947" s="598"/>
      <c r="F947" s="699"/>
      <c r="G947" s="700"/>
      <c r="H947" s="598"/>
      <c r="I947" s="598"/>
      <c r="J947" s="598"/>
      <c r="K947" s="598"/>
      <c r="L947" s="598"/>
      <c r="Q947" s="432">
        <v>46092</v>
      </c>
      <c r="R947" s="433">
        <v>0.54166666666666696</v>
      </c>
      <c r="S947" s="434" t="s">
        <v>185</v>
      </c>
      <c r="T947" s="434" t="s">
        <v>176</v>
      </c>
      <c r="U947" s="435">
        <v>160</v>
      </c>
      <c r="V947" s="436" t="str">
        <f t="shared" si="486"/>
        <v>g</v>
      </c>
      <c r="W947" s="437">
        <f t="shared" si="487"/>
        <v>264</v>
      </c>
      <c r="X947" s="437">
        <f t="shared" si="488"/>
        <v>40</v>
      </c>
      <c r="Y947" s="437">
        <f t="shared" si="489"/>
        <v>5.7600000000000007</v>
      </c>
      <c r="Z947" s="437">
        <f t="shared" si="490"/>
        <v>0</v>
      </c>
      <c r="AA947" s="437">
        <f t="shared" si="491"/>
        <v>0</v>
      </c>
      <c r="AB947" s="584">
        <f t="shared" si="492"/>
        <v>0</v>
      </c>
      <c r="AC947" s="434"/>
    </row>
    <row r="948" spans="5:29">
      <c r="E948" s="598"/>
      <c r="F948" s="699"/>
      <c r="G948" s="700"/>
      <c r="H948" s="598"/>
      <c r="I948" s="598"/>
      <c r="J948" s="598"/>
      <c r="K948" s="598"/>
      <c r="L948" s="598"/>
      <c r="Q948" s="432">
        <v>46092</v>
      </c>
      <c r="R948" s="433">
        <v>0.54166666666666696</v>
      </c>
      <c r="S948" s="434" t="s">
        <v>185</v>
      </c>
      <c r="T948" s="434" t="s">
        <v>753</v>
      </c>
      <c r="U948" s="435">
        <v>117</v>
      </c>
      <c r="V948" s="436" t="str">
        <f t="shared" si="486"/>
        <v>g</v>
      </c>
      <c r="W948" s="437">
        <f t="shared" si="487"/>
        <v>152.1</v>
      </c>
      <c r="X948" s="437">
        <f t="shared" si="488"/>
        <v>1.17</v>
      </c>
      <c r="Y948" s="437">
        <f t="shared" si="489"/>
        <v>0</v>
      </c>
      <c r="Z948" s="437">
        <f t="shared" si="490"/>
        <v>36.269999999999996</v>
      </c>
      <c r="AA948" s="437">
        <f t="shared" si="491"/>
        <v>3.51</v>
      </c>
      <c r="AB948" s="584">
        <f t="shared" si="492"/>
        <v>0</v>
      </c>
      <c r="AC948" s="434"/>
    </row>
    <row r="949" spans="5:29">
      <c r="E949" s="598"/>
      <c r="F949" s="699"/>
      <c r="G949" s="700"/>
      <c r="H949" s="598"/>
      <c r="I949" s="598"/>
      <c r="J949" s="598"/>
      <c r="K949" s="598"/>
      <c r="L949" s="598"/>
      <c r="Q949" s="432">
        <v>46092</v>
      </c>
      <c r="R949" s="433">
        <v>0.58333333333333337</v>
      </c>
      <c r="S949" s="434" t="s">
        <v>289</v>
      </c>
      <c r="T949" s="434" t="s">
        <v>190</v>
      </c>
      <c r="U949" s="435">
        <v>1.5</v>
      </c>
      <c r="V949" s="436" t="str">
        <f t="shared" si="486"/>
        <v>medium</v>
      </c>
      <c r="W949" s="437">
        <f t="shared" si="487"/>
        <v>93</v>
      </c>
      <c r="X949" s="437">
        <f t="shared" si="488"/>
        <v>1.7999999999999998</v>
      </c>
      <c r="Y949" s="437">
        <f t="shared" si="489"/>
        <v>0.30000000000000004</v>
      </c>
      <c r="Z949" s="437">
        <f t="shared" si="490"/>
        <v>23.1</v>
      </c>
      <c r="AA949" s="437">
        <f t="shared" si="491"/>
        <v>4.6500000000000004</v>
      </c>
      <c r="AB949" s="584">
        <f t="shared" si="492"/>
        <v>0</v>
      </c>
      <c r="AC949" s="434"/>
    </row>
    <row r="950" spans="5:29">
      <c r="E950" s="598"/>
      <c r="F950" s="699"/>
      <c r="G950" s="700"/>
      <c r="H950" s="598"/>
      <c r="I950" s="598"/>
      <c r="J950" s="598"/>
      <c r="K950" s="598"/>
      <c r="L950" s="598"/>
      <c r="Q950" s="432">
        <v>46092</v>
      </c>
      <c r="R950" s="433">
        <v>0.58333333333333304</v>
      </c>
      <c r="S950" s="434" t="s">
        <v>289</v>
      </c>
      <c r="T950" s="434" t="s">
        <v>808</v>
      </c>
      <c r="U950" s="435">
        <f>1/4</f>
        <v>0.25</v>
      </c>
      <c r="V950" s="436" t="str">
        <f t="shared" si="486"/>
        <v>package</v>
      </c>
      <c r="W950" s="437">
        <f t="shared" si="487"/>
        <v>80</v>
      </c>
      <c r="X950" s="437">
        <f t="shared" si="488"/>
        <v>5</v>
      </c>
      <c r="Y950" s="437">
        <f t="shared" si="489"/>
        <v>2.5</v>
      </c>
      <c r="Z950" s="437">
        <f t="shared" si="490"/>
        <v>10</v>
      </c>
      <c r="AA950" s="437">
        <f t="shared" si="491"/>
        <v>0</v>
      </c>
      <c r="AB950" s="584">
        <f t="shared" si="492"/>
        <v>0</v>
      </c>
      <c r="AC950" s="434"/>
    </row>
    <row r="951" spans="5:29">
      <c r="E951" s="598"/>
      <c r="F951" s="699"/>
      <c r="G951" s="700"/>
      <c r="H951" s="598"/>
      <c r="I951" s="598"/>
      <c r="J951" s="598"/>
      <c r="K951" s="598"/>
      <c r="L951" s="598"/>
      <c r="Q951" s="432">
        <v>46092</v>
      </c>
      <c r="R951" s="433">
        <v>0.83333333333333337</v>
      </c>
      <c r="S951" s="434" t="s">
        <v>199</v>
      </c>
      <c r="T951" s="434" t="s">
        <v>176</v>
      </c>
      <c r="U951" s="435">
        <v>328</v>
      </c>
      <c r="V951" s="436" t="str">
        <f t="shared" si="486"/>
        <v>g</v>
      </c>
      <c r="W951" s="437">
        <f t="shared" si="487"/>
        <v>541.19999999999993</v>
      </c>
      <c r="X951" s="437">
        <f t="shared" si="488"/>
        <v>82</v>
      </c>
      <c r="Y951" s="437">
        <f t="shared" si="489"/>
        <v>11.808</v>
      </c>
      <c r="Z951" s="437">
        <f t="shared" si="490"/>
        <v>0</v>
      </c>
      <c r="AA951" s="437">
        <f t="shared" si="491"/>
        <v>0</v>
      </c>
      <c r="AB951" s="584">
        <f t="shared" si="492"/>
        <v>0</v>
      </c>
      <c r="AC951" s="434"/>
    </row>
    <row r="952" spans="5:29">
      <c r="E952" s="598"/>
      <c r="F952" s="699"/>
      <c r="G952" s="700"/>
      <c r="H952" s="598"/>
      <c r="I952" s="598"/>
      <c r="J952" s="598"/>
      <c r="K952" s="598"/>
      <c r="L952" s="598"/>
      <c r="Q952" s="432">
        <v>46092</v>
      </c>
      <c r="R952" s="433">
        <v>0.83333333333333304</v>
      </c>
      <c r="S952" s="434" t="s">
        <v>199</v>
      </c>
      <c r="T952" s="434" t="s">
        <v>753</v>
      </c>
      <c r="U952" s="435">
        <v>59</v>
      </c>
      <c r="V952" s="436" t="str">
        <f t="shared" si="486"/>
        <v>g</v>
      </c>
      <c r="W952" s="437">
        <f t="shared" si="487"/>
        <v>76.7</v>
      </c>
      <c r="X952" s="437">
        <f t="shared" si="488"/>
        <v>0.59</v>
      </c>
      <c r="Y952" s="437">
        <f t="shared" si="489"/>
        <v>0</v>
      </c>
      <c r="Z952" s="437">
        <f t="shared" si="490"/>
        <v>18.29</v>
      </c>
      <c r="AA952" s="437">
        <f t="shared" si="491"/>
        <v>1.77</v>
      </c>
      <c r="AB952" s="584">
        <f t="shared" si="492"/>
        <v>0</v>
      </c>
      <c r="AC952" s="434"/>
    </row>
    <row r="953" spans="5:29">
      <c r="E953" s="598"/>
      <c r="F953" s="699"/>
      <c r="G953" s="700"/>
      <c r="H953" s="598"/>
      <c r="I953" s="598"/>
      <c r="J953" s="598"/>
      <c r="K953" s="598"/>
      <c r="L953" s="598"/>
      <c r="Q953" s="432">
        <v>46092</v>
      </c>
      <c r="R953" s="433">
        <v>0.83333333333333304</v>
      </c>
      <c r="S953" s="434" t="s">
        <v>199</v>
      </c>
      <c r="T953" s="434" t="s">
        <v>181</v>
      </c>
      <c r="U953" s="435">
        <v>4</v>
      </c>
      <c r="V953" s="436" t="str">
        <f t="shared" si="486"/>
        <v>slice</v>
      </c>
      <c r="W953" s="437">
        <f t="shared" si="487"/>
        <v>280</v>
      </c>
      <c r="X953" s="437">
        <f t="shared" si="488"/>
        <v>10</v>
      </c>
      <c r="Y953" s="437">
        <f t="shared" si="489"/>
        <v>5</v>
      </c>
      <c r="Z953" s="437">
        <f t="shared" si="490"/>
        <v>48</v>
      </c>
      <c r="AA953" s="437">
        <f t="shared" si="491"/>
        <v>4</v>
      </c>
      <c r="AB953" s="584">
        <f t="shared" si="492"/>
        <v>0</v>
      </c>
      <c r="AC953" s="434"/>
    </row>
    <row r="954" spans="5:29">
      <c r="E954" s="598"/>
      <c r="F954" s="699"/>
      <c r="G954" s="700"/>
      <c r="H954" s="598"/>
      <c r="I954" s="598"/>
      <c r="J954" s="598"/>
      <c r="K954" s="598"/>
      <c r="L954" s="598"/>
      <c r="Q954" s="432">
        <v>46092</v>
      </c>
      <c r="R954" s="433">
        <v>0.91666666666666663</v>
      </c>
      <c r="S954" s="434" t="s">
        <v>289</v>
      </c>
      <c r="T954" s="434" t="s">
        <v>214</v>
      </c>
      <c r="U954" s="435">
        <v>1</v>
      </c>
      <c r="V954" s="436" t="str">
        <f t="shared" si="486"/>
        <v>bar</v>
      </c>
      <c r="W954" s="437">
        <f t="shared" si="487"/>
        <v>67</v>
      </c>
      <c r="X954" s="437">
        <f t="shared" si="488"/>
        <v>1</v>
      </c>
      <c r="Y954" s="437">
        <f t="shared" si="489"/>
        <v>3.5</v>
      </c>
      <c r="Z954" s="437">
        <f t="shared" si="490"/>
        <v>22</v>
      </c>
      <c r="AA954" s="437">
        <f t="shared" si="491"/>
        <v>0.3</v>
      </c>
      <c r="AB954" s="584">
        <f t="shared" si="492"/>
        <v>0</v>
      </c>
      <c r="AC954" s="434"/>
    </row>
    <row r="955" spans="5:29">
      <c r="E955" s="598"/>
      <c r="F955" s="699"/>
      <c r="G955" s="700"/>
      <c r="H955" s="598"/>
      <c r="I955" s="598"/>
      <c r="J955" s="598"/>
      <c r="K955" s="598"/>
      <c r="L955" s="598"/>
      <c r="Q955" s="432">
        <v>46092</v>
      </c>
      <c r="R955" s="433">
        <v>0.91666666666666696</v>
      </c>
      <c r="S955" s="434" t="s">
        <v>289</v>
      </c>
      <c r="T955" s="434" t="s">
        <v>786</v>
      </c>
      <c r="U955" s="435">
        <v>1</v>
      </c>
      <c r="V955" s="436" t="str">
        <f t="shared" si="486"/>
        <v>bottle</v>
      </c>
      <c r="W955" s="437">
        <f t="shared" si="487"/>
        <v>90</v>
      </c>
      <c r="X955" s="437">
        <f t="shared" si="488"/>
        <v>0</v>
      </c>
      <c r="Y955" s="437">
        <f t="shared" si="489"/>
        <v>0</v>
      </c>
      <c r="Z955" s="437">
        <f t="shared" si="490"/>
        <v>22</v>
      </c>
      <c r="AA955" s="437">
        <f t="shared" si="491"/>
        <v>0</v>
      </c>
      <c r="AB955" s="584">
        <f t="shared" si="492"/>
        <v>0</v>
      </c>
      <c r="AC955" s="434"/>
    </row>
    <row r="956" spans="5:29">
      <c r="E956" s="598"/>
      <c r="F956" s="699"/>
      <c r="G956" s="700"/>
      <c r="H956" s="598"/>
      <c r="I956" s="598"/>
      <c r="J956" s="598"/>
      <c r="K956" s="598"/>
      <c r="L956" s="598"/>
      <c r="Q956" s="432">
        <v>46092</v>
      </c>
      <c r="R956" s="433">
        <v>0.91666666666666696</v>
      </c>
      <c r="S956" s="434" t="s">
        <v>199</v>
      </c>
      <c r="T956" s="434" t="s">
        <v>209</v>
      </c>
      <c r="U956" s="435">
        <v>3</v>
      </c>
      <c r="V956" s="436" t="str">
        <f t="shared" si="486"/>
        <v>tbsp</v>
      </c>
      <c r="W956" s="437">
        <f t="shared" si="487"/>
        <v>60</v>
      </c>
      <c r="X956" s="437">
        <f t="shared" si="488"/>
        <v>0</v>
      </c>
      <c r="Y956" s="437">
        <f t="shared" si="489"/>
        <v>0</v>
      </c>
      <c r="Z956" s="437">
        <f t="shared" si="490"/>
        <v>15</v>
      </c>
      <c r="AA956" s="437">
        <f t="shared" si="491"/>
        <v>13.5</v>
      </c>
      <c r="AB956" s="684">
        <f t="shared" si="492"/>
        <v>0</v>
      </c>
      <c r="AC956" s="434"/>
    </row>
    <row r="957" spans="5:29">
      <c r="E957" s="598"/>
      <c r="F957" s="699"/>
      <c r="G957" s="700"/>
      <c r="H957" s="598"/>
      <c r="I957" s="598"/>
      <c r="J957" s="598"/>
      <c r="K957" s="598"/>
      <c r="L957" s="598"/>
      <c r="Q957" s="438"/>
      <c r="R957" s="439" t="s">
        <v>217</v>
      </c>
      <c r="S957" s="440"/>
      <c r="T957" s="441"/>
      <c r="U957" s="441"/>
      <c r="V957" s="442"/>
      <c r="W957" s="443">
        <f t="shared" ref="W957:AB957" si="493">SUM(W942:W956)</f>
        <v>2276.5500000000002</v>
      </c>
      <c r="X957" s="443">
        <f t="shared" si="493"/>
        <v>180.69499999999999</v>
      </c>
      <c r="Y957" s="443">
        <f t="shared" si="493"/>
        <v>31.993000000000002</v>
      </c>
      <c r="Z957" s="443">
        <f t="shared" si="493"/>
        <v>291.57</v>
      </c>
      <c r="AA957" s="685">
        <f t="shared" si="493"/>
        <v>36.61</v>
      </c>
      <c r="AB957" s="691">
        <f t="shared" si="493"/>
        <v>0</v>
      </c>
      <c r="AC957" s="439"/>
    </row>
    <row r="958" spans="5:29">
      <c r="E958" s="598"/>
      <c r="F958" s="699"/>
      <c r="G958" s="700"/>
      <c r="H958" s="598"/>
      <c r="I958" s="598"/>
      <c r="J958" s="598"/>
      <c r="K958" s="598"/>
      <c r="L958" s="598"/>
      <c r="Q958" s="438"/>
      <c r="R958" s="439" t="s">
        <v>220</v>
      </c>
      <c r="S958" s="440"/>
      <c r="T958" s="441"/>
      <c r="U958" s="441"/>
      <c r="V958" s="442"/>
      <c r="W958" s="444">
        <f>$B$27</f>
        <v>2834.5625</v>
      </c>
      <c r="X958" s="444">
        <f>$B$29</f>
        <v>154</v>
      </c>
      <c r="Y958" s="444">
        <f>$B$30</f>
        <v>63.91</v>
      </c>
      <c r="Z958" s="444">
        <f>$B$31</f>
        <v>410.84312499999999</v>
      </c>
      <c r="AA958" s="692">
        <f>$B$32</f>
        <v>39.683875</v>
      </c>
      <c r="AB958" s="695">
        <f>$B$39</f>
        <v>500</v>
      </c>
      <c r="AC958" s="439"/>
    </row>
    <row r="959" spans="5:29">
      <c r="E959" s="598"/>
      <c r="F959" s="699"/>
      <c r="G959" s="700"/>
      <c r="H959" s="598"/>
      <c r="I959" s="598"/>
      <c r="J959" s="598"/>
      <c r="K959" s="598"/>
      <c r="L959" s="598"/>
      <c r="Q959" s="438"/>
      <c r="R959" s="439" t="s">
        <v>222</v>
      </c>
      <c r="S959" s="440"/>
      <c r="T959" s="441"/>
      <c r="U959" s="441"/>
      <c r="V959" s="442"/>
      <c r="W959" s="284">
        <f t="shared" ref="W959:AB959" si="494">W957-W958</f>
        <v>-558.01249999999982</v>
      </c>
      <c r="X959" s="284">
        <f t="shared" si="494"/>
        <v>26.694999999999993</v>
      </c>
      <c r="Y959" s="284">
        <f t="shared" si="494"/>
        <v>-31.916999999999994</v>
      </c>
      <c r="Z959" s="284">
        <f t="shared" si="494"/>
        <v>-119.27312499999999</v>
      </c>
      <c r="AA959" s="690">
        <f t="shared" si="494"/>
        <v>-3.073875000000001</v>
      </c>
      <c r="AB959" s="689">
        <f t="shared" si="494"/>
        <v>-500</v>
      </c>
      <c r="AC959" s="439"/>
    </row>
    <row r="960" spans="5:29">
      <c r="E960" s="598"/>
      <c r="F960" s="699"/>
      <c r="G960" s="700"/>
      <c r="H960" s="598"/>
      <c r="I960" s="598"/>
      <c r="J960" s="598"/>
      <c r="K960" s="598"/>
      <c r="L960" s="598"/>
      <c r="Q960" s="432">
        <v>46093</v>
      </c>
      <c r="R960" s="433">
        <v>0.33333333333333331</v>
      </c>
      <c r="S960" s="434" t="s">
        <v>178</v>
      </c>
      <c r="T960" s="434" t="s">
        <v>753</v>
      </c>
      <c r="U960" s="435">
        <v>120</v>
      </c>
      <c r="V960" s="436" t="str">
        <f t="shared" ref="V960:V976" si="495">IFERROR(VLOOKUP(T960, $E$5:$L$818, 3, FALSE), "")</f>
        <v>g</v>
      </c>
      <c r="W960" s="437">
        <f t="shared" ref="W960:W976" si="496">IFERROR(VLOOKUP(T960, $E$5:$L$818, 4, FALSE) * (U960 / VLOOKUP(T960, $E$5:$L$818, 2, FALSE)), "")</f>
        <v>156</v>
      </c>
      <c r="X960" s="437">
        <f t="shared" ref="X960:X976" si="497">IFERROR(VLOOKUP(T960, $E$5:$L$818, 5, FALSE) * (U960 / VLOOKUP(T960, $E$5:$L$818, 2, FALSE)), "")</f>
        <v>1.2</v>
      </c>
      <c r="Y960" s="437">
        <f t="shared" ref="Y960:Y976" si="498">IFERROR(VLOOKUP(T960, $E$5:$L$818, 6, FALSE) * (U960 / VLOOKUP(T960, $E$5:$L$818, 2, FALSE)), "")</f>
        <v>0</v>
      </c>
      <c r="Z960" s="437">
        <f t="shared" ref="Z960:Z976" si="499">IFERROR(VLOOKUP(T960, $E$5:$L$818, 7, FALSE) * (U960 / VLOOKUP(T960, $E$5:$L$818, 2, FALSE)), "")</f>
        <v>37.199999999999996</v>
      </c>
      <c r="AA960" s="437">
        <f t="shared" ref="AA960:AA976" si="500">IFERROR(VLOOKUP(T960, $E$5:$L$818, 8, FALSE) * (U960 / VLOOKUP(T960, $E$5:$L$818, 2, FALSE)), "")</f>
        <v>3.5999999999999996</v>
      </c>
      <c r="AB960" s="674">
        <f t="shared" ref="AB960:AB976" si="501">IFERROR(VLOOKUP(T960, $E$5:$O$818, 9, FALSE) * (U960 / VLOOKUP(T960, $E$5:$O$818, 2, FALSE)), "")</f>
        <v>0</v>
      </c>
      <c r="AC960" s="434"/>
    </row>
    <row r="961" spans="5:29">
      <c r="E961" s="598"/>
      <c r="F961" s="699"/>
      <c r="G961" s="700"/>
      <c r="H961" s="598"/>
      <c r="I961" s="598"/>
      <c r="J961" s="598"/>
      <c r="K961" s="598"/>
      <c r="L961" s="598"/>
      <c r="Q961" s="432">
        <v>46093</v>
      </c>
      <c r="R961" s="433">
        <v>0.33333333333333331</v>
      </c>
      <c r="S961" s="434" t="s">
        <v>178</v>
      </c>
      <c r="T961" s="434" t="s">
        <v>463</v>
      </c>
      <c r="U961" s="435">
        <v>1</v>
      </c>
      <c r="V961" s="436" t="str">
        <f t="shared" si="495"/>
        <v>bottle</v>
      </c>
      <c r="W961" s="437">
        <f t="shared" si="496"/>
        <v>190</v>
      </c>
      <c r="X961" s="437">
        <f t="shared" si="497"/>
        <v>35</v>
      </c>
      <c r="Y961" s="437">
        <f t="shared" si="498"/>
        <v>2</v>
      </c>
      <c r="Z961" s="437">
        <f t="shared" si="499"/>
        <v>9</v>
      </c>
      <c r="AA961" s="437">
        <f t="shared" si="500"/>
        <v>0</v>
      </c>
      <c r="AB961" s="584">
        <f t="shared" si="501"/>
        <v>0</v>
      </c>
      <c r="AC961" s="434"/>
    </row>
    <row r="962" spans="5:29">
      <c r="E962" s="598"/>
      <c r="F962" s="699"/>
      <c r="G962" s="700"/>
      <c r="H962" s="598"/>
      <c r="I962" s="598"/>
      <c r="J962" s="598"/>
      <c r="K962" s="598"/>
      <c r="L962" s="598"/>
      <c r="Q962" s="432">
        <v>46093</v>
      </c>
      <c r="R962" s="433">
        <v>0.33333333333333331</v>
      </c>
      <c r="S962" s="434" t="s">
        <v>178</v>
      </c>
      <c r="T962" s="434" t="s">
        <v>374</v>
      </c>
      <c r="U962" s="435">
        <v>2</v>
      </c>
      <c r="V962" s="436" t="str">
        <f t="shared" si="495"/>
        <v>egg</v>
      </c>
      <c r="W962" s="437">
        <f t="shared" si="496"/>
        <v>160</v>
      </c>
      <c r="X962" s="437">
        <f t="shared" si="497"/>
        <v>14</v>
      </c>
      <c r="Y962" s="437">
        <f t="shared" si="498"/>
        <v>12</v>
      </c>
      <c r="Z962" s="437">
        <f t="shared" si="499"/>
        <v>0</v>
      </c>
      <c r="AA962" s="437">
        <f t="shared" si="500"/>
        <v>0</v>
      </c>
      <c r="AB962" s="584">
        <f t="shared" si="501"/>
        <v>80</v>
      </c>
      <c r="AC962" s="434"/>
    </row>
    <row r="963" spans="5:29">
      <c r="E963" s="598"/>
      <c r="F963" s="699"/>
      <c r="G963" s="700"/>
      <c r="H963" s="598"/>
      <c r="I963" s="598"/>
      <c r="J963" s="598"/>
      <c r="K963" s="598"/>
      <c r="L963" s="598"/>
      <c r="Q963" s="432">
        <v>46093</v>
      </c>
      <c r="R963" s="433">
        <v>0.375</v>
      </c>
      <c r="S963" s="434" t="s">
        <v>178</v>
      </c>
      <c r="T963" s="434" t="s">
        <v>181</v>
      </c>
      <c r="U963" s="435">
        <v>2</v>
      </c>
      <c r="V963" s="436" t="str">
        <f t="shared" si="495"/>
        <v>slice</v>
      </c>
      <c r="W963" s="437">
        <f t="shared" si="496"/>
        <v>140</v>
      </c>
      <c r="X963" s="437">
        <f t="shared" si="497"/>
        <v>5</v>
      </c>
      <c r="Y963" s="437">
        <f t="shared" si="498"/>
        <v>2.5</v>
      </c>
      <c r="Z963" s="437">
        <f t="shared" si="499"/>
        <v>24</v>
      </c>
      <c r="AA963" s="437">
        <f t="shared" si="500"/>
        <v>2</v>
      </c>
      <c r="AB963" s="584">
        <f t="shared" si="501"/>
        <v>0</v>
      </c>
      <c r="AC963" s="434"/>
    </row>
    <row r="964" spans="5:29">
      <c r="E964" s="598"/>
      <c r="F964" s="699"/>
      <c r="G964" s="700"/>
      <c r="H964" s="598"/>
      <c r="I964" s="598"/>
      <c r="J964" s="598"/>
      <c r="K964" s="598"/>
      <c r="L964" s="598"/>
      <c r="Q964" s="432">
        <v>46093</v>
      </c>
      <c r="R964" s="433">
        <v>0.375</v>
      </c>
      <c r="S964" s="434" t="s">
        <v>289</v>
      </c>
      <c r="T964" s="434" t="s">
        <v>253</v>
      </c>
      <c r="U964" s="435">
        <v>1</v>
      </c>
      <c r="V964" s="436" t="str">
        <f t="shared" si="495"/>
        <v>medium</v>
      </c>
      <c r="W964" s="437">
        <f t="shared" si="496"/>
        <v>42</v>
      </c>
      <c r="X964" s="437">
        <f t="shared" si="497"/>
        <v>0.8</v>
      </c>
      <c r="Y964" s="437">
        <f t="shared" si="498"/>
        <v>0.4</v>
      </c>
      <c r="Z964" s="437">
        <f t="shared" si="499"/>
        <v>10</v>
      </c>
      <c r="AA964" s="437">
        <f t="shared" si="500"/>
        <v>2.1</v>
      </c>
      <c r="AB964" s="584">
        <f t="shared" si="501"/>
        <v>0</v>
      </c>
      <c r="AC964" s="434"/>
    </row>
    <row r="965" spans="5:29">
      <c r="E965" s="598"/>
      <c r="F965" s="699"/>
      <c r="G965" s="700"/>
      <c r="H965" s="598"/>
      <c r="I965" s="598"/>
      <c r="J965" s="598"/>
      <c r="K965" s="598"/>
      <c r="L965" s="598"/>
      <c r="Q965" s="432">
        <v>46093</v>
      </c>
      <c r="R965" s="433">
        <v>0.54166666666666663</v>
      </c>
      <c r="S965" s="434" t="s">
        <v>185</v>
      </c>
      <c r="T965" s="434" t="s">
        <v>753</v>
      </c>
      <c r="U965" s="435">
        <v>65</v>
      </c>
      <c r="V965" s="436" t="str">
        <f t="shared" si="495"/>
        <v>g</v>
      </c>
      <c r="W965" s="437">
        <f t="shared" si="496"/>
        <v>84.5</v>
      </c>
      <c r="X965" s="437">
        <f t="shared" si="497"/>
        <v>0.65</v>
      </c>
      <c r="Y965" s="437">
        <f t="shared" si="498"/>
        <v>0</v>
      </c>
      <c r="Z965" s="437">
        <f t="shared" si="499"/>
        <v>20.150000000000002</v>
      </c>
      <c r="AA965" s="437">
        <f t="shared" si="500"/>
        <v>1.9500000000000002</v>
      </c>
      <c r="AB965" s="584">
        <f t="shared" si="501"/>
        <v>0</v>
      </c>
      <c r="AC965" s="434"/>
    </row>
    <row r="966" spans="5:29">
      <c r="E966" s="598"/>
      <c r="F966" s="699"/>
      <c r="G966" s="700"/>
      <c r="H966" s="598"/>
      <c r="I966" s="598"/>
      <c r="J966" s="598"/>
      <c r="K966" s="598"/>
      <c r="L966" s="598"/>
      <c r="Q966" s="432">
        <v>46093</v>
      </c>
      <c r="R966" s="433">
        <v>0.54166666666666696</v>
      </c>
      <c r="S966" s="434" t="s">
        <v>185</v>
      </c>
      <c r="T966" s="434" t="s">
        <v>176</v>
      </c>
      <c r="U966" s="435">
        <v>160</v>
      </c>
      <c r="V966" s="436" t="str">
        <f t="shared" si="495"/>
        <v>g</v>
      </c>
      <c r="W966" s="437">
        <f t="shared" si="496"/>
        <v>264</v>
      </c>
      <c r="X966" s="437">
        <f t="shared" si="497"/>
        <v>40</v>
      </c>
      <c r="Y966" s="437">
        <f t="shared" si="498"/>
        <v>5.7600000000000007</v>
      </c>
      <c r="Z966" s="437">
        <f t="shared" si="499"/>
        <v>0</v>
      </c>
      <c r="AA966" s="437">
        <f t="shared" si="500"/>
        <v>0</v>
      </c>
      <c r="AB966" s="584">
        <f t="shared" si="501"/>
        <v>0</v>
      </c>
      <c r="AC966" s="434"/>
    </row>
    <row r="967" spans="5:29">
      <c r="E967" s="598"/>
      <c r="F967" s="699"/>
      <c r="G967" s="700"/>
      <c r="H967" s="598"/>
      <c r="I967" s="598"/>
      <c r="J967" s="598"/>
      <c r="K967" s="598"/>
      <c r="L967" s="598"/>
      <c r="Q967" s="432">
        <v>46093</v>
      </c>
      <c r="R967" s="433">
        <v>0.54166666666666696</v>
      </c>
      <c r="S967" s="434" t="s">
        <v>185</v>
      </c>
      <c r="T967" s="434" t="s">
        <v>754</v>
      </c>
      <c r="U967" s="435">
        <v>150</v>
      </c>
      <c r="V967" s="436" t="str">
        <f t="shared" si="495"/>
        <v>g</v>
      </c>
      <c r="W967" s="437">
        <f t="shared" si="496"/>
        <v>165</v>
      </c>
      <c r="X967" s="437">
        <f t="shared" si="497"/>
        <v>4</v>
      </c>
      <c r="Y967" s="437">
        <f t="shared" si="498"/>
        <v>1</v>
      </c>
      <c r="Z967" s="437">
        <f t="shared" si="499"/>
        <v>34</v>
      </c>
      <c r="AA967" s="437">
        <f t="shared" si="500"/>
        <v>2</v>
      </c>
      <c r="AB967" s="584">
        <f t="shared" si="501"/>
        <v>0</v>
      </c>
      <c r="AC967" s="434"/>
    </row>
    <row r="968" spans="5:29">
      <c r="E968" s="598"/>
      <c r="F968" s="699"/>
      <c r="G968" s="700"/>
      <c r="H968" s="598"/>
      <c r="I968" s="598"/>
      <c r="J968" s="598"/>
      <c r="K968" s="598"/>
      <c r="L968" s="598"/>
      <c r="Q968" s="432">
        <v>46093</v>
      </c>
      <c r="R968" s="433">
        <v>0.58333333333333337</v>
      </c>
      <c r="S968" s="434" t="s">
        <v>289</v>
      </c>
      <c r="T968" s="434" t="s">
        <v>214</v>
      </c>
      <c r="U968" s="435">
        <v>2</v>
      </c>
      <c r="V968" s="436" t="str">
        <f t="shared" si="495"/>
        <v>bar</v>
      </c>
      <c r="W968" s="437">
        <f t="shared" si="496"/>
        <v>134</v>
      </c>
      <c r="X968" s="437">
        <f t="shared" si="497"/>
        <v>2</v>
      </c>
      <c r="Y968" s="437">
        <f t="shared" si="498"/>
        <v>7</v>
      </c>
      <c r="Z968" s="437">
        <f t="shared" si="499"/>
        <v>44</v>
      </c>
      <c r="AA968" s="437">
        <f t="shared" si="500"/>
        <v>0.6</v>
      </c>
      <c r="AB968" s="584">
        <f t="shared" si="501"/>
        <v>0</v>
      </c>
      <c r="AC968" s="434"/>
    </row>
    <row r="969" spans="5:29">
      <c r="E969" s="598"/>
      <c r="F969" s="699"/>
      <c r="G969" s="700"/>
      <c r="H969" s="598"/>
      <c r="I969" s="598"/>
      <c r="J969" s="598"/>
      <c r="K969" s="598"/>
      <c r="L969" s="598"/>
      <c r="Q969" s="432">
        <v>46093</v>
      </c>
      <c r="R969" s="433">
        <v>0.58333333333333304</v>
      </c>
      <c r="S969" s="434" t="s">
        <v>289</v>
      </c>
      <c r="T969" s="434" t="s">
        <v>808</v>
      </c>
      <c r="U969" s="435">
        <f>1/4</f>
        <v>0.25</v>
      </c>
      <c r="V969" s="436" t="str">
        <f t="shared" si="495"/>
        <v>package</v>
      </c>
      <c r="W969" s="437">
        <f t="shared" si="496"/>
        <v>80</v>
      </c>
      <c r="X969" s="437">
        <f t="shared" si="497"/>
        <v>5</v>
      </c>
      <c r="Y969" s="437">
        <f t="shared" si="498"/>
        <v>2.5</v>
      </c>
      <c r="Z969" s="437">
        <f t="shared" si="499"/>
        <v>10</v>
      </c>
      <c r="AA969" s="437">
        <f t="shared" si="500"/>
        <v>0</v>
      </c>
      <c r="AB969" s="584">
        <f t="shared" si="501"/>
        <v>0</v>
      </c>
      <c r="AC969" s="434"/>
    </row>
    <row r="970" spans="5:29">
      <c r="E970" s="598"/>
      <c r="F970" s="699"/>
      <c r="G970" s="700"/>
      <c r="H970" s="598"/>
      <c r="I970" s="598"/>
      <c r="J970" s="598"/>
      <c r="K970" s="598"/>
      <c r="L970" s="598"/>
      <c r="Q970" s="432">
        <v>46093</v>
      </c>
      <c r="R970" s="433">
        <v>0.58333333333333304</v>
      </c>
      <c r="S970" s="434" t="s">
        <v>289</v>
      </c>
      <c r="T970" s="434" t="s">
        <v>190</v>
      </c>
      <c r="U970" s="435">
        <v>2.5</v>
      </c>
      <c r="V970" s="436" t="str">
        <f t="shared" si="495"/>
        <v>medium</v>
      </c>
      <c r="W970" s="437">
        <f t="shared" si="496"/>
        <v>155</v>
      </c>
      <c r="X970" s="437">
        <f t="shared" si="497"/>
        <v>3</v>
      </c>
      <c r="Y970" s="437">
        <f t="shared" si="498"/>
        <v>0.5</v>
      </c>
      <c r="Z970" s="437">
        <f t="shared" si="499"/>
        <v>38.5</v>
      </c>
      <c r="AA970" s="437">
        <f t="shared" si="500"/>
        <v>7.75</v>
      </c>
      <c r="AB970" s="584">
        <f t="shared" si="501"/>
        <v>0</v>
      </c>
      <c r="AC970" s="434"/>
    </row>
    <row r="971" spans="5:29">
      <c r="E971" s="598"/>
      <c r="F971" s="699"/>
      <c r="G971" s="700"/>
      <c r="H971" s="598"/>
      <c r="I971" s="598"/>
      <c r="J971" s="598"/>
      <c r="K971" s="598"/>
      <c r="L971" s="598"/>
      <c r="Q971" s="432">
        <v>46093</v>
      </c>
      <c r="R971" s="433">
        <v>0.625</v>
      </c>
      <c r="S971" s="434" t="s">
        <v>199</v>
      </c>
      <c r="T971" s="434" t="s">
        <v>181</v>
      </c>
      <c r="U971" s="435">
        <v>4</v>
      </c>
      <c r="V971" s="436" t="str">
        <f t="shared" si="495"/>
        <v>slice</v>
      </c>
      <c r="W971" s="437">
        <f t="shared" si="496"/>
        <v>280</v>
      </c>
      <c r="X971" s="437">
        <f t="shared" si="497"/>
        <v>10</v>
      </c>
      <c r="Y971" s="437">
        <f t="shared" si="498"/>
        <v>5</v>
      </c>
      <c r="Z971" s="437">
        <f t="shared" si="499"/>
        <v>48</v>
      </c>
      <c r="AA971" s="437">
        <f t="shared" si="500"/>
        <v>4</v>
      </c>
      <c r="AB971" s="584">
        <f t="shared" si="501"/>
        <v>0</v>
      </c>
      <c r="AC971" s="434"/>
    </row>
    <row r="972" spans="5:29">
      <c r="E972" s="598"/>
      <c r="F972" s="699"/>
      <c r="G972" s="700"/>
      <c r="H972" s="598"/>
      <c r="I972" s="598"/>
      <c r="J972" s="598"/>
      <c r="K972" s="598"/>
      <c r="L972" s="598"/>
      <c r="Q972" s="432">
        <v>46093</v>
      </c>
      <c r="R972" s="433">
        <v>0.875</v>
      </c>
      <c r="S972" s="434" t="s">
        <v>199</v>
      </c>
      <c r="T972" s="434" t="s">
        <v>753</v>
      </c>
      <c r="U972" s="435">
        <f>250-91</f>
        <v>159</v>
      </c>
      <c r="V972" s="436" t="str">
        <f t="shared" si="495"/>
        <v>g</v>
      </c>
      <c r="W972" s="437">
        <f t="shared" si="496"/>
        <v>206.70000000000002</v>
      </c>
      <c r="X972" s="437">
        <f t="shared" si="497"/>
        <v>1.59</v>
      </c>
      <c r="Y972" s="437">
        <f t="shared" si="498"/>
        <v>0</v>
      </c>
      <c r="Z972" s="437">
        <f t="shared" si="499"/>
        <v>49.29</v>
      </c>
      <c r="AA972" s="437">
        <f t="shared" si="500"/>
        <v>4.7700000000000005</v>
      </c>
      <c r="AB972" s="584">
        <f t="shared" si="501"/>
        <v>0</v>
      </c>
      <c r="AC972" s="434"/>
    </row>
    <row r="973" spans="5:29">
      <c r="E973" s="598"/>
      <c r="F973" s="699"/>
      <c r="G973" s="700"/>
      <c r="H973" s="598"/>
      <c r="I973" s="598"/>
      <c r="J973" s="598"/>
      <c r="K973" s="598"/>
      <c r="L973" s="598"/>
      <c r="Q973" s="432">
        <v>46093</v>
      </c>
      <c r="R973" s="433">
        <v>0.875</v>
      </c>
      <c r="S973" s="434" t="s">
        <v>199</v>
      </c>
      <c r="T973" s="434" t="s">
        <v>176</v>
      </c>
      <c r="U973" s="435">
        <v>190</v>
      </c>
      <c r="V973" s="436" t="str">
        <f t="shared" si="495"/>
        <v>g</v>
      </c>
      <c r="W973" s="437">
        <f t="shared" si="496"/>
        <v>313.5</v>
      </c>
      <c r="X973" s="437">
        <f t="shared" si="497"/>
        <v>47.5</v>
      </c>
      <c r="Y973" s="437">
        <f t="shared" si="498"/>
        <v>6.84</v>
      </c>
      <c r="Z973" s="437">
        <f t="shared" si="499"/>
        <v>0</v>
      </c>
      <c r="AA973" s="437">
        <f t="shared" si="500"/>
        <v>0</v>
      </c>
      <c r="AB973" s="584">
        <f t="shared" si="501"/>
        <v>0</v>
      </c>
      <c r="AC973" s="434"/>
    </row>
    <row r="974" spans="5:29">
      <c r="E974" s="598"/>
      <c r="F974" s="699"/>
      <c r="G974" s="700"/>
      <c r="H974" s="598"/>
      <c r="I974" s="598"/>
      <c r="J974" s="598"/>
      <c r="K974" s="598"/>
      <c r="L974" s="598"/>
      <c r="Q974" s="432">
        <v>46093</v>
      </c>
      <c r="R974" s="433">
        <v>0.875</v>
      </c>
      <c r="S974" s="434" t="s">
        <v>199</v>
      </c>
      <c r="T974" s="434" t="s">
        <v>754</v>
      </c>
      <c r="U974" s="435">
        <v>150</v>
      </c>
      <c r="V974" s="436" t="str">
        <f t="shared" si="495"/>
        <v>g</v>
      </c>
      <c r="W974" s="437">
        <f t="shared" si="496"/>
        <v>165</v>
      </c>
      <c r="X974" s="437">
        <f t="shared" si="497"/>
        <v>4</v>
      </c>
      <c r="Y974" s="437">
        <f t="shared" si="498"/>
        <v>1</v>
      </c>
      <c r="Z974" s="437">
        <f t="shared" si="499"/>
        <v>34</v>
      </c>
      <c r="AA974" s="437">
        <f t="shared" si="500"/>
        <v>2</v>
      </c>
      <c r="AB974" s="584">
        <f t="shared" si="501"/>
        <v>0</v>
      </c>
      <c r="AC974" s="434"/>
    </row>
    <row r="975" spans="5:29">
      <c r="E975" s="598"/>
      <c r="F975" s="699"/>
      <c r="G975" s="700"/>
      <c r="H975" s="598"/>
      <c r="I975" s="598"/>
      <c r="J975" s="598"/>
      <c r="K975" s="598"/>
      <c r="L975" s="598"/>
      <c r="Q975" s="432">
        <v>46093</v>
      </c>
      <c r="R975" s="433">
        <v>0.875</v>
      </c>
      <c r="S975" s="434" t="s">
        <v>199</v>
      </c>
      <c r="T975" s="434" t="s">
        <v>209</v>
      </c>
      <c r="U975" s="435">
        <v>2</v>
      </c>
      <c r="V975" s="436" t="str">
        <f t="shared" si="495"/>
        <v>tbsp</v>
      </c>
      <c r="W975" s="437">
        <f t="shared" si="496"/>
        <v>40</v>
      </c>
      <c r="X975" s="437">
        <f t="shared" si="497"/>
        <v>0</v>
      </c>
      <c r="Y975" s="437">
        <f t="shared" si="498"/>
        <v>0</v>
      </c>
      <c r="Z975" s="437">
        <f t="shared" si="499"/>
        <v>10</v>
      </c>
      <c r="AA975" s="437">
        <f t="shared" si="500"/>
        <v>9</v>
      </c>
      <c r="AB975" s="584">
        <f t="shared" si="501"/>
        <v>0</v>
      </c>
      <c r="AC975" s="434"/>
    </row>
    <row r="976" spans="5:29">
      <c r="E976" s="598"/>
      <c r="F976" s="699"/>
      <c r="G976" s="700"/>
      <c r="H976" s="598"/>
      <c r="I976" s="598"/>
      <c r="J976" s="598"/>
      <c r="K976" s="598"/>
      <c r="L976" s="598"/>
      <c r="Q976" s="432">
        <v>46093</v>
      </c>
      <c r="R976" s="433">
        <v>0.875</v>
      </c>
      <c r="S976" s="434" t="s">
        <v>289</v>
      </c>
      <c r="T976" s="434" t="s">
        <v>786</v>
      </c>
      <c r="U976" s="435">
        <v>1</v>
      </c>
      <c r="V976" s="436" t="str">
        <f t="shared" si="495"/>
        <v>bottle</v>
      </c>
      <c r="W976" s="437">
        <f t="shared" si="496"/>
        <v>90</v>
      </c>
      <c r="X976" s="437">
        <f t="shared" si="497"/>
        <v>0</v>
      </c>
      <c r="Y976" s="437">
        <f t="shared" si="498"/>
        <v>0</v>
      </c>
      <c r="Z976" s="437">
        <f t="shared" si="499"/>
        <v>22</v>
      </c>
      <c r="AA976" s="437">
        <f t="shared" si="500"/>
        <v>0</v>
      </c>
      <c r="AB976" s="684">
        <f t="shared" si="501"/>
        <v>0</v>
      </c>
      <c r="AC976" s="434"/>
    </row>
    <row r="977" spans="5:29">
      <c r="E977" s="598"/>
      <c r="F977" s="699"/>
      <c r="G977" s="700"/>
      <c r="H977" s="598"/>
      <c r="I977" s="598"/>
      <c r="J977" s="598"/>
      <c r="K977" s="598"/>
      <c r="L977" s="598"/>
      <c r="Q977" s="438"/>
      <c r="R977" s="439" t="s">
        <v>217</v>
      </c>
      <c r="S977" s="440"/>
      <c r="T977" s="441"/>
      <c r="U977" s="441"/>
      <c r="V977" s="442"/>
      <c r="W977" s="443">
        <f t="shared" ref="W977:AB977" si="502">SUM(W960:W976)</f>
        <v>2665.7</v>
      </c>
      <c r="X977" s="443">
        <f t="shared" si="502"/>
        <v>173.74</v>
      </c>
      <c r="Y977" s="443">
        <f t="shared" si="502"/>
        <v>46.5</v>
      </c>
      <c r="Z977" s="443">
        <f t="shared" si="502"/>
        <v>390.14000000000004</v>
      </c>
      <c r="AA977" s="685">
        <f t="shared" si="502"/>
        <v>39.769999999999996</v>
      </c>
      <c r="AB977" s="691">
        <f t="shared" si="502"/>
        <v>80</v>
      </c>
      <c r="AC977" s="439"/>
    </row>
    <row r="978" spans="5:29">
      <c r="E978" s="598"/>
      <c r="F978" s="699"/>
      <c r="G978" s="700"/>
      <c r="H978" s="598"/>
      <c r="I978" s="598"/>
      <c r="J978" s="598"/>
      <c r="K978" s="598"/>
      <c r="L978" s="598"/>
      <c r="Q978" s="438"/>
      <c r="R978" s="439" t="s">
        <v>220</v>
      </c>
      <c r="S978" s="440"/>
      <c r="T978" s="441"/>
      <c r="U978" s="441"/>
      <c r="V978" s="442"/>
      <c r="W978" s="444">
        <f>$B$27</f>
        <v>2834.5625</v>
      </c>
      <c r="X978" s="444">
        <f>$B$29</f>
        <v>154</v>
      </c>
      <c r="Y978" s="444">
        <f>$B$30</f>
        <v>63.91</v>
      </c>
      <c r="Z978" s="444">
        <f>$B$31</f>
        <v>410.84312499999999</v>
      </c>
      <c r="AA978" s="692">
        <f>$B$32</f>
        <v>39.683875</v>
      </c>
      <c r="AB978" s="695">
        <f>$B$39</f>
        <v>500</v>
      </c>
      <c r="AC978" s="439"/>
    </row>
    <row r="979" spans="5:29">
      <c r="E979" s="598"/>
      <c r="F979" s="699"/>
      <c r="G979" s="700"/>
      <c r="H979" s="598"/>
      <c r="I979" s="598"/>
      <c r="J979" s="598"/>
      <c r="K979" s="598"/>
      <c r="L979" s="598"/>
      <c r="Q979" s="438"/>
      <c r="R979" s="439" t="s">
        <v>222</v>
      </c>
      <c r="S979" s="440"/>
      <c r="T979" s="441"/>
      <c r="U979" s="441"/>
      <c r="V979" s="442"/>
      <c r="W979" s="284">
        <f t="shared" ref="W979:AB979" si="503">W977-W978</f>
        <v>-168.86250000000018</v>
      </c>
      <c r="X979" s="284">
        <f t="shared" si="503"/>
        <v>19.740000000000009</v>
      </c>
      <c r="Y979" s="284">
        <f t="shared" si="503"/>
        <v>-17.409999999999997</v>
      </c>
      <c r="Z979" s="284">
        <f t="shared" si="503"/>
        <v>-20.703124999999943</v>
      </c>
      <c r="AA979" s="690">
        <f t="shared" si="503"/>
        <v>8.6124999999995566E-2</v>
      </c>
      <c r="AB979" s="689">
        <f t="shared" si="503"/>
        <v>-420</v>
      </c>
      <c r="AC979" s="439"/>
    </row>
    <row r="980" spans="5:29">
      <c r="E980" s="598"/>
      <c r="F980" s="699"/>
      <c r="G980" s="700"/>
      <c r="H980" s="598"/>
      <c r="I980" s="598"/>
      <c r="J980" s="598"/>
      <c r="K980" s="598"/>
      <c r="L980" s="598"/>
      <c r="Q980" s="432">
        <v>46094</v>
      </c>
      <c r="R980" s="433">
        <v>0.625</v>
      </c>
      <c r="S980" s="434" t="s">
        <v>289</v>
      </c>
      <c r="T980" s="434" t="s">
        <v>463</v>
      </c>
      <c r="U980" s="435">
        <v>1</v>
      </c>
      <c r="V980" s="436" t="str">
        <f>IFERROR(VLOOKUP(T980, $E$5:$L$818, 3, FALSE), "")</f>
        <v>bottle</v>
      </c>
      <c r="W980" s="437">
        <f>IFERROR(VLOOKUP(T980, $E$5:$L$818, 4, FALSE) * (U980 / VLOOKUP(T980, $E$5:$L$818, 2, FALSE)), "")</f>
        <v>190</v>
      </c>
      <c r="X980" s="437">
        <f>IFERROR(VLOOKUP(T980, $E$5:$L$818, 5, FALSE) * (U980 / VLOOKUP(T980, $E$5:$L$818, 2, FALSE)), "")</f>
        <v>35</v>
      </c>
      <c r="Y980" s="437">
        <f>IFERROR(VLOOKUP(T980, $E$5:$L$818, 6, FALSE) * (U980 / VLOOKUP(T980, $E$5:$L$818, 2, FALSE)), "")</f>
        <v>2</v>
      </c>
      <c r="Z980" s="437">
        <f>IFERROR(VLOOKUP(T980, $E$5:$L$818, 7, FALSE) * (U980 / VLOOKUP(T980, $E$5:$L$818, 2, FALSE)), "")</f>
        <v>9</v>
      </c>
      <c r="AA980" s="437">
        <f>IFERROR(VLOOKUP(T980, $E$5:$L$818, 8, FALSE) * (U980 / VLOOKUP(T980, $E$5:$L$818, 2, FALSE)), "")</f>
        <v>0</v>
      </c>
      <c r="AB980" s="674">
        <f t="shared" ref="AB980:AB992" si="504">IFERROR(VLOOKUP(T980, $E$5:$O$818, 9, FALSE) * (U980 / VLOOKUP(T980, $E$5:$O$818, 2, FALSE)), "")</f>
        <v>0</v>
      </c>
      <c r="AC980" s="434"/>
    </row>
    <row r="981" spans="5:29">
      <c r="E981" s="598"/>
      <c r="F981" s="699"/>
      <c r="G981" s="700"/>
      <c r="H981" s="598"/>
      <c r="I981" s="598"/>
      <c r="J981" s="598"/>
      <c r="K981" s="598"/>
      <c r="L981" s="598"/>
      <c r="Q981" s="432">
        <v>46094</v>
      </c>
      <c r="R981" s="433">
        <v>0.625</v>
      </c>
      <c r="S981" s="434" t="s">
        <v>289</v>
      </c>
      <c r="T981" s="434" t="s">
        <v>753</v>
      </c>
      <c r="U981" s="435">
        <v>187</v>
      </c>
      <c r="V981" s="436" t="str">
        <f>IFERROR(VLOOKUP(T981, $E$5:$L$818, 3, FALSE), "")</f>
        <v>g</v>
      </c>
      <c r="W981" s="437">
        <f>IFERROR(VLOOKUP(T981, $E$5:$L$818, 4, FALSE) * (U981 / VLOOKUP(T981, $E$5:$L$818, 2, FALSE)), "")</f>
        <v>243.10000000000002</v>
      </c>
      <c r="X981" s="437">
        <f>IFERROR(VLOOKUP(T981, $E$5:$L$818, 5, FALSE) * (U981 / VLOOKUP(T981, $E$5:$L$818, 2, FALSE)), "")</f>
        <v>1.87</v>
      </c>
      <c r="Y981" s="437">
        <f>IFERROR(VLOOKUP(T981, $E$5:$L$818, 6, FALSE) * (U981 / VLOOKUP(T981, $E$5:$L$818, 2, FALSE)), "")</f>
        <v>0</v>
      </c>
      <c r="Z981" s="437">
        <f>IFERROR(VLOOKUP(T981, $E$5:$L$818, 7, FALSE) * (U981 / VLOOKUP(T981, $E$5:$L$818, 2, FALSE)), "")</f>
        <v>57.970000000000006</v>
      </c>
      <c r="AA981" s="437">
        <f>IFERROR(VLOOKUP(T981, $E$5:$L$818, 8, FALSE) * (U981 / VLOOKUP(T981, $E$5:$L$818, 2, FALSE)), "")</f>
        <v>5.61</v>
      </c>
      <c r="AB981" s="584">
        <f t="shared" si="504"/>
        <v>0</v>
      </c>
      <c r="AC981" s="434"/>
    </row>
    <row r="982" spans="5:29">
      <c r="E982" s="598"/>
      <c r="F982" s="699"/>
      <c r="G982" s="700"/>
      <c r="H982" s="598"/>
      <c r="I982" s="598"/>
      <c r="J982" s="598"/>
      <c r="K982" s="598"/>
      <c r="L982" s="598"/>
      <c r="Q982" s="432">
        <v>46094</v>
      </c>
      <c r="R982" s="433">
        <v>0.625</v>
      </c>
      <c r="S982" s="434" t="s">
        <v>289</v>
      </c>
      <c r="T982" s="434" t="s">
        <v>754</v>
      </c>
      <c r="U982" s="435">
        <v>200</v>
      </c>
      <c r="V982" s="436" t="str">
        <f t="shared" ref="V982:V992" si="505">IFERROR(VLOOKUP(T982, $E$5:$L$818, 3, FALSE), "")</f>
        <v>g</v>
      </c>
      <c r="W982" s="437">
        <f t="shared" ref="W982:W992" si="506">IFERROR(VLOOKUP(T982, $E$5:$L$818, 4, FALSE) * (U982 / VLOOKUP(T982, $E$5:$L$818, 2, FALSE)), "")</f>
        <v>220</v>
      </c>
      <c r="X982" s="437">
        <f t="shared" ref="X982:X992" si="507">IFERROR(VLOOKUP(T982, $E$5:$L$818, 5, FALSE) * (U982 / VLOOKUP(T982, $E$5:$L$818, 2, FALSE)), "")</f>
        <v>5.333333333333333</v>
      </c>
      <c r="Y982" s="437">
        <f t="shared" ref="Y982:Y992" si="508">IFERROR(VLOOKUP(T982, $E$5:$L$818, 6, FALSE) * (U982 / VLOOKUP(T982, $E$5:$L$818, 2, FALSE)), "")</f>
        <v>1.3333333333333333</v>
      </c>
      <c r="Z982" s="437">
        <f t="shared" ref="Z982:Z992" si="509">IFERROR(VLOOKUP(T982, $E$5:$L$818, 7, FALSE) * (U982 / VLOOKUP(T982, $E$5:$L$818, 2, FALSE)), "")</f>
        <v>45.333333333333329</v>
      </c>
      <c r="AA982" s="437">
        <f t="shared" ref="AA982:AA992" si="510">IFERROR(VLOOKUP(T982, $E$5:$L$818, 8, FALSE) * (U982 / VLOOKUP(T982, $E$5:$L$818, 2, FALSE)), "")</f>
        <v>2.6666666666666665</v>
      </c>
      <c r="AB982" s="584">
        <f t="shared" si="504"/>
        <v>0</v>
      </c>
      <c r="AC982" s="434"/>
    </row>
    <row r="983" spans="5:29">
      <c r="E983" s="598"/>
      <c r="F983" s="699"/>
      <c r="G983" s="700"/>
      <c r="H983" s="598"/>
      <c r="I983" s="598"/>
      <c r="J983" s="598"/>
      <c r="K983" s="598"/>
      <c r="L983" s="598"/>
      <c r="Q983" s="432">
        <v>46094</v>
      </c>
      <c r="R983" s="433">
        <v>0.625</v>
      </c>
      <c r="S983" s="434" t="s">
        <v>289</v>
      </c>
      <c r="T983" s="434" t="s">
        <v>824</v>
      </c>
      <c r="U983" s="435">
        <v>50</v>
      </c>
      <c r="V983" s="436" t="str">
        <f t="shared" si="505"/>
        <v>g</v>
      </c>
      <c r="W983" s="437">
        <f t="shared" si="506"/>
        <v>300</v>
      </c>
      <c r="X983" s="437">
        <f t="shared" si="507"/>
        <v>9</v>
      </c>
      <c r="Y983" s="437">
        <f t="shared" si="508"/>
        <v>27</v>
      </c>
      <c r="Z983" s="437">
        <f t="shared" si="509"/>
        <v>3</v>
      </c>
      <c r="AA983" s="437">
        <f t="shared" si="510"/>
        <v>0</v>
      </c>
      <c r="AB983" s="584">
        <f t="shared" si="504"/>
        <v>0</v>
      </c>
      <c r="AC983" s="434"/>
    </row>
    <row r="984" spans="5:29">
      <c r="E984" s="598"/>
      <c r="F984" s="699"/>
      <c r="G984" s="700"/>
      <c r="H984" s="598"/>
      <c r="I984" s="598"/>
      <c r="J984" s="598"/>
      <c r="K984" s="598"/>
      <c r="L984" s="598"/>
      <c r="Q984" s="432">
        <v>46094</v>
      </c>
      <c r="R984" s="433">
        <v>0.45833333333333331</v>
      </c>
      <c r="S984" s="434" t="s">
        <v>289</v>
      </c>
      <c r="T984" s="434" t="s">
        <v>468</v>
      </c>
      <c r="U984" s="435">
        <v>1.5</v>
      </c>
      <c r="V984" s="436" t="str">
        <f t="shared" si="505"/>
        <v>apple</v>
      </c>
      <c r="W984" s="437">
        <f t="shared" si="506"/>
        <v>142.5</v>
      </c>
      <c r="X984" s="437">
        <f t="shared" si="507"/>
        <v>0.75</v>
      </c>
      <c r="Y984" s="437">
        <f t="shared" si="508"/>
        <v>0.44999999999999996</v>
      </c>
      <c r="Z984" s="437">
        <f t="shared" si="509"/>
        <v>37.5</v>
      </c>
      <c r="AA984" s="437">
        <f t="shared" si="510"/>
        <v>6</v>
      </c>
      <c r="AB984" s="584">
        <f t="shared" si="504"/>
        <v>0</v>
      </c>
      <c r="AC984" s="434"/>
    </row>
    <row r="985" spans="5:29">
      <c r="E985" s="598"/>
      <c r="F985" s="699"/>
      <c r="G985" s="700"/>
      <c r="H985" s="598"/>
      <c r="I985" s="598"/>
      <c r="J985" s="598"/>
      <c r="K985" s="598"/>
      <c r="L985" s="598"/>
      <c r="Q985" s="432">
        <v>46094</v>
      </c>
      <c r="R985" s="433">
        <v>0.45833333333333298</v>
      </c>
      <c r="S985" s="434" t="s">
        <v>185</v>
      </c>
      <c r="T985" s="434" t="s">
        <v>753</v>
      </c>
      <c r="U985" s="435">
        <v>90</v>
      </c>
      <c r="V985" s="436" t="str">
        <f t="shared" si="505"/>
        <v>g</v>
      </c>
      <c r="W985" s="437">
        <f t="shared" si="506"/>
        <v>117</v>
      </c>
      <c r="X985" s="437">
        <f t="shared" si="507"/>
        <v>0.9</v>
      </c>
      <c r="Y985" s="437">
        <f t="shared" si="508"/>
        <v>0</v>
      </c>
      <c r="Z985" s="437">
        <f t="shared" si="509"/>
        <v>27.900000000000002</v>
      </c>
      <c r="AA985" s="437">
        <f t="shared" si="510"/>
        <v>2.7</v>
      </c>
      <c r="AB985" s="584">
        <f t="shared" si="504"/>
        <v>0</v>
      </c>
      <c r="AC985" s="434"/>
    </row>
    <row r="986" spans="5:29">
      <c r="E986" s="598"/>
      <c r="F986" s="699"/>
      <c r="G986" s="700"/>
      <c r="H986" s="598"/>
      <c r="I986" s="598"/>
      <c r="J986" s="598"/>
      <c r="K986" s="598"/>
      <c r="L986" s="598"/>
      <c r="Q986" s="432">
        <v>46094</v>
      </c>
      <c r="R986" s="433">
        <v>0.54166666666666663</v>
      </c>
      <c r="S986" s="434" t="s">
        <v>185</v>
      </c>
      <c r="T986" s="434" t="s">
        <v>176</v>
      </c>
      <c r="U986" s="435">
        <v>178</v>
      </c>
      <c r="V986" s="436" t="str">
        <f t="shared" si="505"/>
        <v>g</v>
      </c>
      <c r="W986" s="437">
        <f t="shared" si="506"/>
        <v>293.7</v>
      </c>
      <c r="X986" s="437">
        <f t="shared" si="507"/>
        <v>44.5</v>
      </c>
      <c r="Y986" s="437">
        <f t="shared" si="508"/>
        <v>6.4080000000000004</v>
      </c>
      <c r="Z986" s="437">
        <f t="shared" si="509"/>
        <v>0</v>
      </c>
      <c r="AA986" s="437">
        <f t="shared" si="510"/>
        <v>0</v>
      </c>
      <c r="AB986" s="584">
        <f t="shared" si="504"/>
        <v>0</v>
      </c>
      <c r="AC986" s="434"/>
    </row>
    <row r="987" spans="5:29">
      <c r="E987" s="598"/>
      <c r="F987" s="699"/>
      <c r="G987" s="700"/>
      <c r="H987" s="598"/>
      <c r="I987" s="598"/>
      <c r="J987" s="598"/>
      <c r="K987" s="598"/>
      <c r="L987" s="598"/>
      <c r="Q987" s="432">
        <v>46094</v>
      </c>
      <c r="R987" s="433">
        <v>0.54166666666666696</v>
      </c>
      <c r="S987" s="434" t="s">
        <v>185</v>
      </c>
      <c r="T987" s="434" t="s">
        <v>754</v>
      </c>
      <c r="U987" s="435">
        <v>200</v>
      </c>
      <c r="V987" s="436" t="str">
        <f t="shared" si="505"/>
        <v>g</v>
      </c>
      <c r="W987" s="437">
        <f t="shared" si="506"/>
        <v>220</v>
      </c>
      <c r="X987" s="437">
        <f t="shared" si="507"/>
        <v>5.333333333333333</v>
      </c>
      <c r="Y987" s="437">
        <f t="shared" si="508"/>
        <v>1.3333333333333333</v>
      </c>
      <c r="Z987" s="437">
        <f t="shared" si="509"/>
        <v>45.333333333333329</v>
      </c>
      <c r="AA987" s="437">
        <f t="shared" si="510"/>
        <v>2.6666666666666665</v>
      </c>
      <c r="AB987" s="584">
        <f t="shared" si="504"/>
        <v>0</v>
      </c>
      <c r="AC987" s="434"/>
    </row>
    <row r="988" spans="5:29">
      <c r="E988" s="598"/>
      <c r="F988" s="699"/>
      <c r="G988" s="700"/>
      <c r="H988" s="598"/>
      <c r="I988" s="598"/>
      <c r="J988" s="598"/>
      <c r="K988" s="598"/>
      <c r="L988" s="598"/>
      <c r="Q988" s="432">
        <v>46094</v>
      </c>
      <c r="R988" s="433">
        <v>0.58333333333333337</v>
      </c>
      <c r="S988" s="434" t="s">
        <v>289</v>
      </c>
      <c r="T988" s="434" t="s">
        <v>253</v>
      </c>
      <c r="U988" s="435">
        <v>2</v>
      </c>
      <c r="V988" s="436" t="str">
        <f t="shared" si="505"/>
        <v>medium</v>
      </c>
      <c r="W988" s="437">
        <f t="shared" si="506"/>
        <v>84</v>
      </c>
      <c r="X988" s="437">
        <f t="shared" si="507"/>
        <v>1.6</v>
      </c>
      <c r="Y988" s="437">
        <f t="shared" si="508"/>
        <v>0.8</v>
      </c>
      <c r="Z988" s="437">
        <f t="shared" si="509"/>
        <v>20</v>
      </c>
      <c r="AA988" s="437">
        <f t="shared" si="510"/>
        <v>4.2</v>
      </c>
      <c r="AB988" s="584">
        <f t="shared" si="504"/>
        <v>0</v>
      </c>
      <c r="AC988" s="434"/>
    </row>
    <row r="989" spans="5:29">
      <c r="E989" s="598"/>
      <c r="F989" s="699"/>
      <c r="G989" s="700"/>
      <c r="H989" s="598"/>
      <c r="I989" s="598"/>
      <c r="J989" s="598"/>
      <c r="K989" s="598"/>
      <c r="L989" s="598"/>
      <c r="Q989" s="432">
        <v>46094</v>
      </c>
      <c r="R989" s="433">
        <v>0.58333333333333304</v>
      </c>
      <c r="S989" s="434" t="s">
        <v>289</v>
      </c>
      <c r="T989" s="434" t="s">
        <v>468</v>
      </c>
      <c r="U989" s="435">
        <v>1</v>
      </c>
      <c r="V989" s="436" t="str">
        <f t="shared" si="505"/>
        <v>apple</v>
      </c>
      <c r="W989" s="437">
        <f t="shared" si="506"/>
        <v>95</v>
      </c>
      <c r="X989" s="437">
        <f t="shared" si="507"/>
        <v>0.5</v>
      </c>
      <c r="Y989" s="437">
        <f t="shared" si="508"/>
        <v>0.3</v>
      </c>
      <c r="Z989" s="437">
        <f t="shared" si="509"/>
        <v>25</v>
      </c>
      <c r="AA989" s="437">
        <f t="shared" si="510"/>
        <v>4</v>
      </c>
      <c r="AB989" s="584">
        <f t="shared" si="504"/>
        <v>0</v>
      </c>
      <c r="AC989" s="434"/>
    </row>
    <row r="990" spans="5:29">
      <c r="E990" s="598"/>
      <c r="F990" s="699"/>
      <c r="G990" s="700"/>
      <c r="H990" s="598"/>
      <c r="I990" s="598"/>
      <c r="J990" s="598"/>
      <c r="K990" s="598"/>
      <c r="L990" s="598"/>
      <c r="Q990" s="432">
        <v>46094</v>
      </c>
      <c r="R990" s="433">
        <v>0.58333333333333304</v>
      </c>
      <c r="S990" s="434" t="s">
        <v>289</v>
      </c>
      <c r="T990" s="434" t="s">
        <v>464</v>
      </c>
      <c r="U990" s="435">
        <v>1</v>
      </c>
      <c r="V990" s="436" t="str">
        <f t="shared" si="505"/>
        <v>lozenge</v>
      </c>
      <c r="W990" s="437">
        <f t="shared" si="506"/>
        <v>10</v>
      </c>
      <c r="X990" s="437">
        <f t="shared" si="507"/>
        <v>0</v>
      </c>
      <c r="Y990" s="437">
        <f t="shared" si="508"/>
        <v>0</v>
      </c>
      <c r="Z990" s="437">
        <f t="shared" si="509"/>
        <v>3</v>
      </c>
      <c r="AA990" s="437">
        <f t="shared" si="510"/>
        <v>0</v>
      </c>
      <c r="AB990" s="584">
        <f t="shared" si="504"/>
        <v>0</v>
      </c>
      <c r="AC990" s="434"/>
    </row>
    <row r="991" spans="5:29">
      <c r="E991" s="598"/>
      <c r="F991" s="699"/>
      <c r="G991" s="700"/>
      <c r="H991" s="598"/>
      <c r="I991" s="598"/>
      <c r="J991" s="598"/>
      <c r="K991" s="598"/>
      <c r="L991" s="598"/>
      <c r="Q991" s="432">
        <v>46094</v>
      </c>
      <c r="R991" s="433">
        <v>0.58333333333333304</v>
      </c>
      <c r="S991" s="434" t="s">
        <v>199</v>
      </c>
      <c r="T991" s="434" t="s">
        <v>209</v>
      </c>
      <c r="U991" s="435"/>
      <c r="V991" s="436" t="str">
        <f t="shared" si="505"/>
        <v>tbsp</v>
      </c>
      <c r="W991" s="437">
        <f t="shared" si="506"/>
        <v>0</v>
      </c>
      <c r="X991" s="437">
        <f t="shared" si="507"/>
        <v>0</v>
      </c>
      <c r="Y991" s="437">
        <f t="shared" si="508"/>
        <v>0</v>
      </c>
      <c r="Z991" s="437">
        <f t="shared" si="509"/>
        <v>0</v>
      </c>
      <c r="AA991" s="437">
        <f t="shared" si="510"/>
        <v>0</v>
      </c>
      <c r="AB991" s="584">
        <f t="shared" si="504"/>
        <v>0</v>
      </c>
      <c r="AC991" s="434"/>
    </row>
    <row r="992" spans="5:29">
      <c r="E992" s="598"/>
      <c r="F992" s="699"/>
      <c r="G992" s="700"/>
      <c r="H992" s="598"/>
      <c r="I992" s="598"/>
      <c r="J992" s="598"/>
      <c r="K992" s="598"/>
      <c r="L992" s="598"/>
      <c r="Q992" s="432">
        <v>46094</v>
      </c>
      <c r="R992" s="433">
        <v>0.58333333333333304</v>
      </c>
      <c r="S992" s="434" t="s">
        <v>289</v>
      </c>
      <c r="T992" s="434" t="s">
        <v>786</v>
      </c>
      <c r="U992" s="435"/>
      <c r="V992" s="436" t="str">
        <f t="shared" si="505"/>
        <v>bottle</v>
      </c>
      <c r="W992" s="437">
        <f t="shared" si="506"/>
        <v>0</v>
      </c>
      <c r="X992" s="437">
        <f t="shared" si="507"/>
        <v>0</v>
      </c>
      <c r="Y992" s="437">
        <f t="shared" si="508"/>
        <v>0</v>
      </c>
      <c r="Z992" s="437">
        <f t="shared" si="509"/>
        <v>0</v>
      </c>
      <c r="AA992" s="437">
        <f t="shared" si="510"/>
        <v>0</v>
      </c>
      <c r="AB992" s="684">
        <f t="shared" si="504"/>
        <v>0</v>
      </c>
      <c r="AC992" s="434"/>
    </row>
    <row r="993" spans="5:29">
      <c r="E993" s="598"/>
      <c r="F993" s="699"/>
      <c r="G993" s="700"/>
      <c r="H993" s="598"/>
      <c r="I993" s="598"/>
      <c r="J993" s="598"/>
      <c r="K993" s="598"/>
      <c r="L993" s="598"/>
      <c r="Q993" s="438"/>
      <c r="R993" s="439" t="s">
        <v>217</v>
      </c>
      <c r="S993" s="440"/>
      <c r="T993" s="441"/>
      <c r="U993" s="441"/>
      <c r="V993" s="442"/>
      <c r="W993" s="443">
        <f t="shared" ref="W993:AB993" si="511">SUM(W980:W992)</f>
        <v>1915.3</v>
      </c>
      <c r="X993" s="443">
        <f t="shared" si="511"/>
        <v>104.78666666666665</v>
      </c>
      <c r="Y993" s="443">
        <f t="shared" si="511"/>
        <v>39.624666666666663</v>
      </c>
      <c r="Z993" s="443">
        <f t="shared" si="511"/>
        <v>274.03666666666669</v>
      </c>
      <c r="AA993" s="685">
        <f t="shared" si="511"/>
        <v>27.843333333333334</v>
      </c>
      <c r="AB993" s="691">
        <f t="shared" si="511"/>
        <v>0</v>
      </c>
      <c r="AC993" s="439"/>
    </row>
    <row r="994" spans="5:29">
      <c r="E994" s="598"/>
      <c r="F994" s="699"/>
      <c r="G994" s="700"/>
      <c r="H994" s="598"/>
      <c r="I994" s="598"/>
      <c r="J994" s="598"/>
      <c r="K994" s="598"/>
      <c r="L994" s="598"/>
      <c r="Q994" s="438"/>
      <c r="R994" s="439" t="s">
        <v>220</v>
      </c>
      <c r="S994" s="440"/>
      <c r="T994" s="441"/>
      <c r="U994" s="441"/>
      <c r="V994" s="442"/>
      <c r="W994" s="444">
        <f>$B$27</f>
        <v>2834.5625</v>
      </c>
      <c r="X994" s="444">
        <f>$B$29</f>
        <v>154</v>
      </c>
      <c r="Y994" s="444">
        <f>$B$30</f>
        <v>63.91</v>
      </c>
      <c r="Z994" s="444">
        <f>$B$31</f>
        <v>410.84312499999999</v>
      </c>
      <c r="AA994" s="692">
        <f>$B$32</f>
        <v>39.683875</v>
      </c>
      <c r="AB994" s="695">
        <f>$B$39</f>
        <v>500</v>
      </c>
      <c r="AC994" s="439"/>
    </row>
    <row r="995" spans="5:29">
      <c r="E995" s="598"/>
      <c r="F995" s="699"/>
      <c r="G995" s="700"/>
      <c r="H995" s="598"/>
      <c r="I995" s="598"/>
      <c r="J995" s="598"/>
      <c r="K995" s="598"/>
      <c r="L995" s="598"/>
      <c r="Q995" s="438"/>
      <c r="R995" s="439" t="s">
        <v>222</v>
      </c>
      <c r="S995" s="440"/>
      <c r="T995" s="441"/>
      <c r="U995" s="441"/>
      <c r="V995" s="442"/>
      <c r="W995" s="284">
        <f t="shared" ref="W995:AB995" si="512">W993-W994</f>
        <v>-919.26250000000005</v>
      </c>
      <c r="X995" s="284">
        <f t="shared" si="512"/>
        <v>-49.213333333333352</v>
      </c>
      <c r="Y995" s="284">
        <f t="shared" si="512"/>
        <v>-24.285333333333334</v>
      </c>
      <c r="Z995" s="284">
        <f t="shared" si="512"/>
        <v>-136.8064583333333</v>
      </c>
      <c r="AA995" s="690">
        <f t="shared" si="512"/>
        <v>-11.840541666666667</v>
      </c>
      <c r="AB995" s="689">
        <f t="shared" si="512"/>
        <v>-500</v>
      </c>
      <c r="AC995" s="439"/>
    </row>
    <row r="996" spans="5:29">
      <c r="E996" s="598"/>
      <c r="F996" s="699"/>
      <c r="G996" s="700"/>
      <c r="H996" s="598"/>
      <c r="I996" s="598"/>
      <c r="J996" s="598"/>
      <c r="K996" s="598"/>
      <c r="L996" s="598"/>
      <c r="Q996" s="432">
        <v>46095</v>
      </c>
      <c r="R996" s="433">
        <v>0.83333333333333304</v>
      </c>
      <c r="S996" s="434" t="s">
        <v>199</v>
      </c>
      <c r="T996" s="434" t="s">
        <v>465</v>
      </c>
      <c r="U996" s="435">
        <v>96</v>
      </c>
      <c r="V996" s="436" t="str">
        <f>IFERROR(VLOOKUP(T996, $E$5:$L$818, 3, FALSE), "")</f>
        <v>g</v>
      </c>
      <c r="W996" s="437">
        <f>IFERROR(VLOOKUP(T996, $E$5:$L$818, 4, FALSE) * (U996 / VLOOKUP(T996, $E$5:$L$818, 2, FALSE)), "")</f>
        <v>172.79999999999998</v>
      </c>
      <c r="X996" s="437">
        <f>IFERROR(VLOOKUP(T996, $E$5:$L$818, 5, FALSE) * (U996 / VLOOKUP(T996, $E$5:$L$818, 2, FALSE)), "")</f>
        <v>21.119999999999997</v>
      </c>
      <c r="Y996" s="437">
        <f>IFERROR(VLOOKUP(T996, $E$5:$L$818, 6, FALSE) * (U996 / VLOOKUP(T996, $E$5:$L$818, 2, FALSE)), "")</f>
        <v>8.64</v>
      </c>
      <c r="Z996" s="437">
        <f>IFERROR(VLOOKUP(T996, $E$5:$L$818, 7, FALSE) * (U996 / VLOOKUP(T996, $E$5:$L$818, 2, FALSE)), "")</f>
        <v>1.92</v>
      </c>
      <c r="AA996" s="437">
        <f>IFERROR(VLOOKUP(T996, $E$5:$L$818, 8, FALSE) * (U996 / VLOOKUP(T996, $E$5:$L$818, 2, FALSE)), "")</f>
        <v>0</v>
      </c>
      <c r="AB996" s="674">
        <f t="shared" ref="AB996:AB1004" si="513">IFERROR(VLOOKUP(T996, $E$5:$O$818, 9, FALSE) * (U996 / VLOOKUP(T996, $E$5:$O$818, 2, FALSE)), "")</f>
        <v>0</v>
      </c>
      <c r="AC996" s="434"/>
    </row>
    <row r="997" spans="5:29">
      <c r="E997" s="598"/>
      <c r="F997" s="699"/>
      <c r="G997" s="700"/>
      <c r="H997" s="598"/>
      <c r="I997" s="598"/>
      <c r="J997" s="598"/>
      <c r="K997" s="598"/>
      <c r="L997" s="598"/>
      <c r="Q997" s="432">
        <v>46095</v>
      </c>
      <c r="R997" s="433">
        <v>0.83333333333333304</v>
      </c>
      <c r="S997" s="434" t="s">
        <v>199</v>
      </c>
      <c r="T997" s="434" t="s">
        <v>176</v>
      </c>
      <c r="U997" s="435">
        <v>170</v>
      </c>
      <c r="V997" s="436" t="str">
        <f>IFERROR(VLOOKUP(T997, $E$5:$L$818, 3, FALSE), "")</f>
        <v>g</v>
      </c>
      <c r="W997" s="437">
        <f>IFERROR(VLOOKUP(T997, $E$5:$L$818, 4, FALSE) * (U997 / VLOOKUP(T997, $E$5:$L$818, 2, FALSE)), "")</f>
        <v>280.5</v>
      </c>
      <c r="X997" s="437">
        <f>IFERROR(VLOOKUP(T997, $E$5:$L$818, 5, FALSE) * (U997 / VLOOKUP(T997, $E$5:$L$818, 2, FALSE)), "")</f>
        <v>42.5</v>
      </c>
      <c r="Y997" s="437">
        <f>IFERROR(VLOOKUP(T997, $E$5:$L$818, 6, FALSE) * (U997 / VLOOKUP(T997, $E$5:$L$818, 2, FALSE)), "")</f>
        <v>6.12</v>
      </c>
      <c r="Z997" s="437">
        <f>IFERROR(VLOOKUP(T997, $E$5:$L$818, 7, FALSE) * (U997 / VLOOKUP(T997, $E$5:$L$818, 2, FALSE)), "")</f>
        <v>0</v>
      </c>
      <c r="AA997" s="437">
        <f>IFERROR(VLOOKUP(T997, $E$5:$L$818, 8, FALSE) * (U997 / VLOOKUP(T997, $E$5:$L$818, 2, FALSE)), "")</f>
        <v>0</v>
      </c>
      <c r="AB997" s="584">
        <f t="shared" si="513"/>
        <v>0</v>
      </c>
      <c r="AC997" s="434"/>
    </row>
    <row r="998" spans="5:29">
      <c r="E998" s="598"/>
      <c r="F998" s="699"/>
      <c r="G998" s="700"/>
      <c r="H998" s="598"/>
      <c r="I998" s="598"/>
      <c r="J998" s="598"/>
      <c r="K998" s="598"/>
      <c r="L998" s="598"/>
      <c r="Q998" s="432">
        <v>46095</v>
      </c>
      <c r="R998" s="433">
        <v>0.83333333333333304</v>
      </c>
      <c r="S998" s="434" t="s">
        <v>199</v>
      </c>
      <c r="T998" s="434" t="s">
        <v>176</v>
      </c>
      <c r="U998" s="435">
        <v>150</v>
      </c>
      <c r="V998" s="436" t="str">
        <f t="shared" ref="V998:V1004" si="514">IFERROR(VLOOKUP(T998, $E$5:$L$818, 3, FALSE), "")</f>
        <v>g</v>
      </c>
      <c r="W998" s="437">
        <f t="shared" ref="W998:W1004" si="515">IFERROR(VLOOKUP(T998, $E$5:$L$818, 4, FALSE) * (U998 / VLOOKUP(T998, $E$5:$L$818, 2, FALSE)), "")</f>
        <v>247.5</v>
      </c>
      <c r="X998" s="437">
        <f t="shared" ref="X998:X1004" si="516">IFERROR(VLOOKUP(T998, $E$5:$L$818, 5, FALSE) * (U998 / VLOOKUP(T998, $E$5:$L$818, 2, FALSE)), "")</f>
        <v>37.5</v>
      </c>
      <c r="Y998" s="437">
        <f t="shared" ref="Y998:Y1004" si="517">IFERROR(VLOOKUP(T998, $E$5:$L$818, 6, FALSE) * (U998 / VLOOKUP(T998, $E$5:$L$818, 2, FALSE)), "")</f>
        <v>5.4</v>
      </c>
      <c r="Z998" s="437">
        <f t="shared" ref="Z998:Z1004" si="518">IFERROR(VLOOKUP(T998, $E$5:$L$818, 7, FALSE) * (U998 / VLOOKUP(T998, $E$5:$L$818, 2, FALSE)), "")</f>
        <v>0</v>
      </c>
      <c r="AA998" s="437">
        <f t="shared" ref="AA998:AA1004" si="519">IFERROR(VLOOKUP(T998, $E$5:$L$818, 8, FALSE) * (U998 / VLOOKUP(T998, $E$5:$L$818, 2, FALSE)), "")</f>
        <v>0</v>
      </c>
      <c r="AB998" s="584">
        <f t="shared" si="513"/>
        <v>0</v>
      </c>
      <c r="AC998" s="434"/>
    </row>
    <row r="999" spans="5:29">
      <c r="E999" s="598"/>
      <c r="F999" s="699"/>
      <c r="G999" s="700"/>
      <c r="H999" s="598"/>
      <c r="I999" s="598"/>
      <c r="J999" s="598"/>
      <c r="K999" s="598"/>
      <c r="L999" s="598"/>
      <c r="Q999" s="432">
        <v>46095</v>
      </c>
      <c r="R999" s="433">
        <v>0.625</v>
      </c>
      <c r="S999" s="434" t="s">
        <v>289</v>
      </c>
      <c r="T999" s="434" t="s">
        <v>478</v>
      </c>
      <c r="U999" s="435">
        <v>1</v>
      </c>
      <c r="V999" s="436" t="str">
        <f t="shared" si="514"/>
        <v>cone</v>
      </c>
      <c r="W999" s="437">
        <f t="shared" si="515"/>
        <v>480</v>
      </c>
      <c r="X999" s="437">
        <f t="shared" si="516"/>
        <v>8</v>
      </c>
      <c r="Y999" s="437">
        <f t="shared" si="517"/>
        <v>22</v>
      </c>
      <c r="Z999" s="437">
        <f t="shared" si="518"/>
        <v>62</v>
      </c>
      <c r="AA999" s="437">
        <f t="shared" si="519"/>
        <v>3</v>
      </c>
      <c r="AB999" s="584">
        <f t="shared" si="513"/>
        <v>0</v>
      </c>
      <c r="AC999" s="434"/>
    </row>
    <row r="1000" spans="5:29">
      <c r="E1000" s="598"/>
      <c r="F1000" s="699"/>
      <c r="G1000" s="700"/>
      <c r="H1000" s="598"/>
      <c r="I1000" s="598"/>
      <c r="J1000" s="598"/>
      <c r="K1000" s="598"/>
      <c r="L1000" s="598"/>
      <c r="Q1000" s="432">
        <v>46095</v>
      </c>
      <c r="R1000" s="433">
        <v>0.625</v>
      </c>
      <c r="S1000" s="434" t="s">
        <v>289</v>
      </c>
      <c r="T1000" s="434" t="s">
        <v>190</v>
      </c>
      <c r="U1000" s="435">
        <v>1</v>
      </c>
      <c r="V1000" s="436" t="str">
        <f t="shared" si="514"/>
        <v>medium</v>
      </c>
      <c r="W1000" s="437">
        <f t="shared" si="515"/>
        <v>62</v>
      </c>
      <c r="X1000" s="437">
        <f t="shared" si="516"/>
        <v>1.2</v>
      </c>
      <c r="Y1000" s="437">
        <f t="shared" si="517"/>
        <v>0.2</v>
      </c>
      <c r="Z1000" s="437">
        <f t="shared" si="518"/>
        <v>15.4</v>
      </c>
      <c r="AA1000" s="437">
        <f t="shared" si="519"/>
        <v>3.1</v>
      </c>
      <c r="AB1000" s="584">
        <f t="shared" si="513"/>
        <v>0</v>
      </c>
      <c r="AC1000" s="434"/>
    </row>
    <row r="1001" spans="5:29">
      <c r="E1001" s="598"/>
      <c r="F1001" s="699"/>
      <c r="G1001" s="700"/>
      <c r="H1001" s="598"/>
      <c r="I1001" s="598"/>
      <c r="J1001" s="598"/>
      <c r="K1001" s="598"/>
      <c r="L1001" s="598"/>
      <c r="Q1001" s="432">
        <v>46095</v>
      </c>
      <c r="R1001" s="433">
        <v>0.625</v>
      </c>
      <c r="S1001" s="434" t="s">
        <v>289</v>
      </c>
      <c r="T1001" s="434" t="s">
        <v>176</v>
      </c>
      <c r="U1001" s="435">
        <v>170</v>
      </c>
      <c r="V1001" s="436" t="str">
        <f t="shared" si="514"/>
        <v>g</v>
      </c>
      <c r="W1001" s="437">
        <f t="shared" si="515"/>
        <v>280.5</v>
      </c>
      <c r="X1001" s="437">
        <f t="shared" si="516"/>
        <v>42.5</v>
      </c>
      <c r="Y1001" s="437">
        <f t="shared" si="517"/>
        <v>6.12</v>
      </c>
      <c r="Z1001" s="437">
        <f t="shared" si="518"/>
        <v>0</v>
      </c>
      <c r="AA1001" s="437">
        <f t="shared" si="519"/>
        <v>0</v>
      </c>
      <c r="AB1001" s="584">
        <f t="shared" si="513"/>
        <v>0</v>
      </c>
      <c r="AC1001" s="434"/>
    </row>
    <row r="1002" spans="5:29">
      <c r="E1002" s="598"/>
      <c r="F1002" s="699"/>
      <c r="G1002" s="700"/>
      <c r="H1002" s="598"/>
      <c r="I1002" s="598"/>
      <c r="J1002" s="598"/>
      <c r="K1002" s="598"/>
      <c r="L1002" s="598"/>
      <c r="Q1002" s="432">
        <v>46095</v>
      </c>
      <c r="R1002" s="433">
        <v>0.625</v>
      </c>
      <c r="S1002" s="434" t="s">
        <v>289</v>
      </c>
      <c r="T1002" s="434" t="s">
        <v>463</v>
      </c>
      <c r="U1002" s="435">
        <v>1</v>
      </c>
      <c r="V1002" s="436" t="str">
        <f t="shared" si="514"/>
        <v>bottle</v>
      </c>
      <c r="W1002" s="437">
        <f t="shared" si="515"/>
        <v>190</v>
      </c>
      <c r="X1002" s="437">
        <f t="shared" si="516"/>
        <v>35</v>
      </c>
      <c r="Y1002" s="437">
        <f t="shared" si="517"/>
        <v>2</v>
      </c>
      <c r="Z1002" s="437">
        <f t="shared" si="518"/>
        <v>9</v>
      </c>
      <c r="AA1002" s="437">
        <f t="shared" si="519"/>
        <v>0</v>
      </c>
      <c r="AB1002" s="584">
        <f t="shared" si="513"/>
        <v>0</v>
      </c>
      <c r="AC1002" s="434"/>
    </row>
    <row r="1003" spans="5:29">
      <c r="E1003" s="598"/>
      <c r="F1003" s="699"/>
      <c r="G1003" s="700"/>
      <c r="H1003" s="598"/>
      <c r="I1003" s="598"/>
      <c r="J1003" s="598"/>
      <c r="K1003" s="598"/>
      <c r="L1003" s="598"/>
      <c r="Q1003" s="432">
        <v>46095</v>
      </c>
      <c r="R1003" s="433">
        <v>0.83333333333333304</v>
      </c>
      <c r="S1003" s="434" t="s">
        <v>199</v>
      </c>
      <c r="T1003" s="434" t="s">
        <v>209</v>
      </c>
      <c r="U1003" s="435">
        <v>3</v>
      </c>
      <c r="V1003" s="436" t="str">
        <f t="shared" si="514"/>
        <v>tbsp</v>
      </c>
      <c r="W1003" s="437">
        <f t="shared" si="515"/>
        <v>60</v>
      </c>
      <c r="X1003" s="437">
        <f t="shared" si="516"/>
        <v>0</v>
      </c>
      <c r="Y1003" s="437">
        <f t="shared" si="517"/>
        <v>0</v>
      </c>
      <c r="Z1003" s="437">
        <f t="shared" si="518"/>
        <v>15</v>
      </c>
      <c r="AA1003" s="437">
        <f t="shared" si="519"/>
        <v>13.5</v>
      </c>
      <c r="AB1003" s="584">
        <f t="shared" si="513"/>
        <v>0</v>
      </c>
      <c r="AC1003" s="434"/>
    </row>
    <row r="1004" spans="5:29">
      <c r="E1004" s="598"/>
      <c r="F1004" s="699"/>
      <c r="G1004" s="700"/>
      <c r="H1004" s="598"/>
      <c r="I1004" s="598"/>
      <c r="J1004" s="598"/>
      <c r="K1004" s="598"/>
      <c r="L1004" s="598"/>
      <c r="Q1004" s="432">
        <v>46095</v>
      </c>
      <c r="R1004" s="433">
        <v>0.625</v>
      </c>
      <c r="S1004" s="434" t="s">
        <v>289</v>
      </c>
      <c r="T1004" s="434" t="s">
        <v>786</v>
      </c>
      <c r="U1004" s="435">
        <v>1</v>
      </c>
      <c r="V1004" s="436" t="str">
        <f t="shared" si="514"/>
        <v>bottle</v>
      </c>
      <c r="W1004" s="437">
        <f t="shared" si="515"/>
        <v>90</v>
      </c>
      <c r="X1004" s="437">
        <f t="shared" si="516"/>
        <v>0</v>
      </c>
      <c r="Y1004" s="437">
        <f t="shared" si="517"/>
        <v>0</v>
      </c>
      <c r="Z1004" s="437">
        <f t="shared" si="518"/>
        <v>22</v>
      </c>
      <c r="AA1004" s="437">
        <f t="shared" si="519"/>
        <v>0</v>
      </c>
      <c r="AB1004" s="684">
        <f t="shared" si="513"/>
        <v>0</v>
      </c>
      <c r="AC1004" s="434"/>
    </row>
    <row r="1005" spans="5:29">
      <c r="E1005" s="598"/>
      <c r="F1005" s="699"/>
      <c r="G1005" s="700"/>
      <c r="H1005" s="598"/>
      <c r="I1005" s="598"/>
      <c r="J1005" s="598"/>
      <c r="K1005" s="598"/>
      <c r="L1005" s="598"/>
      <c r="Q1005" s="438"/>
      <c r="R1005" s="439" t="s">
        <v>217</v>
      </c>
      <c r="S1005" s="440"/>
      <c r="T1005" s="441"/>
      <c r="U1005" s="441"/>
      <c r="V1005" s="442"/>
      <c r="W1005" s="443">
        <f t="shared" ref="W1005:AB1005" si="520">SUM(W996:W1004)</f>
        <v>1863.3</v>
      </c>
      <c r="X1005" s="443">
        <f t="shared" si="520"/>
        <v>187.82</v>
      </c>
      <c r="Y1005" s="443">
        <f t="shared" si="520"/>
        <v>50.480000000000004</v>
      </c>
      <c r="Z1005" s="443">
        <f t="shared" si="520"/>
        <v>125.32000000000001</v>
      </c>
      <c r="AA1005" s="685">
        <f t="shared" si="520"/>
        <v>19.600000000000001</v>
      </c>
      <c r="AB1005" s="691">
        <f t="shared" si="520"/>
        <v>0</v>
      </c>
      <c r="AC1005" s="439"/>
    </row>
    <row r="1006" spans="5:29">
      <c r="E1006" s="598"/>
      <c r="F1006" s="699"/>
      <c r="G1006" s="700"/>
      <c r="H1006" s="598"/>
      <c r="I1006" s="598"/>
      <c r="J1006" s="598"/>
      <c r="K1006" s="598"/>
      <c r="L1006" s="598"/>
      <c r="Q1006" s="438"/>
      <c r="R1006" s="439" t="s">
        <v>220</v>
      </c>
      <c r="S1006" s="440"/>
      <c r="T1006" s="441"/>
      <c r="U1006" s="441"/>
      <c r="V1006" s="442"/>
      <c r="W1006" s="444">
        <f>$B$27</f>
        <v>2834.5625</v>
      </c>
      <c r="X1006" s="444">
        <f>$B$29</f>
        <v>154</v>
      </c>
      <c r="Y1006" s="444">
        <f>$B$30</f>
        <v>63.91</v>
      </c>
      <c r="Z1006" s="444">
        <f>$B$31</f>
        <v>410.84312499999999</v>
      </c>
      <c r="AA1006" s="692">
        <f>$B$32</f>
        <v>39.683875</v>
      </c>
      <c r="AB1006" s="695">
        <f>$B$39</f>
        <v>500</v>
      </c>
      <c r="AC1006" s="439"/>
    </row>
    <row r="1007" spans="5:29">
      <c r="E1007" s="598"/>
      <c r="F1007" s="699"/>
      <c r="G1007" s="700"/>
      <c r="H1007" s="598"/>
      <c r="I1007" s="598"/>
      <c r="J1007" s="598"/>
      <c r="K1007" s="598"/>
      <c r="L1007" s="598"/>
      <c r="Q1007" s="438"/>
      <c r="R1007" s="439" t="s">
        <v>222</v>
      </c>
      <c r="S1007" s="440"/>
      <c r="T1007" s="441"/>
      <c r="U1007" s="441"/>
      <c r="V1007" s="442"/>
      <c r="W1007" s="284">
        <f t="shared" ref="W1007:AB1007" si="521">W1005-W1006</f>
        <v>-971.26250000000005</v>
      </c>
      <c r="X1007" s="284">
        <f t="shared" si="521"/>
        <v>33.819999999999993</v>
      </c>
      <c r="Y1007" s="284">
        <f t="shared" si="521"/>
        <v>-13.429999999999993</v>
      </c>
      <c r="Z1007" s="284">
        <f t="shared" si="521"/>
        <v>-285.52312499999999</v>
      </c>
      <c r="AA1007" s="690">
        <f t="shared" si="521"/>
        <v>-20.083874999999999</v>
      </c>
      <c r="AB1007" s="689">
        <f t="shared" si="521"/>
        <v>-500</v>
      </c>
      <c r="AC1007" s="439"/>
    </row>
    <row r="1008" spans="5:29">
      <c r="E1008" s="598"/>
      <c r="F1008" s="699"/>
      <c r="G1008" s="700"/>
      <c r="H1008" s="598"/>
      <c r="I1008" s="598"/>
      <c r="J1008" s="598"/>
      <c r="K1008" s="598"/>
      <c r="L1008" s="598"/>
      <c r="Q1008" s="432">
        <v>46096</v>
      </c>
      <c r="R1008" s="433">
        <v>8.3333333333333329E-2</v>
      </c>
      <c r="S1008" s="434" t="s">
        <v>289</v>
      </c>
      <c r="T1008" s="434" t="s">
        <v>190</v>
      </c>
      <c r="U1008" s="435">
        <v>3</v>
      </c>
      <c r="V1008" s="436" t="str">
        <f>IFERROR(VLOOKUP(T1008, $E$5:$L$818, 3, FALSE), "")</f>
        <v>medium</v>
      </c>
      <c r="W1008" s="437">
        <f>IFERROR(VLOOKUP(T1008, $E$5:$L$818, 4, FALSE) * (U1008 / VLOOKUP(T1008, $E$5:$L$818, 2, FALSE)), "")</f>
        <v>186</v>
      </c>
      <c r="X1008" s="437">
        <f>IFERROR(VLOOKUP(T1008, $E$5:$L$818, 5, FALSE) * (U1008 / VLOOKUP(T1008, $E$5:$L$818, 2, FALSE)), "")</f>
        <v>3.5999999999999996</v>
      </c>
      <c r="Y1008" s="437">
        <f>IFERROR(VLOOKUP(T1008, $E$5:$L$818, 6, FALSE) * (U1008 / VLOOKUP(T1008, $E$5:$L$818, 2, FALSE)), "")</f>
        <v>0.60000000000000009</v>
      </c>
      <c r="Z1008" s="437">
        <f>IFERROR(VLOOKUP(T1008, $E$5:$L$818, 7, FALSE) * (U1008 / VLOOKUP(T1008, $E$5:$L$818, 2, FALSE)), "")</f>
        <v>46.2</v>
      </c>
      <c r="AA1008" s="437">
        <f>IFERROR(VLOOKUP(T1008, $E$5:$L$818, 8, FALSE) * (U1008 / VLOOKUP(T1008, $E$5:$L$818, 2, FALSE)), "")</f>
        <v>9.3000000000000007</v>
      </c>
      <c r="AB1008" s="674">
        <f t="shared" ref="AB1008:AB1017" si="522">IFERROR(VLOOKUP(T1008, $E$5:$O$818, 9, FALSE) * (U1008 / VLOOKUP(T1008, $E$5:$O$818, 2, FALSE)), "")</f>
        <v>0</v>
      </c>
      <c r="AC1008" s="434"/>
    </row>
    <row r="1009" spans="5:29">
      <c r="E1009" s="598"/>
      <c r="F1009" s="699"/>
      <c r="G1009" s="700"/>
      <c r="H1009" s="598"/>
      <c r="I1009" s="598"/>
      <c r="J1009" s="598"/>
      <c r="K1009" s="598"/>
      <c r="L1009" s="598"/>
      <c r="Q1009" s="432">
        <v>46096</v>
      </c>
      <c r="R1009" s="433">
        <v>0.54166666666666663</v>
      </c>
      <c r="S1009" s="434" t="s">
        <v>185</v>
      </c>
      <c r="T1009" s="434" t="s">
        <v>181</v>
      </c>
      <c r="U1009" s="435">
        <v>2</v>
      </c>
      <c r="V1009" s="436" t="str">
        <f>IFERROR(VLOOKUP(T1009, $E$5:$L$818, 3, FALSE), "")</f>
        <v>slice</v>
      </c>
      <c r="W1009" s="437">
        <f>IFERROR(VLOOKUP(T1009, $E$5:$L$818, 4, FALSE) * (U1009 / VLOOKUP(T1009, $E$5:$L$818, 2, FALSE)), "")</f>
        <v>140</v>
      </c>
      <c r="X1009" s="437">
        <f>IFERROR(VLOOKUP(T1009, $E$5:$L$818, 5, FALSE) * (U1009 / VLOOKUP(T1009, $E$5:$L$818, 2, FALSE)), "")</f>
        <v>5</v>
      </c>
      <c r="Y1009" s="437">
        <f>IFERROR(VLOOKUP(T1009, $E$5:$L$818, 6, FALSE) * (U1009 / VLOOKUP(T1009, $E$5:$L$818, 2, FALSE)), "")</f>
        <v>2.5</v>
      </c>
      <c r="Z1009" s="437">
        <f>IFERROR(VLOOKUP(T1009, $E$5:$L$818, 7, FALSE) * (U1009 / VLOOKUP(T1009, $E$5:$L$818, 2, FALSE)), "")</f>
        <v>24</v>
      </c>
      <c r="AA1009" s="437">
        <f>IFERROR(VLOOKUP(T1009, $E$5:$L$818, 8, FALSE) * (U1009 / VLOOKUP(T1009, $E$5:$L$818, 2, FALSE)), "")</f>
        <v>2</v>
      </c>
      <c r="AB1009" s="584">
        <f t="shared" si="522"/>
        <v>0</v>
      </c>
      <c r="AC1009" s="434"/>
    </row>
    <row r="1010" spans="5:29">
      <c r="E1010" s="598"/>
      <c r="F1010" s="699"/>
      <c r="G1010" s="700"/>
      <c r="H1010" s="598"/>
      <c r="I1010" s="598"/>
      <c r="J1010" s="598"/>
      <c r="K1010" s="598"/>
      <c r="L1010" s="598"/>
      <c r="Q1010" s="432">
        <v>46096</v>
      </c>
      <c r="R1010" s="433">
        <v>0.54166666666666663</v>
      </c>
      <c r="S1010" s="434" t="s">
        <v>185</v>
      </c>
      <c r="T1010" s="434" t="s">
        <v>463</v>
      </c>
      <c r="U1010" s="435">
        <v>1</v>
      </c>
      <c r="V1010" s="436" t="str">
        <f t="shared" ref="V1010:V1017" si="523">IFERROR(VLOOKUP(T1010, $E$5:$L$818, 3, FALSE), "")</f>
        <v>bottle</v>
      </c>
      <c r="W1010" s="437">
        <f t="shared" ref="W1010:W1017" si="524">IFERROR(VLOOKUP(T1010, $E$5:$L$818, 4, FALSE) * (U1010 / VLOOKUP(T1010, $E$5:$L$818, 2, FALSE)), "")</f>
        <v>190</v>
      </c>
      <c r="X1010" s="437">
        <f t="shared" ref="X1010:X1017" si="525">IFERROR(VLOOKUP(T1010, $E$5:$L$818, 5, FALSE) * (U1010 / VLOOKUP(T1010, $E$5:$L$818, 2, FALSE)), "")</f>
        <v>35</v>
      </c>
      <c r="Y1010" s="437">
        <f t="shared" ref="Y1010:Y1017" si="526">IFERROR(VLOOKUP(T1010, $E$5:$L$818, 6, FALSE) * (U1010 / VLOOKUP(T1010, $E$5:$L$818, 2, FALSE)), "")</f>
        <v>2</v>
      </c>
      <c r="Z1010" s="437">
        <f t="shared" ref="Z1010:Z1017" si="527">IFERROR(VLOOKUP(T1010, $E$5:$L$818, 7, FALSE) * (U1010 / VLOOKUP(T1010, $E$5:$L$818, 2, FALSE)), "")</f>
        <v>9</v>
      </c>
      <c r="AA1010" s="437">
        <f t="shared" ref="AA1010:AA1017" si="528">IFERROR(VLOOKUP(T1010, $E$5:$L$818, 8, FALSE) * (U1010 / VLOOKUP(T1010, $E$5:$L$818, 2, FALSE)), "")</f>
        <v>0</v>
      </c>
      <c r="AB1010" s="584">
        <f t="shared" si="522"/>
        <v>0</v>
      </c>
      <c r="AC1010" s="434"/>
    </row>
    <row r="1011" spans="5:29">
      <c r="E1011" s="598"/>
      <c r="F1011" s="699"/>
      <c r="G1011" s="700"/>
      <c r="H1011" s="598"/>
      <c r="I1011" s="598"/>
      <c r="J1011" s="598"/>
      <c r="K1011" s="598"/>
      <c r="L1011" s="598"/>
      <c r="Q1011" s="432">
        <v>46096</v>
      </c>
      <c r="R1011" s="433">
        <v>0.66666666666666663</v>
      </c>
      <c r="S1011" s="434" t="s">
        <v>199</v>
      </c>
      <c r="T1011" s="434" t="s">
        <v>176</v>
      </c>
      <c r="U1011" s="435">
        <v>420</v>
      </c>
      <c r="V1011" s="436" t="str">
        <f t="shared" si="523"/>
        <v>g</v>
      </c>
      <c r="W1011" s="437">
        <f t="shared" si="524"/>
        <v>693</v>
      </c>
      <c r="X1011" s="437">
        <f t="shared" si="525"/>
        <v>105</v>
      </c>
      <c r="Y1011" s="437">
        <f t="shared" si="526"/>
        <v>15.120000000000001</v>
      </c>
      <c r="Z1011" s="437">
        <f t="shared" si="527"/>
        <v>0</v>
      </c>
      <c r="AA1011" s="437">
        <f t="shared" si="528"/>
        <v>0</v>
      </c>
      <c r="AB1011" s="584">
        <f t="shared" si="522"/>
        <v>0</v>
      </c>
      <c r="AC1011" s="434"/>
    </row>
    <row r="1012" spans="5:29">
      <c r="E1012" s="598"/>
      <c r="F1012" s="699"/>
      <c r="G1012" s="700"/>
      <c r="H1012" s="598"/>
      <c r="I1012" s="598"/>
      <c r="J1012" s="598"/>
      <c r="K1012" s="598"/>
      <c r="L1012" s="598"/>
      <c r="Q1012" s="432">
        <v>46096</v>
      </c>
      <c r="R1012" s="433">
        <v>0.66666666666666696</v>
      </c>
      <c r="S1012" s="434" t="s">
        <v>199</v>
      </c>
      <c r="T1012" s="434" t="s">
        <v>753</v>
      </c>
      <c r="U1012" s="435">
        <v>129</v>
      </c>
      <c r="V1012" s="436" t="str">
        <f t="shared" si="523"/>
        <v>g</v>
      </c>
      <c r="W1012" s="437">
        <f t="shared" si="524"/>
        <v>167.70000000000002</v>
      </c>
      <c r="X1012" s="437">
        <f t="shared" si="525"/>
        <v>1.29</v>
      </c>
      <c r="Y1012" s="437">
        <f t="shared" si="526"/>
        <v>0</v>
      </c>
      <c r="Z1012" s="437">
        <f t="shared" si="527"/>
        <v>39.99</v>
      </c>
      <c r="AA1012" s="437">
        <f t="shared" si="528"/>
        <v>3.87</v>
      </c>
      <c r="AB1012" s="584">
        <f t="shared" si="522"/>
        <v>0</v>
      </c>
      <c r="AC1012" s="434"/>
    </row>
    <row r="1013" spans="5:29">
      <c r="E1013" s="598"/>
      <c r="F1013" s="699"/>
      <c r="G1013" s="700"/>
      <c r="H1013" s="598"/>
      <c r="I1013" s="598"/>
      <c r="J1013" s="598"/>
      <c r="K1013" s="598"/>
      <c r="L1013" s="598"/>
      <c r="Q1013" s="432">
        <v>46096</v>
      </c>
      <c r="R1013" s="433">
        <v>0.70833333333333337</v>
      </c>
      <c r="S1013" s="434" t="s">
        <v>289</v>
      </c>
      <c r="T1013" s="434" t="s">
        <v>292</v>
      </c>
      <c r="U1013" s="435">
        <v>2</v>
      </c>
      <c r="V1013" s="436" t="str">
        <f t="shared" si="523"/>
        <v>bar</v>
      </c>
      <c r="W1013" s="437">
        <f t="shared" si="524"/>
        <v>500</v>
      </c>
      <c r="X1013" s="437">
        <f t="shared" si="525"/>
        <v>6</v>
      </c>
      <c r="Y1013" s="437">
        <f t="shared" si="526"/>
        <v>30</v>
      </c>
      <c r="Z1013" s="437">
        <f t="shared" si="527"/>
        <v>52</v>
      </c>
      <c r="AA1013" s="437">
        <f t="shared" si="528"/>
        <v>0</v>
      </c>
      <c r="AB1013" s="584">
        <f t="shared" si="522"/>
        <v>0</v>
      </c>
      <c r="AC1013" s="434"/>
    </row>
    <row r="1014" spans="5:29">
      <c r="E1014" s="598"/>
      <c r="F1014" s="699"/>
      <c r="G1014" s="700"/>
      <c r="H1014" s="598"/>
      <c r="I1014" s="598"/>
      <c r="J1014" s="598"/>
      <c r="K1014" s="598"/>
      <c r="L1014" s="598"/>
      <c r="Q1014" s="432">
        <v>46096</v>
      </c>
      <c r="R1014" s="433">
        <v>0.70833333333333304</v>
      </c>
      <c r="S1014" s="434" t="s">
        <v>289</v>
      </c>
      <c r="T1014" s="434" t="s">
        <v>778</v>
      </c>
      <c r="U1014" s="435">
        <v>1</v>
      </c>
      <c r="V1014" s="436" t="str">
        <f t="shared" si="523"/>
        <v>can</v>
      </c>
      <c r="W1014" s="437">
        <f t="shared" si="524"/>
        <v>0</v>
      </c>
      <c r="X1014" s="437">
        <f t="shared" si="525"/>
        <v>0</v>
      </c>
      <c r="Y1014" s="437">
        <f t="shared" si="526"/>
        <v>0</v>
      </c>
      <c r="Z1014" s="437">
        <f t="shared" si="527"/>
        <v>1</v>
      </c>
      <c r="AA1014" s="437">
        <f t="shared" si="528"/>
        <v>0</v>
      </c>
      <c r="AB1014" s="584">
        <f t="shared" si="522"/>
        <v>0</v>
      </c>
      <c r="AC1014" s="434"/>
    </row>
    <row r="1015" spans="5:29">
      <c r="E1015" s="598"/>
      <c r="F1015" s="699"/>
      <c r="G1015" s="700"/>
      <c r="H1015" s="598"/>
      <c r="I1015" s="598"/>
      <c r="J1015" s="598"/>
      <c r="K1015" s="598"/>
      <c r="L1015" s="598"/>
      <c r="Q1015" s="432">
        <v>46096</v>
      </c>
      <c r="R1015" s="433">
        <v>0.75</v>
      </c>
      <c r="S1015" s="434" t="s">
        <v>289</v>
      </c>
      <c r="T1015" s="434" t="s">
        <v>214</v>
      </c>
      <c r="U1015" s="435">
        <v>1</v>
      </c>
      <c r="V1015" s="436" t="str">
        <f t="shared" si="523"/>
        <v>bar</v>
      </c>
      <c r="W1015" s="437">
        <f t="shared" si="524"/>
        <v>67</v>
      </c>
      <c r="X1015" s="437">
        <f t="shared" si="525"/>
        <v>1</v>
      </c>
      <c r="Y1015" s="437">
        <f t="shared" si="526"/>
        <v>3.5</v>
      </c>
      <c r="Z1015" s="437">
        <f t="shared" si="527"/>
        <v>22</v>
      </c>
      <c r="AA1015" s="437">
        <f t="shared" si="528"/>
        <v>0.3</v>
      </c>
      <c r="AB1015" s="584">
        <f t="shared" si="522"/>
        <v>0</v>
      </c>
      <c r="AC1015" s="434"/>
    </row>
    <row r="1016" spans="5:29">
      <c r="E1016" s="598"/>
      <c r="F1016" s="699"/>
      <c r="G1016" s="700"/>
      <c r="H1016" s="598"/>
      <c r="I1016" s="598"/>
      <c r="J1016" s="598"/>
      <c r="K1016" s="598"/>
      <c r="L1016" s="598"/>
      <c r="Q1016" s="432">
        <v>46096</v>
      </c>
      <c r="R1016" s="433">
        <v>0.91666666666666663</v>
      </c>
      <c r="S1016" s="434" t="s">
        <v>199</v>
      </c>
      <c r="T1016" s="434" t="s">
        <v>209</v>
      </c>
      <c r="U1016" s="435">
        <v>3</v>
      </c>
      <c r="V1016" s="436" t="str">
        <f t="shared" si="523"/>
        <v>tbsp</v>
      </c>
      <c r="W1016" s="437">
        <f t="shared" si="524"/>
        <v>60</v>
      </c>
      <c r="X1016" s="437">
        <f t="shared" si="525"/>
        <v>0</v>
      </c>
      <c r="Y1016" s="437">
        <f t="shared" si="526"/>
        <v>0</v>
      </c>
      <c r="Z1016" s="437">
        <f t="shared" si="527"/>
        <v>15</v>
      </c>
      <c r="AA1016" s="437">
        <f t="shared" si="528"/>
        <v>13.5</v>
      </c>
      <c r="AB1016" s="584">
        <f t="shared" si="522"/>
        <v>0</v>
      </c>
      <c r="AC1016" s="434"/>
    </row>
    <row r="1017" spans="5:29">
      <c r="E1017" s="598"/>
      <c r="F1017" s="699"/>
      <c r="G1017" s="700"/>
      <c r="H1017" s="598"/>
      <c r="I1017" s="598"/>
      <c r="J1017" s="598"/>
      <c r="K1017" s="598"/>
      <c r="L1017" s="598"/>
      <c r="Q1017" s="432">
        <v>46096</v>
      </c>
      <c r="R1017" s="433">
        <v>0.91666666666666696</v>
      </c>
      <c r="S1017" s="434" t="s">
        <v>289</v>
      </c>
      <c r="T1017" s="434" t="s">
        <v>212</v>
      </c>
      <c r="U1017" s="435">
        <v>1</v>
      </c>
      <c r="V1017" s="436" t="str">
        <f t="shared" si="523"/>
        <v>bottle</v>
      </c>
      <c r="W1017" s="437">
        <f t="shared" si="524"/>
        <v>70</v>
      </c>
      <c r="X1017" s="437">
        <f t="shared" si="525"/>
        <v>0</v>
      </c>
      <c r="Y1017" s="437">
        <f t="shared" si="526"/>
        <v>0</v>
      </c>
      <c r="Z1017" s="437">
        <f t="shared" si="527"/>
        <v>17</v>
      </c>
      <c r="AA1017" s="437">
        <f t="shared" si="528"/>
        <v>1</v>
      </c>
      <c r="AB1017" s="684">
        <f t="shared" si="522"/>
        <v>0</v>
      </c>
      <c r="AC1017" s="434"/>
    </row>
    <row r="1018" spans="5:29">
      <c r="E1018" s="598"/>
      <c r="F1018" s="699"/>
      <c r="G1018" s="700"/>
      <c r="H1018" s="598"/>
      <c r="I1018" s="598"/>
      <c r="J1018" s="598"/>
      <c r="K1018" s="598"/>
      <c r="L1018" s="598"/>
      <c r="Q1018" s="438"/>
      <c r="R1018" s="439" t="s">
        <v>217</v>
      </c>
      <c r="S1018" s="440"/>
      <c r="T1018" s="441"/>
      <c r="U1018" s="441"/>
      <c r="V1018" s="442"/>
      <c r="W1018" s="443">
        <f t="shared" ref="W1018:AB1018" si="529">SUM(W1008:W1017)</f>
        <v>2073.6999999999998</v>
      </c>
      <c r="X1018" s="443">
        <f t="shared" si="529"/>
        <v>156.88999999999999</v>
      </c>
      <c r="Y1018" s="443">
        <f t="shared" si="529"/>
        <v>53.72</v>
      </c>
      <c r="Z1018" s="443">
        <f t="shared" si="529"/>
        <v>226.19</v>
      </c>
      <c r="AA1018" s="685">
        <f t="shared" si="529"/>
        <v>29.970000000000002</v>
      </c>
      <c r="AB1018" s="691">
        <f t="shared" si="529"/>
        <v>0</v>
      </c>
      <c r="AC1018" s="439"/>
    </row>
    <row r="1019" spans="5:29">
      <c r="E1019" s="598"/>
      <c r="F1019" s="699"/>
      <c r="G1019" s="700"/>
      <c r="H1019" s="598"/>
      <c r="I1019" s="598"/>
      <c r="J1019" s="598"/>
      <c r="K1019" s="598"/>
      <c r="L1019" s="598"/>
      <c r="Q1019" s="438"/>
      <c r="R1019" s="439" t="s">
        <v>220</v>
      </c>
      <c r="S1019" s="440"/>
      <c r="T1019" s="441"/>
      <c r="U1019" s="441"/>
      <c r="V1019" s="442"/>
      <c r="W1019" s="444">
        <f>$B$27</f>
        <v>2834.5625</v>
      </c>
      <c r="X1019" s="444">
        <f>$B$29</f>
        <v>154</v>
      </c>
      <c r="Y1019" s="444">
        <f>$B$30</f>
        <v>63.91</v>
      </c>
      <c r="Z1019" s="444">
        <f>$B$31</f>
        <v>410.84312499999999</v>
      </c>
      <c r="AA1019" s="692">
        <f>$B$32</f>
        <v>39.683875</v>
      </c>
      <c r="AB1019" s="695">
        <f>$B$39</f>
        <v>500</v>
      </c>
      <c r="AC1019" s="439"/>
    </row>
    <row r="1020" spans="5:29">
      <c r="E1020" s="598"/>
      <c r="F1020" s="699"/>
      <c r="G1020" s="700"/>
      <c r="H1020" s="598"/>
      <c r="I1020" s="598"/>
      <c r="J1020" s="598"/>
      <c r="K1020" s="598"/>
      <c r="L1020" s="598"/>
      <c r="Q1020" s="438"/>
      <c r="R1020" s="439" t="s">
        <v>222</v>
      </c>
      <c r="S1020" s="440"/>
      <c r="T1020" s="441"/>
      <c r="U1020" s="441"/>
      <c r="V1020" s="442"/>
      <c r="W1020" s="284">
        <f t="shared" ref="W1020:AB1020" si="530">W1018-W1019</f>
        <v>-760.86250000000018</v>
      </c>
      <c r="X1020" s="284">
        <f t="shared" si="530"/>
        <v>2.8899999999999864</v>
      </c>
      <c r="Y1020" s="284">
        <f t="shared" si="530"/>
        <v>-10.189999999999998</v>
      </c>
      <c r="Z1020" s="284">
        <f t="shared" si="530"/>
        <v>-184.65312499999999</v>
      </c>
      <c r="AA1020" s="690">
        <f t="shared" si="530"/>
        <v>-9.713874999999998</v>
      </c>
      <c r="AB1020" s="689">
        <f t="shared" si="530"/>
        <v>-500</v>
      </c>
      <c r="AC1020" s="439"/>
    </row>
    <row r="1021" spans="5:29">
      <c r="E1021" s="598"/>
      <c r="F1021" s="699"/>
      <c r="G1021" s="700"/>
      <c r="H1021" s="598"/>
      <c r="I1021" s="598"/>
      <c r="J1021" s="598"/>
      <c r="K1021" s="598"/>
      <c r="L1021" s="598"/>
      <c r="Q1021" s="432">
        <v>46097</v>
      </c>
      <c r="R1021" s="433">
        <v>0.33333333333333331</v>
      </c>
      <c r="S1021" s="434" t="s">
        <v>178</v>
      </c>
      <c r="T1021" s="434" t="s">
        <v>234</v>
      </c>
      <c r="U1021" s="435">
        <v>1</v>
      </c>
      <c r="V1021" s="436" t="str">
        <f t="shared" ref="V1021:V1036" si="531">IFERROR(VLOOKUP(T1021, $E$5:$L$818, 3, FALSE), "")</f>
        <v>can</v>
      </c>
      <c r="W1021" s="437">
        <f>IFERROR(VLOOKUP(T1021, $E$5:$L$818, 4, FALSE) * (U1021 / VLOOKUP(T1021, $E$5:$L$818, 2, FALSE)), "")</f>
        <v>260</v>
      </c>
      <c r="X1021" s="437">
        <f>IFERROR(VLOOKUP(T1021, $E$5:$L$818, 5, FALSE) * (U1021 / VLOOKUP(T1021, $E$5:$L$818, 2, FALSE)), "")</f>
        <v>30</v>
      </c>
      <c r="Y1021" s="437">
        <f>IFERROR(VLOOKUP(T1021, $E$5:$L$818, 6, FALSE) * (U1021 / VLOOKUP(T1021, $E$5:$L$818, 2, FALSE)), "")</f>
        <v>16</v>
      </c>
      <c r="Z1021" s="437">
        <f>IFERROR(VLOOKUP(T1021, $E$5:$L$818, 7, FALSE) * (U1021 / VLOOKUP(T1021, $E$5:$L$818, 2, FALSE)), "")</f>
        <v>2</v>
      </c>
      <c r="AA1021" s="437">
        <f>IFERROR(VLOOKUP(T1021, $E$5:$L$818, 8, FALSE) * (U1021 / VLOOKUP(T1021, $E$5:$L$818, 2, FALSE)), "")</f>
        <v>0</v>
      </c>
      <c r="AB1021" s="674">
        <f t="shared" ref="AB1021:AB1036" si="532">IFERROR(VLOOKUP(T1021, $E$5:$O$818, 9, FALSE) * (U1021 / VLOOKUP(T1021, $E$5:$O$818, 2, FALSE)), "")</f>
        <v>1300</v>
      </c>
      <c r="AC1021" s="434"/>
    </row>
    <row r="1022" spans="5:29">
      <c r="E1022" s="598"/>
      <c r="F1022" s="699"/>
      <c r="G1022" s="700"/>
      <c r="H1022" s="598"/>
      <c r="I1022" s="598"/>
      <c r="J1022" s="598"/>
      <c r="K1022" s="598"/>
      <c r="L1022" s="598"/>
      <c r="Q1022" s="432">
        <v>46097</v>
      </c>
      <c r="R1022" s="433">
        <v>0.33333333333333298</v>
      </c>
      <c r="S1022" s="434" t="s">
        <v>178</v>
      </c>
      <c r="T1022" s="434" t="s">
        <v>825</v>
      </c>
      <c r="U1022" s="435">
        <v>1</v>
      </c>
      <c r="V1022" s="436" t="str">
        <f t="shared" si="531"/>
        <v>container</v>
      </c>
      <c r="W1022" s="437">
        <f>IFERROR(VLOOKUP(T1022, $E$5:$L$818, 4, FALSE) * (U1022 / VLOOKUP(T1022, $E$5:$L$818, 2, FALSE)), "")</f>
        <v>420</v>
      </c>
      <c r="X1022" s="437">
        <f>IFERROR(VLOOKUP(T1022, $E$5:$L$818, 5, FALSE) * (U1022 / VLOOKUP(T1022, $E$5:$L$818, 2, FALSE)), "")</f>
        <v>12</v>
      </c>
      <c r="Y1022" s="437">
        <f>IFERROR(VLOOKUP(T1022, $E$5:$L$818, 6, FALSE) * (U1022 / VLOOKUP(T1022, $E$5:$L$818, 2, FALSE)), "")</f>
        <v>12</v>
      </c>
      <c r="Z1022" s="437">
        <f>IFERROR(VLOOKUP(T1022, $E$5:$L$818, 7, FALSE) * (U1022 / VLOOKUP(T1022, $E$5:$L$818, 2, FALSE)), "")</f>
        <v>65</v>
      </c>
      <c r="AA1022" s="437">
        <f>IFERROR(VLOOKUP(T1022, $E$5:$L$818, 8, FALSE) * (U1022 / VLOOKUP(T1022, $E$5:$L$818, 2, FALSE)), "")</f>
        <v>3</v>
      </c>
      <c r="AB1022" s="584">
        <f t="shared" si="532"/>
        <v>40</v>
      </c>
      <c r="AC1022" s="434"/>
    </row>
    <row r="1023" spans="5:29">
      <c r="E1023" s="598"/>
      <c r="F1023" s="699"/>
      <c r="G1023" s="700"/>
      <c r="H1023" s="598"/>
      <c r="I1023" s="598"/>
      <c r="J1023" s="598"/>
      <c r="K1023" s="598"/>
      <c r="L1023" s="598"/>
      <c r="Q1023" s="432">
        <v>46097</v>
      </c>
      <c r="R1023" s="433">
        <v>0.33333333333333298</v>
      </c>
      <c r="S1023" s="434" t="s">
        <v>178</v>
      </c>
      <c r="T1023" s="434" t="s">
        <v>463</v>
      </c>
      <c r="U1023" s="435">
        <v>1</v>
      </c>
      <c r="V1023" s="436" t="str">
        <f t="shared" si="531"/>
        <v>bottle</v>
      </c>
      <c r="W1023" s="437">
        <f t="shared" ref="W1023:W1036" si="533">IFERROR(VLOOKUP(T1023, $E$5:$L$818, 4, FALSE) * (U1023 / VLOOKUP(T1023, $E$5:$L$818, 2, FALSE)), "")</f>
        <v>190</v>
      </c>
      <c r="X1023" s="437">
        <f t="shared" ref="X1023:X1036" si="534">IFERROR(VLOOKUP(T1023, $E$5:$L$818, 5, FALSE) * (U1023 / VLOOKUP(T1023, $E$5:$L$818, 2, FALSE)), "")</f>
        <v>35</v>
      </c>
      <c r="Y1023" s="437">
        <f t="shared" ref="Y1023:Y1036" si="535">IFERROR(VLOOKUP(T1023, $E$5:$L$818, 6, FALSE) * (U1023 / VLOOKUP(T1023, $E$5:$L$818, 2, FALSE)), "")</f>
        <v>2</v>
      </c>
      <c r="Z1023" s="437">
        <f t="shared" ref="Z1023:Z1036" si="536">IFERROR(VLOOKUP(T1023, $E$5:$L$818, 7, FALSE) * (U1023 / VLOOKUP(T1023, $E$5:$L$818, 2, FALSE)), "")</f>
        <v>9</v>
      </c>
      <c r="AA1023" s="437">
        <f t="shared" ref="AA1023:AA1036" si="537">IFERROR(VLOOKUP(T1023, $E$5:$L$818, 8, FALSE) * (U1023 / VLOOKUP(T1023, $E$5:$L$818, 2, FALSE)), "")</f>
        <v>0</v>
      </c>
      <c r="AB1023" s="584">
        <f t="shared" si="532"/>
        <v>0</v>
      </c>
      <c r="AC1023" s="434"/>
    </row>
    <row r="1024" spans="5:29">
      <c r="E1024" s="598"/>
      <c r="F1024" s="699"/>
      <c r="G1024" s="700"/>
      <c r="H1024" s="598"/>
      <c r="I1024" s="598"/>
      <c r="J1024" s="598"/>
      <c r="K1024" s="598"/>
      <c r="L1024" s="598"/>
      <c r="Q1024" s="432">
        <v>46097</v>
      </c>
      <c r="R1024" s="433">
        <v>0.33333333333333298</v>
      </c>
      <c r="S1024" s="434" t="s">
        <v>289</v>
      </c>
      <c r="T1024" s="434" t="s">
        <v>830</v>
      </c>
      <c r="U1024" s="435">
        <v>1</v>
      </c>
      <c r="V1024" s="436" t="str">
        <f t="shared" si="531"/>
        <v>pieces</v>
      </c>
      <c r="W1024" s="437">
        <f t="shared" si="533"/>
        <v>49</v>
      </c>
      <c r="X1024" s="437">
        <f t="shared" si="534"/>
        <v>0</v>
      </c>
      <c r="Y1024" s="437">
        <f t="shared" si="535"/>
        <v>0.5</v>
      </c>
      <c r="Z1024" s="437">
        <f t="shared" si="536"/>
        <v>11</v>
      </c>
      <c r="AA1024" s="437">
        <f t="shared" si="537"/>
        <v>0.5</v>
      </c>
      <c r="AB1024" s="584">
        <f t="shared" si="532"/>
        <v>0</v>
      </c>
      <c r="AC1024" s="434"/>
    </row>
    <row r="1025" spans="5:29">
      <c r="E1025" s="598"/>
      <c r="F1025" s="699"/>
      <c r="G1025" s="700"/>
      <c r="H1025" s="598"/>
      <c r="I1025" s="598"/>
      <c r="J1025" s="598"/>
      <c r="K1025" s="598"/>
      <c r="L1025" s="598"/>
      <c r="Q1025" s="432">
        <v>46097</v>
      </c>
      <c r="R1025" s="433">
        <v>0.45833333333333331</v>
      </c>
      <c r="S1025" s="434" t="s">
        <v>289</v>
      </c>
      <c r="T1025" s="434" t="s">
        <v>214</v>
      </c>
      <c r="U1025" s="435">
        <v>1</v>
      </c>
      <c r="V1025" s="436" t="str">
        <f t="shared" si="531"/>
        <v>bar</v>
      </c>
      <c r="W1025" s="437">
        <f t="shared" si="533"/>
        <v>67</v>
      </c>
      <c r="X1025" s="437">
        <f t="shared" si="534"/>
        <v>1</v>
      </c>
      <c r="Y1025" s="437">
        <f t="shared" si="535"/>
        <v>3.5</v>
      </c>
      <c r="Z1025" s="437">
        <f t="shared" si="536"/>
        <v>22</v>
      </c>
      <c r="AA1025" s="437">
        <f t="shared" si="537"/>
        <v>0.3</v>
      </c>
      <c r="AB1025" s="584">
        <f t="shared" si="532"/>
        <v>0</v>
      </c>
      <c r="AC1025" s="434"/>
    </row>
    <row r="1026" spans="5:29">
      <c r="E1026" s="598"/>
      <c r="F1026" s="699"/>
      <c r="G1026" s="700"/>
      <c r="H1026" s="598"/>
      <c r="I1026" s="598"/>
      <c r="J1026" s="598"/>
      <c r="K1026" s="598"/>
      <c r="L1026" s="598"/>
      <c r="Q1026" s="432">
        <v>46097</v>
      </c>
      <c r="R1026" s="433">
        <v>0.45833333333333298</v>
      </c>
      <c r="S1026" s="434" t="s">
        <v>289</v>
      </c>
      <c r="T1026" s="434" t="s">
        <v>190</v>
      </c>
      <c r="U1026" s="435">
        <v>1</v>
      </c>
      <c r="V1026" s="436" t="str">
        <f t="shared" si="531"/>
        <v>medium</v>
      </c>
      <c r="W1026" s="437">
        <f t="shared" si="533"/>
        <v>62</v>
      </c>
      <c r="X1026" s="437">
        <f t="shared" si="534"/>
        <v>1.2</v>
      </c>
      <c r="Y1026" s="437">
        <f t="shared" si="535"/>
        <v>0.2</v>
      </c>
      <c r="Z1026" s="437">
        <f t="shared" si="536"/>
        <v>15.4</v>
      </c>
      <c r="AA1026" s="437">
        <f t="shared" si="537"/>
        <v>3.1</v>
      </c>
      <c r="AB1026" s="584">
        <f t="shared" si="532"/>
        <v>0</v>
      </c>
      <c r="AC1026" s="434"/>
    </row>
    <row r="1027" spans="5:29">
      <c r="E1027" s="598"/>
      <c r="F1027" s="699"/>
      <c r="G1027" s="700"/>
      <c r="H1027" s="598"/>
      <c r="I1027" s="598"/>
      <c r="J1027" s="598"/>
      <c r="K1027" s="598"/>
      <c r="L1027" s="598"/>
      <c r="Q1027" s="432">
        <v>46097</v>
      </c>
      <c r="R1027" s="433">
        <v>0.54166666666666663</v>
      </c>
      <c r="S1027" s="434" t="s">
        <v>185</v>
      </c>
      <c r="T1027" s="434" t="s">
        <v>829</v>
      </c>
      <c r="U1027" s="435">
        <v>1</v>
      </c>
      <c r="V1027" s="436" t="str">
        <f t="shared" si="531"/>
        <v>bowl</v>
      </c>
      <c r="W1027" s="437">
        <f t="shared" si="533"/>
        <v>380</v>
      </c>
      <c r="X1027" s="437">
        <f t="shared" si="534"/>
        <v>20</v>
      </c>
      <c r="Y1027" s="437">
        <f t="shared" si="535"/>
        <v>10</v>
      </c>
      <c r="Z1027" s="437">
        <f t="shared" si="536"/>
        <v>52</v>
      </c>
      <c r="AA1027" s="437">
        <f t="shared" si="537"/>
        <v>3</v>
      </c>
      <c r="AB1027" s="584">
        <f t="shared" si="532"/>
        <v>0</v>
      </c>
      <c r="AC1027" s="434"/>
    </row>
    <row r="1028" spans="5:29">
      <c r="E1028" s="598"/>
      <c r="F1028" s="699"/>
      <c r="G1028" s="700"/>
      <c r="H1028" s="598"/>
      <c r="I1028" s="598"/>
      <c r="J1028" s="598"/>
      <c r="K1028" s="598"/>
      <c r="L1028" s="598"/>
      <c r="Q1028" s="432">
        <v>46097</v>
      </c>
      <c r="R1028" s="433">
        <v>0.79166666666666663</v>
      </c>
      <c r="S1028" s="434" t="s">
        <v>289</v>
      </c>
      <c r="T1028" s="434" t="s">
        <v>827</v>
      </c>
      <c r="U1028" s="435">
        <v>1</v>
      </c>
      <c r="V1028" s="436" t="str">
        <f t="shared" si="531"/>
        <v>pack</v>
      </c>
      <c r="W1028" s="437">
        <f t="shared" si="533"/>
        <v>20</v>
      </c>
      <c r="X1028" s="437">
        <f t="shared" si="534"/>
        <v>0</v>
      </c>
      <c r="Y1028" s="437">
        <f t="shared" si="535"/>
        <v>0.5</v>
      </c>
      <c r="Z1028" s="437">
        <f t="shared" si="536"/>
        <v>3</v>
      </c>
      <c r="AA1028" s="437">
        <f t="shared" si="537"/>
        <v>0</v>
      </c>
      <c r="AB1028" s="584">
        <f t="shared" si="532"/>
        <v>0</v>
      </c>
      <c r="AC1028" s="434"/>
    </row>
    <row r="1029" spans="5:29">
      <c r="E1029" s="598"/>
      <c r="F1029" s="699"/>
      <c r="G1029" s="700"/>
      <c r="H1029" s="598"/>
      <c r="I1029" s="598"/>
      <c r="J1029" s="598"/>
      <c r="K1029" s="598"/>
      <c r="L1029" s="598"/>
      <c r="Q1029" s="432">
        <v>46097</v>
      </c>
      <c r="R1029" s="433">
        <v>0.79166666666666696</v>
      </c>
      <c r="S1029" s="434" t="s">
        <v>199</v>
      </c>
      <c r="T1029" s="434" t="s">
        <v>753</v>
      </c>
      <c r="U1029" s="435">
        <v>160</v>
      </c>
      <c r="V1029" s="436" t="str">
        <f t="shared" si="531"/>
        <v>g</v>
      </c>
      <c r="W1029" s="437">
        <f t="shared" si="533"/>
        <v>208</v>
      </c>
      <c r="X1029" s="437">
        <f t="shared" si="534"/>
        <v>1.6</v>
      </c>
      <c r="Y1029" s="437">
        <f t="shared" si="535"/>
        <v>0</v>
      </c>
      <c r="Z1029" s="437">
        <f t="shared" si="536"/>
        <v>49.6</v>
      </c>
      <c r="AA1029" s="437">
        <f t="shared" si="537"/>
        <v>4.8000000000000007</v>
      </c>
      <c r="AB1029" s="584">
        <f t="shared" si="532"/>
        <v>0</v>
      </c>
      <c r="AC1029" s="434"/>
    </row>
    <row r="1030" spans="5:29">
      <c r="E1030" s="598"/>
      <c r="F1030" s="699"/>
      <c r="G1030" s="700"/>
      <c r="H1030" s="598"/>
      <c r="I1030" s="598"/>
      <c r="J1030" s="598"/>
      <c r="K1030" s="598"/>
      <c r="L1030" s="598"/>
      <c r="Q1030" s="432">
        <v>46097</v>
      </c>
      <c r="R1030" s="433">
        <v>0.79166666666666696</v>
      </c>
      <c r="S1030" s="434" t="s">
        <v>199</v>
      </c>
      <c r="T1030" s="434" t="s">
        <v>176</v>
      </c>
      <c r="U1030" s="435">
        <v>252</v>
      </c>
      <c r="V1030" s="436" t="str">
        <f t="shared" si="531"/>
        <v>g</v>
      </c>
      <c r="W1030" s="437">
        <f t="shared" si="533"/>
        <v>415.8</v>
      </c>
      <c r="X1030" s="437">
        <f t="shared" si="534"/>
        <v>63</v>
      </c>
      <c r="Y1030" s="437">
        <f t="shared" si="535"/>
        <v>9.072000000000001</v>
      </c>
      <c r="Z1030" s="437">
        <f t="shared" si="536"/>
        <v>0</v>
      </c>
      <c r="AA1030" s="437">
        <f t="shared" si="537"/>
        <v>0</v>
      </c>
      <c r="AB1030" s="584">
        <f t="shared" si="532"/>
        <v>0</v>
      </c>
      <c r="AC1030" s="434"/>
    </row>
    <row r="1031" spans="5:29">
      <c r="E1031" s="598"/>
      <c r="F1031" s="699"/>
      <c r="G1031" s="700"/>
      <c r="H1031" s="598"/>
      <c r="I1031" s="598"/>
      <c r="J1031" s="598"/>
      <c r="K1031" s="598"/>
      <c r="L1031" s="598"/>
      <c r="Q1031" s="432">
        <v>46097</v>
      </c>
      <c r="R1031" s="433">
        <v>0.79166666666666696</v>
      </c>
      <c r="S1031" s="434" t="s">
        <v>289</v>
      </c>
      <c r="T1031" s="434" t="s">
        <v>828</v>
      </c>
      <c r="U1031" s="435">
        <v>1</v>
      </c>
      <c r="V1031" s="436" t="str">
        <f t="shared" si="531"/>
        <v>pack</v>
      </c>
      <c r="W1031" s="437">
        <f t="shared" si="533"/>
        <v>20</v>
      </c>
      <c r="X1031" s="437">
        <f t="shared" si="534"/>
        <v>0</v>
      </c>
      <c r="Y1031" s="437">
        <f t="shared" si="535"/>
        <v>0.5</v>
      </c>
      <c r="Z1031" s="437">
        <f t="shared" si="536"/>
        <v>3</v>
      </c>
      <c r="AA1031" s="437">
        <f t="shared" si="537"/>
        <v>0</v>
      </c>
      <c r="AB1031" s="584">
        <f t="shared" si="532"/>
        <v>0</v>
      </c>
      <c r="AC1031" s="434"/>
    </row>
    <row r="1032" spans="5:29">
      <c r="E1032" s="598"/>
      <c r="F1032" s="699"/>
      <c r="G1032" s="700"/>
      <c r="H1032" s="598"/>
      <c r="I1032" s="598"/>
      <c r="J1032" s="598"/>
      <c r="K1032" s="598"/>
      <c r="L1032" s="598"/>
      <c r="Q1032" s="432">
        <v>46097</v>
      </c>
      <c r="R1032" s="433">
        <v>0.79166666666666696</v>
      </c>
      <c r="S1032" s="434" t="s">
        <v>289</v>
      </c>
      <c r="T1032" s="434" t="s">
        <v>461</v>
      </c>
      <c r="U1032" s="435">
        <v>1</v>
      </c>
      <c r="V1032" s="436" t="str">
        <f t="shared" si="531"/>
        <v>chunks</v>
      </c>
      <c r="W1032" s="437">
        <f t="shared" si="533"/>
        <v>24.285714285714285</v>
      </c>
      <c r="X1032" s="437">
        <f t="shared" si="534"/>
        <v>0.42857142857142855</v>
      </c>
      <c r="Y1032" s="437">
        <f t="shared" si="535"/>
        <v>1.4285714285714284</v>
      </c>
      <c r="Z1032" s="437">
        <f t="shared" si="536"/>
        <v>2.5714285714285712</v>
      </c>
      <c r="AA1032" s="437">
        <f t="shared" si="537"/>
        <v>7.1428571428571425E-2</v>
      </c>
      <c r="AB1032" s="584">
        <f t="shared" si="532"/>
        <v>0</v>
      </c>
      <c r="AC1032" s="434"/>
    </row>
    <row r="1033" spans="5:29">
      <c r="E1033" s="598"/>
      <c r="F1033" s="699"/>
      <c r="G1033" s="700"/>
      <c r="H1033" s="598"/>
      <c r="I1033" s="598"/>
      <c r="J1033" s="598"/>
      <c r="K1033" s="598"/>
      <c r="L1033" s="598"/>
      <c r="Q1033" s="432">
        <v>46097</v>
      </c>
      <c r="R1033" s="433">
        <v>0.79166666666666696</v>
      </c>
      <c r="S1033" s="434" t="s">
        <v>199</v>
      </c>
      <c r="T1033" s="434" t="s">
        <v>181</v>
      </c>
      <c r="U1033" s="435">
        <v>2</v>
      </c>
      <c r="V1033" s="436" t="str">
        <f t="shared" si="531"/>
        <v>slice</v>
      </c>
      <c r="W1033" s="437">
        <f t="shared" si="533"/>
        <v>140</v>
      </c>
      <c r="X1033" s="437">
        <f t="shared" si="534"/>
        <v>5</v>
      </c>
      <c r="Y1033" s="437">
        <f t="shared" si="535"/>
        <v>2.5</v>
      </c>
      <c r="Z1033" s="437">
        <f t="shared" si="536"/>
        <v>24</v>
      </c>
      <c r="AA1033" s="437">
        <f t="shared" si="537"/>
        <v>2</v>
      </c>
      <c r="AB1033" s="584">
        <f t="shared" si="532"/>
        <v>0</v>
      </c>
      <c r="AC1033" s="434"/>
    </row>
    <row r="1034" spans="5:29">
      <c r="E1034" s="598"/>
      <c r="F1034" s="699"/>
      <c r="G1034" s="700"/>
      <c r="H1034" s="598"/>
      <c r="I1034" s="598"/>
      <c r="J1034" s="598"/>
      <c r="K1034" s="598"/>
      <c r="L1034" s="598"/>
      <c r="Q1034" s="432">
        <v>46097</v>
      </c>
      <c r="R1034" s="433">
        <v>0.91666666666666663</v>
      </c>
      <c r="S1034" s="434" t="s">
        <v>289</v>
      </c>
      <c r="T1034" s="434" t="s">
        <v>212</v>
      </c>
      <c r="U1034" s="435">
        <v>1</v>
      </c>
      <c r="V1034" s="436" t="str">
        <f t="shared" si="531"/>
        <v>bottle</v>
      </c>
      <c r="W1034" s="437">
        <f t="shared" si="533"/>
        <v>70</v>
      </c>
      <c r="X1034" s="437">
        <f t="shared" si="534"/>
        <v>0</v>
      </c>
      <c r="Y1034" s="437">
        <f t="shared" si="535"/>
        <v>0</v>
      </c>
      <c r="Z1034" s="437">
        <f t="shared" si="536"/>
        <v>17</v>
      </c>
      <c r="AA1034" s="437">
        <f t="shared" si="537"/>
        <v>1</v>
      </c>
      <c r="AB1034" s="584">
        <f t="shared" si="532"/>
        <v>0</v>
      </c>
      <c r="AC1034" s="434"/>
    </row>
    <row r="1035" spans="5:29">
      <c r="E1035" s="598"/>
      <c r="F1035" s="699"/>
      <c r="G1035" s="700"/>
      <c r="H1035" s="598"/>
      <c r="I1035" s="598"/>
      <c r="J1035" s="598"/>
      <c r="K1035" s="598"/>
      <c r="L1035" s="598"/>
      <c r="Q1035" s="432">
        <v>46097</v>
      </c>
      <c r="R1035" s="433">
        <v>0.91666666666666696</v>
      </c>
      <c r="S1035" s="434" t="s">
        <v>199</v>
      </c>
      <c r="T1035" s="434" t="s">
        <v>209</v>
      </c>
      <c r="U1035" s="435">
        <v>3</v>
      </c>
      <c r="V1035" s="436" t="str">
        <f t="shared" si="531"/>
        <v>tbsp</v>
      </c>
      <c r="W1035" s="437">
        <f t="shared" si="533"/>
        <v>60</v>
      </c>
      <c r="X1035" s="437">
        <f t="shared" si="534"/>
        <v>0</v>
      </c>
      <c r="Y1035" s="437">
        <f t="shared" si="535"/>
        <v>0</v>
      </c>
      <c r="Z1035" s="437">
        <f t="shared" si="536"/>
        <v>15</v>
      </c>
      <c r="AA1035" s="437">
        <f t="shared" si="537"/>
        <v>13.5</v>
      </c>
      <c r="AB1035" s="584">
        <f t="shared" si="532"/>
        <v>0</v>
      </c>
      <c r="AC1035" s="434"/>
    </row>
    <row r="1036" spans="5:29">
      <c r="E1036" s="598"/>
      <c r="F1036" s="699"/>
      <c r="G1036" s="700"/>
      <c r="H1036" s="598"/>
      <c r="I1036" s="598"/>
      <c r="J1036" s="598"/>
      <c r="K1036" s="598"/>
      <c r="L1036" s="598"/>
      <c r="Q1036" s="432">
        <v>46097</v>
      </c>
      <c r="R1036" s="433">
        <v>0.91666666666666696</v>
      </c>
      <c r="S1036" s="434" t="s">
        <v>289</v>
      </c>
      <c r="T1036" s="434" t="s">
        <v>279</v>
      </c>
      <c r="U1036" s="435">
        <v>2</v>
      </c>
      <c r="V1036" s="436" t="str">
        <f t="shared" si="531"/>
        <v>medium</v>
      </c>
      <c r="W1036" s="437">
        <f t="shared" si="533"/>
        <v>68</v>
      </c>
      <c r="X1036" s="437">
        <f t="shared" si="534"/>
        <v>1.2</v>
      </c>
      <c r="Y1036" s="437">
        <f t="shared" si="535"/>
        <v>0.4</v>
      </c>
      <c r="Z1036" s="437">
        <f t="shared" si="536"/>
        <v>16.399999999999999</v>
      </c>
      <c r="AA1036" s="437">
        <f t="shared" si="537"/>
        <v>4.2</v>
      </c>
      <c r="AB1036" s="684">
        <f t="shared" si="532"/>
        <v>0</v>
      </c>
      <c r="AC1036" s="434"/>
    </row>
    <row r="1037" spans="5:29">
      <c r="E1037" s="598"/>
      <c r="F1037" s="699"/>
      <c r="G1037" s="700"/>
      <c r="H1037" s="598"/>
      <c r="I1037" s="598"/>
      <c r="J1037" s="598"/>
      <c r="K1037" s="598"/>
      <c r="L1037" s="598"/>
      <c r="Q1037" s="438"/>
      <c r="R1037" s="439" t="s">
        <v>217</v>
      </c>
      <c r="S1037" s="440"/>
      <c r="T1037" s="441"/>
      <c r="U1037" s="441"/>
      <c r="V1037" s="442"/>
      <c r="W1037" s="443">
        <f t="shared" ref="W1037:AB1037" si="538">SUM(W1021:W1036)</f>
        <v>2454.0857142857144</v>
      </c>
      <c r="X1037" s="443">
        <f t="shared" si="538"/>
        <v>170.42857142857142</v>
      </c>
      <c r="Y1037" s="443">
        <f t="shared" si="538"/>
        <v>58.600571428571435</v>
      </c>
      <c r="Z1037" s="443">
        <f t="shared" si="538"/>
        <v>306.97142857142853</v>
      </c>
      <c r="AA1037" s="685">
        <f t="shared" si="538"/>
        <v>35.471428571428575</v>
      </c>
      <c r="AB1037" s="691">
        <f t="shared" si="538"/>
        <v>1340</v>
      </c>
      <c r="AC1037" s="439"/>
    </row>
    <row r="1038" spans="5:29">
      <c r="E1038" s="598"/>
      <c r="F1038" s="699"/>
      <c r="G1038" s="700"/>
      <c r="H1038" s="598"/>
      <c r="I1038" s="598"/>
      <c r="J1038" s="598"/>
      <c r="K1038" s="598"/>
      <c r="L1038" s="598"/>
      <c r="Q1038" s="438"/>
      <c r="R1038" s="439" t="s">
        <v>220</v>
      </c>
      <c r="S1038" s="440"/>
      <c r="T1038" s="441"/>
      <c r="U1038" s="441"/>
      <c r="V1038" s="442"/>
      <c r="W1038" s="444">
        <f>$B$27</f>
        <v>2834.5625</v>
      </c>
      <c r="X1038" s="444">
        <f>$B$29</f>
        <v>154</v>
      </c>
      <c r="Y1038" s="444">
        <f>$B$30</f>
        <v>63.91</v>
      </c>
      <c r="Z1038" s="444">
        <f>$B$31</f>
        <v>410.84312499999999</v>
      </c>
      <c r="AA1038" s="692">
        <f>$B$32</f>
        <v>39.683875</v>
      </c>
      <c r="AB1038" s="695">
        <f>$B$39</f>
        <v>500</v>
      </c>
      <c r="AC1038" s="439"/>
    </row>
    <row r="1039" spans="5:29">
      <c r="E1039" s="598"/>
      <c r="F1039" s="699"/>
      <c r="G1039" s="700"/>
      <c r="H1039" s="598"/>
      <c r="I1039" s="598"/>
      <c r="J1039" s="598"/>
      <c r="K1039" s="598"/>
      <c r="L1039" s="598"/>
      <c r="Q1039" s="438"/>
      <c r="R1039" s="439" t="s">
        <v>222</v>
      </c>
      <c r="S1039" s="440"/>
      <c r="T1039" s="441"/>
      <c r="U1039" s="441"/>
      <c r="V1039" s="442"/>
      <c r="W1039" s="284">
        <f t="shared" ref="W1039:AB1039" si="539">W1037-W1038</f>
        <v>-380.4767857142856</v>
      </c>
      <c r="X1039" s="284">
        <f t="shared" si="539"/>
        <v>16.428571428571416</v>
      </c>
      <c r="Y1039" s="284">
        <f t="shared" si="539"/>
        <v>-5.3094285714285618</v>
      </c>
      <c r="Z1039" s="284">
        <f t="shared" si="539"/>
        <v>-103.87169642857145</v>
      </c>
      <c r="AA1039" s="690">
        <f t="shared" si="539"/>
        <v>-4.2124464285714254</v>
      </c>
      <c r="AB1039" s="689">
        <f t="shared" si="539"/>
        <v>840</v>
      </c>
      <c r="AC1039" s="439"/>
    </row>
    <row r="1040" spans="5:29">
      <c r="E1040" s="598"/>
      <c r="F1040" s="699"/>
      <c r="G1040" s="700"/>
      <c r="H1040" s="598"/>
      <c r="I1040" s="598"/>
      <c r="J1040" s="598"/>
      <c r="K1040" s="598"/>
      <c r="L1040" s="598"/>
      <c r="Q1040" s="432">
        <v>46098</v>
      </c>
      <c r="R1040" s="433">
        <v>0.33333333333333331</v>
      </c>
      <c r="S1040" s="434" t="s">
        <v>178</v>
      </c>
      <c r="T1040" s="434" t="s">
        <v>753</v>
      </c>
      <c r="U1040" s="435">
        <v>180</v>
      </c>
      <c r="V1040" s="436" t="str">
        <f t="shared" ref="V1040:V1051" si="540">IFERROR(VLOOKUP(T1040, $E$5:$L$818, 3, FALSE), "")</f>
        <v>g</v>
      </c>
      <c r="W1040" s="437">
        <f>IFERROR(VLOOKUP(T1040, $E$5:$L$818, 4, FALSE) * (U1040 / VLOOKUP(T1040, $E$5:$L$818, 2, FALSE)), "")</f>
        <v>234</v>
      </c>
      <c r="X1040" s="437">
        <f>IFERROR(VLOOKUP(T1040, $E$5:$L$818, 5, FALSE) * (U1040 / VLOOKUP(T1040, $E$5:$L$818, 2, FALSE)), "")</f>
        <v>1.8</v>
      </c>
      <c r="Y1040" s="437">
        <f>IFERROR(VLOOKUP(T1040, $E$5:$L$818, 6, FALSE) * (U1040 / VLOOKUP(T1040, $E$5:$L$818, 2, FALSE)), "")</f>
        <v>0</v>
      </c>
      <c r="Z1040" s="437">
        <f>IFERROR(VLOOKUP(T1040, $E$5:$L$818, 7, FALSE) * (U1040 / VLOOKUP(T1040, $E$5:$L$818, 2, FALSE)), "")</f>
        <v>55.800000000000004</v>
      </c>
      <c r="AA1040" s="437">
        <f>IFERROR(VLOOKUP(T1040, $E$5:$L$818, 8, FALSE) * (U1040 / VLOOKUP(T1040, $E$5:$L$818, 2, FALSE)), "")</f>
        <v>5.4</v>
      </c>
      <c r="AB1040" s="674">
        <f t="shared" ref="AB1040:AB1054" si="541">IFERROR(VLOOKUP(T1040, $E$5:$O$818, 9, FALSE) * (U1040 / VLOOKUP(T1040, $E$5:$O$818, 2, FALSE)), "")</f>
        <v>0</v>
      </c>
      <c r="AC1040" s="434"/>
    </row>
    <row r="1041" spans="5:29">
      <c r="E1041" s="598"/>
      <c r="F1041" s="699"/>
      <c r="G1041" s="700"/>
      <c r="H1041" s="598"/>
      <c r="I1041" s="598"/>
      <c r="J1041" s="598"/>
      <c r="K1041" s="598"/>
      <c r="L1041" s="598"/>
      <c r="Q1041" s="432">
        <v>46098</v>
      </c>
      <c r="R1041" s="433">
        <v>0.33333333333333298</v>
      </c>
      <c r="S1041" s="434" t="s">
        <v>289</v>
      </c>
      <c r="T1041" s="434" t="s">
        <v>190</v>
      </c>
      <c r="U1041" s="435">
        <v>2</v>
      </c>
      <c r="V1041" s="436" t="str">
        <f t="shared" si="540"/>
        <v>medium</v>
      </c>
      <c r="W1041" s="437">
        <f>IFERROR(VLOOKUP(T1041, $E$5:$L$818, 4, FALSE) * (U1041 / VLOOKUP(T1041, $E$5:$L$818, 2, FALSE)), "")</f>
        <v>124</v>
      </c>
      <c r="X1041" s="437">
        <f>IFERROR(VLOOKUP(T1041, $E$5:$L$818, 5, FALSE) * (U1041 / VLOOKUP(T1041, $E$5:$L$818, 2, FALSE)), "")</f>
        <v>2.4</v>
      </c>
      <c r="Y1041" s="437">
        <f>IFERROR(VLOOKUP(T1041, $E$5:$L$818, 6, FALSE) * (U1041 / VLOOKUP(T1041, $E$5:$L$818, 2, FALSE)), "")</f>
        <v>0.4</v>
      </c>
      <c r="Z1041" s="437">
        <f>IFERROR(VLOOKUP(T1041, $E$5:$L$818, 7, FALSE) * (U1041 / VLOOKUP(T1041, $E$5:$L$818, 2, FALSE)), "")</f>
        <v>30.8</v>
      </c>
      <c r="AA1041" s="437">
        <f>IFERROR(VLOOKUP(T1041, $E$5:$L$818, 8, FALSE) * (U1041 / VLOOKUP(T1041, $E$5:$L$818, 2, FALSE)), "")</f>
        <v>6.2</v>
      </c>
      <c r="AB1041" s="584">
        <f t="shared" si="541"/>
        <v>0</v>
      </c>
      <c r="AC1041" s="434"/>
    </row>
    <row r="1042" spans="5:29">
      <c r="E1042" s="598"/>
      <c r="F1042" s="699"/>
      <c r="G1042" s="700"/>
      <c r="H1042" s="598"/>
      <c r="I1042" s="598"/>
      <c r="J1042" s="598"/>
      <c r="K1042" s="598"/>
      <c r="L1042" s="598"/>
      <c r="Q1042" s="432">
        <v>46098</v>
      </c>
      <c r="R1042" s="433">
        <v>0.375</v>
      </c>
      <c r="S1042" s="434" t="s">
        <v>178</v>
      </c>
      <c r="T1042" s="434" t="s">
        <v>295</v>
      </c>
      <c r="U1042" s="435">
        <v>1</v>
      </c>
      <c r="V1042" s="436" t="str">
        <f t="shared" si="540"/>
        <v>bottle</v>
      </c>
      <c r="W1042" s="437">
        <f t="shared" ref="W1042:W1051" si="542">IFERROR(VLOOKUP(T1042, $E$5:$L$818, 4, FALSE) * (U1042 / VLOOKUP(T1042, $E$5:$L$818, 2, FALSE)), "")</f>
        <v>200</v>
      </c>
      <c r="X1042" s="437">
        <f t="shared" ref="X1042:X1051" si="543">IFERROR(VLOOKUP(T1042, $E$5:$L$818, 5, FALSE) * (U1042 / VLOOKUP(T1042, $E$5:$L$818, 2, FALSE)), "")</f>
        <v>35</v>
      </c>
      <c r="Y1042" s="437">
        <f t="shared" ref="Y1042:Y1051" si="544">IFERROR(VLOOKUP(T1042, $E$5:$L$818, 6, FALSE) * (U1042 / VLOOKUP(T1042, $E$5:$L$818, 2, FALSE)), "")</f>
        <v>2.5</v>
      </c>
      <c r="Z1042" s="437">
        <f t="shared" ref="Z1042:Z1051" si="545">IFERROR(VLOOKUP(T1042, $E$5:$L$818, 7, FALSE) * (U1042 / VLOOKUP(T1042, $E$5:$L$818, 2, FALSE)), "")</f>
        <v>9</v>
      </c>
      <c r="AA1042" s="437">
        <f t="shared" ref="AA1042:AA1051" si="546">IFERROR(VLOOKUP(T1042, $E$5:$L$818, 8, FALSE) * (U1042 / VLOOKUP(T1042, $E$5:$L$818, 2, FALSE)), "")</f>
        <v>0</v>
      </c>
      <c r="AB1042" s="584">
        <f t="shared" si="541"/>
        <v>0</v>
      </c>
      <c r="AC1042" s="434"/>
    </row>
    <row r="1043" spans="5:29">
      <c r="E1043" s="598"/>
      <c r="F1043" s="699"/>
      <c r="G1043" s="700"/>
      <c r="H1043" s="598"/>
      <c r="I1043" s="598"/>
      <c r="J1043" s="598"/>
      <c r="K1043" s="598"/>
      <c r="L1043" s="598"/>
      <c r="Q1043" s="432">
        <v>46098</v>
      </c>
      <c r="R1043" s="433">
        <v>0.45833333333333331</v>
      </c>
      <c r="S1043" s="434" t="s">
        <v>289</v>
      </c>
      <c r="T1043" s="434" t="s">
        <v>827</v>
      </c>
      <c r="U1043" s="435">
        <v>1</v>
      </c>
      <c r="V1043" s="436" t="str">
        <f t="shared" si="540"/>
        <v>pack</v>
      </c>
      <c r="W1043" s="437">
        <f t="shared" si="542"/>
        <v>20</v>
      </c>
      <c r="X1043" s="437">
        <f t="shared" si="543"/>
        <v>0</v>
      </c>
      <c r="Y1043" s="437">
        <f t="shared" si="544"/>
        <v>0.5</v>
      </c>
      <c r="Z1043" s="437">
        <f t="shared" si="545"/>
        <v>3</v>
      </c>
      <c r="AA1043" s="437">
        <f t="shared" si="546"/>
        <v>0</v>
      </c>
      <c r="AB1043" s="584">
        <f t="shared" si="541"/>
        <v>0</v>
      </c>
      <c r="AC1043" s="434"/>
    </row>
    <row r="1044" spans="5:29">
      <c r="E1044" s="598"/>
      <c r="F1044" s="699"/>
      <c r="G1044" s="700"/>
      <c r="H1044" s="598"/>
      <c r="I1044" s="598"/>
      <c r="J1044" s="598"/>
      <c r="K1044" s="598"/>
      <c r="L1044" s="598"/>
      <c r="Q1044" s="432">
        <v>46098</v>
      </c>
      <c r="R1044" s="433">
        <v>0.54166666666666663</v>
      </c>
      <c r="S1044" s="434" t="s">
        <v>185</v>
      </c>
      <c r="T1044" s="434" t="s">
        <v>832</v>
      </c>
      <c r="U1044" s="435">
        <v>150</v>
      </c>
      <c r="V1044" s="436" t="str">
        <f t="shared" si="540"/>
        <v>g</v>
      </c>
      <c r="W1044" s="437">
        <f t="shared" si="542"/>
        <v>280</v>
      </c>
      <c r="X1044" s="437">
        <f t="shared" si="543"/>
        <v>18</v>
      </c>
      <c r="Y1044" s="437">
        <f t="shared" si="544"/>
        <v>20</v>
      </c>
      <c r="Z1044" s="437">
        <f t="shared" si="545"/>
        <v>8</v>
      </c>
      <c r="AA1044" s="437">
        <f t="shared" si="546"/>
        <v>2</v>
      </c>
      <c r="AB1044" s="584">
        <f t="shared" si="541"/>
        <v>0</v>
      </c>
      <c r="AC1044" s="434"/>
    </row>
    <row r="1045" spans="5:29">
      <c r="E1045" s="598"/>
      <c r="F1045" s="699"/>
      <c r="G1045" s="700"/>
      <c r="H1045" s="598"/>
      <c r="I1045" s="598"/>
      <c r="J1045" s="598"/>
      <c r="K1045" s="598"/>
      <c r="L1045" s="598"/>
      <c r="Q1045" s="432">
        <v>46098</v>
      </c>
      <c r="R1045" s="433">
        <v>0.54166666666666696</v>
      </c>
      <c r="S1045" s="434" t="s">
        <v>185</v>
      </c>
      <c r="T1045" s="434" t="s">
        <v>834</v>
      </c>
      <c r="U1045" s="435">
        <v>150</v>
      </c>
      <c r="V1045" s="436" t="str">
        <f t="shared" si="540"/>
        <v>g</v>
      </c>
      <c r="W1045" s="437">
        <f t="shared" si="542"/>
        <v>270</v>
      </c>
      <c r="X1045" s="437">
        <f t="shared" si="543"/>
        <v>18</v>
      </c>
      <c r="Y1045" s="437">
        <f t="shared" si="544"/>
        <v>18</v>
      </c>
      <c r="Z1045" s="437">
        <f t="shared" si="545"/>
        <v>9</v>
      </c>
      <c r="AA1045" s="437">
        <f t="shared" si="546"/>
        <v>1.5</v>
      </c>
      <c r="AB1045" s="584">
        <f t="shared" si="541"/>
        <v>0</v>
      </c>
      <c r="AC1045" s="434"/>
    </row>
    <row r="1046" spans="5:29">
      <c r="E1046" s="598"/>
      <c r="F1046" s="699"/>
      <c r="G1046" s="700"/>
      <c r="H1046" s="598"/>
      <c r="I1046" s="598"/>
      <c r="J1046" s="598"/>
      <c r="K1046" s="598"/>
      <c r="L1046" s="598"/>
      <c r="Q1046" s="432">
        <v>46098</v>
      </c>
      <c r="R1046" s="433">
        <v>0.54166666666666696</v>
      </c>
      <c r="S1046" s="434" t="s">
        <v>185</v>
      </c>
      <c r="T1046" s="434" t="s">
        <v>180</v>
      </c>
      <c r="U1046" s="435">
        <v>200</v>
      </c>
      <c r="V1046" s="436" t="str">
        <f t="shared" si="540"/>
        <v>g</v>
      </c>
      <c r="W1046" s="437">
        <f t="shared" si="542"/>
        <v>260</v>
      </c>
      <c r="X1046" s="437">
        <f t="shared" si="543"/>
        <v>5.4</v>
      </c>
      <c r="Y1046" s="437">
        <f t="shared" si="544"/>
        <v>0.6</v>
      </c>
      <c r="Z1046" s="437">
        <f t="shared" si="545"/>
        <v>56</v>
      </c>
      <c r="AA1046" s="437">
        <f t="shared" si="546"/>
        <v>0.8</v>
      </c>
      <c r="AB1046" s="584">
        <f t="shared" si="541"/>
        <v>0</v>
      </c>
      <c r="AC1046" s="434"/>
    </row>
    <row r="1047" spans="5:29">
      <c r="E1047" s="598"/>
      <c r="F1047" s="699"/>
      <c r="G1047" s="700"/>
      <c r="H1047" s="598"/>
      <c r="I1047" s="598"/>
      <c r="J1047" s="598"/>
      <c r="K1047" s="598"/>
      <c r="L1047" s="598"/>
      <c r="Q1047" s="432">
        <v>46098</v>
      </c>
      <c r="R1047" s="433">
        <v>0.58333333333333337</v>
      </c>
      <c r="S1047" s="434" t="s">
        <v>289</v>
      </c>
      <c r="T1047" s="434" t="s">
        <v>423</v>
      </c>
      <c r="U1047" s="435">
        <v>2</v>
      </c>
      <c r="V1047" s="436" t="str">
        <f t="shared" si="540"/>
        <v>pieces</v>
      </c>
      <c r="W1047" s="437">
        <f t="shared" si="542"/>
        <v>15</v>
      </c>
      <c r="X1047" s="437">
        <f t="shared" si="543"/>
        <v>0</v>
      </c>
      <c r="Y1047" s="437">
        <f t="shared" si="544"/>
        <v>0</v>
      </c>
      <c r="Z1047" s="437">
        <f t="shared" si="545"/>
        <v>3</v>
      </c>
      <c r="AA1047" s="437">
        <f t="shared" si="546"/>
        <v>0</v>
      </c>
      <c r="AB1047" s="584">
        <f t="shared" si="541"/>
        <v>0</v>
      </c>
      <c r="AC1047" s="434"/>
    </row>
    <row r="1048" spans="5:29">
      <c r="E1048" s="598"/>
      <c r="F1048" s="699"/>
      <c r="G1048" s="700"/>
      <c r="H1048" s="598"/>
      <c r="I1048" s="598"/>
      <c r="J1048" s="598"/>
      <c r="K1048" s="598"/>
      <c r="L1048" s="598"/>
      <c r="Q1048" s="432">
        <v>46098</v>
      </c>
      <c r="R1048" s="433">
        <v>0.70833333333333337</v>
      </c>
      <c r="S1048" s="434" t="s">
        <v>289</v>
      </c>
      <c r="T1048" s="434" t="s">
        <v>835</v>
      </c>
      <c r="U1048" s="435">
        <v>2</v>
      </c>
      <c r="V1048" s="436" t="str">
        <f t="shared" si="540"/>
        <v>slice</v>
      </c>
      <c r="W1048" s="437">
        <f t="shared" si="542"/>
        <v>840</v>
      </c>
      <c r="X1048" s="437">
        <f t="shared" si="543"/>
        <v>10</v>
      </c>
      <c r="Y1048" s="437">
        <f t="shared" si="544"/>
        <v>48</v>
      </c>
      <c r="Z1048" s="437">
        <f t="shared" si="545"/>
        <v>96</v>
      </c>
      <c r="AA1048" s="437">
        <f t="shared" si="546"/>
        <v>4</v>
      </c>
      <c r="AB1048" s="584">
        <f t="shared" si="541"/>
        <v>0</v>
      </c>
      <c r="AC1048" s="434"/>
    </row>
    <row r="1049" spans="5:29">
      <c r="E1049" s="598"/>
      <c r="F1049" s="699"/>
      <c r="G1049" s="700"/>
      <c r="H1049" s="598"/>
      <c r="I1049" s="598"/>
      <c r="J1049" s="598"/>
      <c r="K1049" s="598"/>
      <c r="L1049" s="598"/>
      <c r="Q1049" s="432">
        <v>46098</v>
      </c>
      <c r="R1049" s="433">
        <v>0.83333333333333337</v>
      </c>
      <c r="S1049" s="434" t="s">
        <v>199</v>
      </c>
      <c r="T1049" s="434" t="s">
        <v>176</v>
      </c>
      <c r="U1049" s="435">
        <v>165</v>
      </c>
      <c r="V1049" s="436" t="str">
        <f t="shared" si="540"/>
        <v>g</v>
      </c>
      <c r="W1049" s="437">
        <f t="shared" si="542"/>
        <v>272.25</v>
      </c>
      <c r="X1049" s="437">
        <f t="shared" si="543"/>
        <v>41.25</v>
      </c>
      <c r="Y1049" s="437">
        <f t="shared" si="544"/>
        <v>5.9399999999999995</v>
      </c>
      <c r="Z1049" s="437">
        <f t="shared" si="545"/>
        <v>0</v>
      </c>
      <c r="AA1049" s="437">
        <f t="shared" si="546"/>
        <v>0</v>
      </c>
      <c r="AB1049" s="584">
        <f t="shared" si="541"/>
        <v>0</v>
      </c>
      <c r="AC1049" s="434"/>
    </row>
    <row r="1050" spans="5:29">
      <c r="E1050" s="598"/>
      <c r="F1050" s="699"/>
      <c r="G1050" s="700"/>
      <c r="H1050" s="598"/>
      <c r="I1050" s="598"/>
      <c r="J1050" s="598"/>
      <c r="K1050" s="598"/>
      <c r="L1050" s="598"/>
      <c r="Q1050" s="432">
        <v>46098</v>
      </c>
      <c r="R1050" s="433">
        <v>0.83333333333333304</v>
      </c>
      <c r="S1050" s="434" t="s">
        <v>199</v>
      </c>
      <c r="T1050" s="434" t="s">
        <v>465</v>
      </c>
      <c r="U1050" s="435">
        <v>92</v>
      </c>
      <c r="V1050" s="436" t="str">
        <f t="shared" si="540"/>
        <v>g</v>
      </c>
      <c r="W1050" s="437">
        <f t="shared" si="542"/>
        <v>165.6</v>
      </c>
      <c r="X1050" s="437">
        <f t="shared" si="543"/>
        <v>20.240000000000002</v>
      </c>
      <c r="Y1050" s="437">
        <f t="shared" si="544"/>
        <v>8.2800000000000011</v>
      </c>
      <c r="Z1050" s="437">
        <f t="shared" si="545"/>
        <v>1.84</v>
      </c>
      <c r="AA1050" s="437">
        <f t="shared" si="546"/>
        <v>0</v>
      </c>
      <c r="AB1050" s="584">
        <f t="shared" si="541"/>
        <v>0</v>
      </c>
      <c r="AC1050" s="434"/>
    </row>
    <row r="1051" spans="5:29">
      <c r="E1051" s="598"/>
      <c r="F1051" s="699"/>
      <c r="G1051" s="700"/>
      <c r="H1051" s="598"/>
      <c r="I1051" s="598"/>
      <c r="J1051" s="598"/>
      <c r="K1051" s="598"/>
      <c r="L1051" s="598"/>
      <c r="Q1051" s="432">
        <v>46098</v>
      </c>
      <c r="R1051" s="433">
        <v>0.83333333333333304</v>
      </c>
      <c r="S1051" s="434" t="s">
        <v>199</v>
      </c>
      <c r="T1051" s="434" t="s">
        <v>430</v>
      </c>
      <c r="U1051" s="435">
        <v>310</v>
      </c>
      <c r="V1051" s="436" t="str">
        <f t="shared" si="540"/>
        <v>g</v>
      </c>
      <c r="W1051" s="437">
        <f t="shared" si="542"/>
        <v>238.70000000000002</v>
      </c>
      <c r="X1051" s="437">
        <f t="shared" si="543"/>
        <v>6.2</v>
      </c>
      <c r="Y1051" s="437">
        <f t="shared" si="544"/>
        <v>0</v>
      </c>
      <c r="Z1051" s="437">
        <f t="shared" si="545"/>
        <v>52.7</v>
      </c>
      <c r="AA1051" s="437">
        <f t="shared" si="546"/>
        <v>6.2</v>
      </c>
      <c r="AB1051" s="584">
        <f t="shared" si="541"/>
        <v>0</v>
      </c>
      <c r="AC1051" s="434"/>
    </row>
    <row r="1052" spans="5:29">
      <c r="E1052" s="598"/>
      <c r="F1052" s="699"/>
      <c r="G1052" s="700"/>
      <c r="H1052" s="598"/>
      <c r="I1052" s="598"/>
      <c r="J1052" s="598"/>
      <c r="K1052" s="598"/>
      <c r="L1052" s="598"/>
      <c r="Q1052" s="432">
        <v>46098</v>
      </c>
      <c r="R1052" s="433">
        <v>0.83333333333333304</v>
      </c>
      <c r="S1052" s="434" t="s">
        <v>289</v>
      </c>
      <c r="T1052" s="434" t="s">
        <v>846</v>
      </c>
      <c r="U1052" s="435">
        <v>1</v>
      </c>
      <c r="V1052" s="436" t="str">
        <f>IFERROR(VLOOKUP(T1052, $E$5:$L$818, 3, FALSE), "")</f>
        <v>can</v>
      </c>
      <c r="W1052" s="437">
        <f>IFERROR(VLOOKUP(T1052, $E$5:$L$818, 4, FALSE) * (U1052 / VLOOKUP(T1052, $E$5:$L$818, 2, FALSE)), "")</f>
        <v>0</v>
      </c>
      <c r="X1052" s="437">
        <f>IFERROR(VLOOKUP(T1052, $E$5:$L$818, 5, FALSE) * (U1052 / VLOOKUP(T1052, $E$5:$L$818, 2, FALSE)), "")</f>
        <v>0</v>
      </c>
      <c r="Y1052" s="437">
        <f>IFERROR(VLOOKUP(T1052, $E$5:$L$818, 6, FALSE) * (U1052 / VLOOKUP(T1052, $E$5:$L$818, 2, FALSE)), "")</f>
        <v>0</v>
      </c>
      <c r="Z1052" s="437">
        <f>IFERROR(VLOOKUP(T1052, $E$5:$L$818, 7, FALSE) * (U1052 / VLOOKUP(T1052, $E$5:$L$818, 2, FALSE)), "")</f>
        <v>1</v>
      </c>
      <c r="AA1052" s="437">
        <f>IFERROR(VLOOKUP(T1052, $E$5:$L$818, 8, FALSE) * (U1052 / VLOOKUP(T1052, $E$5:$L$818, 2, FALSE)), "")</f>
        <v>0</v>
      </c>
      <c r="AB1052" s="584">
        <f t="shared" si="541"/>
        <v>0</v>
      </c>
      <c r="AC1052" s="434"/>
    </row>
    <row r="1053" spans="5:29">
      <c r="E1053" s="598"/>
      <c r="F1053" s="699"/>
      <c r="G1053" s="700"/>
      <c r="H1053" s="598"/>
      <c r="I1053" s="598"/>
      <c r="J1053" s="598"/>
      <c r="K1053" s="598"/>
      <c r="L1053" s="598"/>
      <c r="Q1053" s="432">
        <v>46098</v>
      </c>
      <c r="R1053" s="433">
        <v>0.83333333333333304</v>
      </c>
      <c r="S1053" s="434" t="s">
        <v>199</v>
      </c>
      <c r="T1053" s="434" t="s">
        <v>209</v>
      </c>
      <c r="U1053" s="435">
        <v>3</v>
      </c>
      <c r="V1053" s="436" t="str">
        <f>IFERROR(VLOOKUP(T1053, $E$5:$L$818, 3, FALSE), "")</f>
        <v>tbsp</v>
      </c>
      <c r="W1053" s="437">
        <f>IFERROR(VLOOKUP(T1053, $E$5:$L$818, 4, FALSE) * (U1053 / VLOOKUP(T1053, $E$5:$L$818, 2, FALSE)), "")</f>
        <v>60</v>
      </c>
      <c r="X1053" s="437">
        <f>IFERROR(VLOOKUP(T1053, $E$5:$L$818, 5, FALSE) * (U1053 / VLOOKUP(T1053, $E$5:$L$818, 2, FALSE)), "")</f>
        <v>0</v>
      </c>
      <c r="Y1053" s="437">
        <f>IFERROR(VLOOKUP(T1053, $E$5:$L$818, 6, FALSE) * (U1053 / VLOOKUP(T1053, $E$5:$L$818, 2, FALSE)), "")</f>
        <v>0</v>
      </c>
      <c r="Z1053" s="437">
        <f>IFERROR(VLOOKUP(T1053, $E$5:$L$818, 7, FALSE) * (U1053 / VLOOKUP(T1053, $E$5:$L$818, 2, FALSE)), "")</f>
        <v>15</v>
      </c>
      <c r="AA1053" s="437">
        <f>IFERROR(VLOOKUP(T1053, $E$5:$L$818, 8, FALSE) * (U1053 / VLOOKUP(T1053, $E$5:$L$818, 2, FALSE)), "")</f>
        <v>13.5</v>
      </c>
      <c r="AB1053" s="584">
        <f t="shared" si="541"/>
        <v>0</v>
      </c>
      <c r="AC1053" s="434"/>
    </row>
    <row r="1054" spans="5:29">
      <c r="E1054" s="598"/>
      <c r="F1054" s="699"/>
      <c r="G1054" s="700"/>
      <c r="H1054" s="598"/>
      <c r="I1054" s="598"/>
      <c r="J1054" s="598"/>
      <c r="K1054" s="598"/>
      <c r="L1054" s="598"/>
      <c r="Q1054" s="432">
        <v>46098</v>
      </c>
      <c r="R1054" s="433">
        <v>0.83333333333333304</v>
      </c>
      <c r="S1054" s="434" t="s">
        <v>289</v>
      </c>
      <c r="T1054" s="434" t="s">
        <v>212</v>
      </c>
      <c r="U1054" s="435">
        <v>1</v>
      </c>
      <c r="V1054" s="436" t="str">
        <f>IFERROR(VLOOKUP(T1054, $E$5:$L$818, 3, FALSE), "")</f>
        <v>bottle</v>
      </c>
      <c r="W1054" s="437">
        <f>IFERROR(VLOOKUP(T1054, $E$5:$L$818, 4, FALSE) * (U1054 / VLOOKUP(T1054, $E$5:$L$818, 2, FALSE)), "")</f>
        <v>70</v>
      </c>
      <c r="X1054" s="437">
        <f>IFERROR(VLOOKUP(T1054, $E$5:$L$818, 5, FALSE) * (U1054 / VLOOKUP(T1054, $E$5:$L$818, 2, FALSE)), "")</f>
        <v>0</v>
      </c>
      <c r="Y1054" s="437">
        <f>IFERROR(VLOOKUP(T1054, $E$5:$L$818, 6, FALSE) * (U1054 / VLOOKUP(T1054, $E$5:$L$818, 2, FALSE)), "")</f>
        <v>0</v>
      </c>
      <c r="Z1054" s="437">
        <f>IFERROR(VLOOKUP(T1054, $E$5:$L$818, 7, FALSE) * (U1054 / VLOOKUP(T1054, $E$5:$L$818, 2, FALSE)), "")</f>
        <v>17</v>
      </c>
      <c r="AA1054" s="437">
        <f>IFERROR(VLOOKUP(T1054, $E$5:$L$818, 8, FALSE) * (U1054 / VLOOKUP(T1054, $E$5:$L$818, 2, FALSE)), "")</f>
        <v>1</v>
      </c>
      <c r="AB1054" s="684">
        <f t="shared" si="541"/>
        <v>0</v>
      </c>
      <c r="AC1054" s="434"/>
    </row>
    <row r="1055" spans="5:29">
      <c r="E1055" s="598"/>
      <c r="F1055" s="699"/>
      <c r="G1055" s="700"/>
      <c r="H1055" s="598"/>
      <c r="I1055" s="598"/>
      <c r="J1055" s="598"/>
      <c r="K1055" s="598"/>
      <c r="L1055" s="598"/>
      <c r="Q1055" s="438"/>
      <c r="R1055" s="439" t="s">
        <v>217</v>
      </c>
      <c r="S1055" s="440"/>
      <c r="T1055" s="441"/>
      <c r="U1055" s="441"/>
      <c r="V1055" s="442"/>
      <c r="W1055" s="443">
        <f t="shared" ref="W1055:AB1055" si="547">SUM(W1040:W1054)</f>
        <v>3049.5499999999997</v>
      </c>
      <c r="X1055" s="443">
        <f t="shared" si="547"/>
        <v>158.29000000000002</v>
      </c>
      <c r="Y1055" s="443">
        <f t="shared" si="547"/>
        <v>104.22</v>
      </c>
      <c r="Z1055" s="443">
        <f t="shared" si="547"/>
        <v>358.14</v>
      </c>
      <c r="AA1055" s="685">
        <f t="shared" si="547"/>
        <v>40.6</v>
      </c>
      <c r="AB1055" s="691">
        <f t="shared" si="547"/>
        <v>0</v>
      </c>
      <c r="AC1055" s="439"/>
    </row>
    <row r="1056" spans="5:29">
      <c r="E1056" s="598"/>
      <c r="F1056" s="699"/>
      <c r="G1056" s="700"/>
      <c r="H1056" s="598"/>
      <c r="I1056" s="598"/>
      <c r="J1056" s="598"/>
      <c r="K1056" s="598"/>
      <c r="L1056" s="598"/>
      <c r="Q1056" s="438"/>
      <c r="R1056" s="439" t="s">
        <v>220</v>
      </c>
      <c r="S1056" s="440"/>
      <c r="T1056" s="441"/>
      <c r="U1056" s="441"/>
      <c r="V1056" s="442"/>
      <c r="W1056" s="444">
        <f>$B$27</f>
        <v>2834.5625</v>
      </c>
      <c r="X1056" s="444">
        <f>$B$29</f>
        <v>154</v>
      </c>
      <c r="Y1056" s="444">
        <f>$B$30</f>
        <v>63.91</v>
      </c>
      <c r="Z1056" s="444">
        <f>$B$31</f>
        <v>410.84312499999999</v>
      </c>
      <c r="AA1056" s="692">
        <f>$B$32</f>
        <v>39.683875</v>
      </c>
      <c r="AB1056" s="695">
        <f>$B$39</f>
        <v>500</v>
      </c>
      <c r="AC1056" s="439"/>
    </row>
    <row r="1057" spans="5:29">
      <c r="E1057" s="598"/>
      <c r="F1057" s="699"/>
      <c r="G1057" s="700"/>
      <c r="H1057" s="598"/>
      <c r="I1057" s="598"/>
      <c r="J1057" s="598"/>
      <c r="K1057" s="598"/>
      <c r="L1057" s="598"/>
      <c r="Q1057" s="438"/>
      <c r="R1057" s="439" t="s">
        <v>222</v>
      </c>
      <c r="S1057" s="440"/>
      <c r="T1057" s="441"/>
      <c r="U1057" s="441"/>
      <c r="V1057" s="442"/>
      <c r="W1057" s="284">
        <f t="shared" ref="W1057:AB1057" si="548">W1055-W1056</f>
        <v>214.98749999999973</v>
      </c>
      <c r="X1057" s="284">
        <f t="shared" si="548"/>
        <v>4.2900000000000205</v>
      </c>
      <c r="Y1057" s="284">
        <f t="shared" si="548"/>
        <v>40.31</v>
      </c>
      <c r="Z1057" s="284">
        <f t="shared" si="548"/>
        <v>-52.703125</v>
      </c>
      <c r="AA1057" s="690">
        <f t="shared" si="548"/>
        <v>0.91612500000000097</v>
      </c>
      <c r="AB1057" s="689">
        <f t="shared" si="548"/>
        <v>-500</v>
      </c>
      <c r="AC1057" s="439"/>
    </row>
    <row r="1058" spans="5:29">
      <c r="E1058" s="598"/>
      <c r="F1058" s="699"/>
      <c r="G1058" s="700"/>
      <c r="H1058" s="598"/>
      <c r="I1058" s="598"/>
      <c r="J1058" s="598"/>
      <c r="K1058" s="598"/>
      <c r="L1058" s="598"/>
      <c r="Q1058" s="432">
        <v>46099</v>
      </c>
      <c r="R1058" s="433">
        <v>0.33333333333333331</v>
      </c>
      <c r="S1058" s="434" t="s">
        <v>178</v>
      </c>
      <c r="T1058" s="434" t="s">
        <v>295</v>
      </c>
      <c r="U1058" s="435">
        <v>1</v>
      </c>
      <c r="V1058" s="436" t="str">
        <f t="shared" ref="V1058:V1073" si="549">IFERROR(VLOOKUP(T1058, $E$5:$L$818, 3, FALSE), "")</f>
        <v>bottle</v>
      </c>
      <c r="W1058" s="437">
        <f t="shared" ref="W1058:W1073" si="550">IFERROR(VLOOKUP(T1058, $E$5:$L$818, 4, FALSE) * (U1058 / VLOOKUP(T1058, $E$5:$L$818, 2, FALSE)), "")</f>
        <v>200</v>
      </c>
      <c r="X1058" s="437">
        <f t="shared" ref="X1058:X1073" si="551">IFERROR(VLOOKUP(T1058, $E$5:$L$818, 5, FALSE) * (U1058 / VLOOKUP(T1058, $E$5:$L$818, 2, FALSE)), "")</f>
        <v>35</v>
      </c>
      <c r="Y1058" s="437">
        <f t="shared" ref="Y1058:Y1073" si="552">IFERROR(VLOOKUP(T1058, $E$5:$L$818, 6, FALSE) * (U1058 / VLOOKUP(T1058, $E$5:$L$818, 2, FALSE)), "")</f>
        <v>2.5</v>
      </c>
      <c r="Z1058" s="437">
        <f t="shared" ref="Z1058:Z1073" si="553">IFERROR(VLOOKUP(T1058, $E$5:$L$818, 7, FALSE) * (U1058 / VLOOKUP(T1058, $E$5:$L$818, 2, FALSE)), "")</f>
        <v>9</v>
      </c>
      <c r="AA1058" s="437">
        <f t="shared" ref="AA1058:AA1073" si="554">IFERROR(VLOOKUP(T1058, $E$5:$L$818, 8, FALSE) * (U1058 / VLOOKUP(T1058, $E$5:$L$818, 2, FALSE)), "")</f>
        <v>0</v>
      </c>
      <c r="AB1058" s="674">
        <f t="shared" ref="AB1058:AB1073" si="555">IFERROR(VLOOKUP(T1058, $E$5:$O$818, 9, FALSE) * (U1058 / VLOOKUP(T1058, $E$5:$O$818, 2, FALSE)), "")</f>
        <v>0</v>
      </c>
      <c r="AC1058" s="434"/>
    </row>
    <row r="1059" spans="5:29">
      <c r="E1059" s="598"/>
      <c r="F1059" s="699"/>
      <c r="G1059" s="700"/>
      <c r="H1059" s="598"/>
      <c r="I1059" s="598"/>
      <c r="J1059" s="598"/>
      <c r="K1059" s="598"/>
      <c r="L1059" s="598"/>
      <c r="Q1059" s="432">
        <v>46099</v>
      </c>
      <c r="R1059" s="433">
        <v>0.33333333333333298</v>
      </c>
      <c r="S1059" s="434" t="s">
        <v>178</v>
      </c>
      <c r="T1059" s="434" t="s">
        <v>180</v>
      </c>
      <c r="U1059" s="435">
        <v>150</v>
      </c>
      <c r="V1059" s="436" t="str">
        <f t="shared" si="549"/>
        <v>g</v>
      </c>
      <c r="W1059" s="437">
        <f t="shared" si="550"/>
        <v>195</v>
      </c>
      <c r="X1059" s="437">
        <f t="shared" si="551"/>
        <v>4.0500000000000007</v>
      </c>
      <c r="Y1059" s="437">
        <f t="shared" si="552"/>
        <v>0.44999999999999996</v>
      </c>
      <c r="Z1059" s="437">
        <f t="shared" si="553"/>
        <v>42</v>
      </c>
      <c r="AA1059" s="437">
        <f t="shared" si="554"/>
        <v>0.60000000000000009</v>
      </c>
      <c r="AB1059" s="584">
        <f t="shared" si="555"/>
        <v>0</v>
      </c>
      <c r="AC1059" s="434"/>
    </row>
    <row r="1060" spans="5:29">
      <c r="E1060" s="598"/>
      <c r="F1060" s="699"/>
      <c r="G1060" s="700"/>
      <c r="H1060" s="598"/>
      <c r="I1060" s="598"/>
      <c r="J1060" s="598"/>
      <c r="K1060" s="598"/>
      <c r="L1060" s="598"/>
      <c r="Q1060" s="432">
        <v>46099</v>
      </c>
      <c r="R1060" s="433">
        <v>0.33333333333333298</v>
      </c>
      <c r="S1060" s="434" t="s">
        <v>178</v>
      </c>
      <c r="T1060" s="434" t="s">
        <v>845</v>
      </c>
      <c r="U1060" s="435">
        <v>2</v>
      </c>
      <c r="V1060" s="436" t="str">
        <f t="shared" si="549"/>
        <v>egg</v>
      </c>
      <c r="W1060" s="437">
        <f t="shared" si="550"/>
        <v>180</v>
      </c>
      <c r="X1060" s="437">
        <f t="shared" si="551"/>
        <v>12</v>
      </c>
      <c r="Y1060" s="437">
        <f t="shared" si="552"/>
        <v>14</v>
      </c>
      <c r="Z1060" s="437">
        <f t="shared" si="553"/>
        <v>0</v>
      </c>
      <c r="AA1060" s="437">
        <f t="shared" si="554"/>
        <v>0</v>
      </c>
      <c r="AB1060" s="584">
        <f t="shared" si="555"/>
        <v>80</v>
      </c>
      <c r="AC1060" s="434"/>
    </row>
    <row r="1061" spans="5:29">
      <c r="E1061" s="598"/>
      <c r="F1061" s="699"/>
      <c r="G1061" s="700"/>
      <c r="H1061" s="598"/>
      <c r="I1061" s="598"/>
      <c r="J1061" s="598"/>
      <c r="K1061" s="598"/>
      <c r="L1061" s="598"/>
      <c r="Q1061" s="432">
        <v>46099</v>
      </c>
      <c r="R1061" s="433">
        <v>0.45833333333333331</v>
      </c>
      <c r="S1061" s="434" t="s">
        <v>289</v>
      </c>
      <c r="T1061" s="434" t="s">
        <v>190</v>
      </c>
      <c r="U1061" s="435">
        <v>2</v>
      </c>
      <c r="V1061" s="436" t="str">
        <f t="shared" si="549"/>
        <v>medium</v>
      </c>
      <c r="W1061" s="437">
        <f t="shared" si="550"/>
        <v>124</v>
      </c>
      <c r="X1061" s="437">
        <f t="shared" si="551"/>
        <v>2.4</v>
      </c>
      <c r="Y1061" s="437">
        <f t="shared" si="552"/>
        <v>0.4</v>
      </c>
      <c r="Z1061" s="437">
        <f t="shared" si="553"/>
        <v>30.8</v>
      </c>
      <c r="AA1061" s="437">
        <f t="shared" si="554"/>
        <v>6.2</v>
      </c>
      <c r="AB1061" s="584">
        <f t="shared" si="555"/>
        <v>0</v>
      </c>
      <c r="AC1061" s="434"/>
    </row>
    <row r="1062" spans="5:29">
      <c r="E1062" s="598"/>
      <c r="F1062" s="699"/>
      <c r="G1062" s="700"/>
      <c r="H1062" s="598"/>
      <c r="I1062" s="598"/>
      <c r="J1062" s="598"/>
      <c r="K1062" s="598"/>
      <c r="L1062" s="598"/>
      <c r="Q1062" s="432">
        <v>46099</v>
      </c>
      <c r="R1062" s="433">
        <v>0.45833333333333298</v>
      </c>
      <c r="S1062" s="434" t="s">
        <v>185</v>
      </c>
      <c r="T1062" s="434" t="s">
        <v>181</v>
      </c>
      <c r="U1062" s="435">
        <v>1</v>
      </c>
      <c r="V1062" s="436" t="str">
        <f t="shared" si="549"/>
        <v>slice</v>
      </c>
      <c r="W1062" s="437">
        <f t="shared" si="550"/>
        <v>70</v>
      </c>
      <c r="X1062" s="437">
        <f t="shared" si="551"/>
        <v>2.5</v>
      </c>
      <c r="Y1062" s="437">
        <f t="shared" si="552"/>
        <v>1.25</v>
      </c>
      <c r="Z1062" s="437">
        <f t="shared" si="553"/>
        <v>12</v>
      </c>
      <c r="AA1062" s="437">
        <f t="shared" si="554"/>
        <v>1</v>
      </c>
      <c r="AB1062" s="584">
        <f t="shared" si="555"/>
        <v>0</v>
      </c>
      <c r="AC1062" s="434"/>
    </row>
    <row r="1063" spans="5:29">
      <c r="E1063" s="598"/>
      <c r="F1063" s="699"/>
      <c r="G1063" s="700"/>
      <c r="H1063" s="598"/>
      <c r="I1063" s="598"/>
      <c r="J1063" s="598"/>
      <c r="K1063" s="598"/>
      <c r="L1063" s="598"/>
      <c r="Q1063" s="432">
        <v>46099</v>
      </c>
      <c r="R1063" s="433">
        <v>0.54166666666666663</v>
      </c>
      <c r="S1063" s="434" t="s">
        <v>185</v>
      </c>
      <c r="T1063" s="434" t="s">
        <v>176</v>
      </c>
      <c r="U1063" s="435">
        <v>176</v>
      </c>
      <c r="V1063" s="436" t="str">
        <f t="shared" si="549"/>
        <v>g</v>
      </c>
      <c r="W1063" s="437">
        <f t="shared" si="550"/>
        <v>290.39999999999998</v>
      </c>
      <c r="X1063" s="437">
        <f t="shared" si="551"/>
        <v>44</v>
      </c>
      <c r="Y1063" s="437">
        <f t="shared" si="552"/>
        <v>6.3360000000000003</v>
      </c>
      <c r="Z1063" s="437">
        <f t="shared" si="553"/>
        <v>0</v>
      </c>
      <c r="AA1063" s="437">
        <f t="shared" si="554"/>
        <v>0</v>
      </c>
      <c r="AB1063" s="584">
        <f t="shared" si="555"/>
        <v>0</v>
      </c>
      <c r="AC1063" s="434"/>
    </row>
    <row r="1064" spans="5:29">
      <c r="E1064" s="598"/>
      <c r="F1064" s="699"/>
      <c r="G1064" s="700"/>
      <c r="H1064" s="598"/>
      <c r="I1064" s="598"/>
      <c r="J1064" s="598"/>
      <c r="K1064" s="598"/>
      <c r="L1064" s="598"/>
      <c r="Q1064" s="432">
        <v>46099</v>
      </c>
      <c r="R1064" s="433">
        <v>0.54166666666666696</v>
      </c>
      <c r="S1064" s="434" t="s">
        <v>185</v>
      </c>
      <c r="T1064" s="434" t="s">
        <v>181</v>
      </c>
      <c r="U1064" s="435">
        <v>2</v>
      </c>
      <c r="V1064" s="436" t="str">
        <f t="shared" si="549"/>
        <v>slice</v>
      </c>
      <c r="W1064" s="437">
        <f t="shared" si="550"/>
        <v>140</v>
      </c>
      <c r="X1064" s="437">
        <f t="shared" si="551"/>
        <v>5</v>
      </c>
      <c r="Y1064" s="437">
        <f t="shared" si="552"/>
        <v>2.5</v>
      </c>
      <c r="Z1064" s="437">
        <f t="shared" si="553"/>
        <v>24</v>
      </c>
      <c r="AA1064" s="437">
        <f t="shared" si="554"/>
        <v>2</v>
      </c>
      <c r="AB1064" s="584">
        <f t="shared" si="555"/>
        <v>0</v>
      </c>
      <c r="AC1064" s="434"/>
    </row>
    <row r="1065" spans="5:29">
      <c r="E1065" s="598"/>
      <c r="F1065" s="699"/>
      <c r="G1065" s="700"/>
      <c r="H1065" s="598"/>
      <c r="I1065" s="598"/>
      <c r="J1065" s="598"/>
      <c r="K1065" s="598"/>
      <c r="L1065" s="598"/>
      <c r="Q1065" s="432">
        <v>46099</v>
      </c>
      <c r="R1065" s="433">
        <v>0.54166666666666663</v>
      </c>
      <c r="S1065" s="434" t="s">
        <v>289</v>
      </c>
      <c r="T1065" s="434" t="s">
        <v>497</v>
      </c>
      <c r="U1065" s="435">
        <v>0.25</v>
      </c>
      <c r="V1065" s="436" t="str">
        <f t="shared" si="549"/>
        <v>bag</v>
      </c>
      <c r="W1065" s="437">
        <f t="shared" si="550"/>
        <v>25</v>
      </c>
      <c r="X1065" s="437">
        <f t="shared" si="551"/>
        <v>0.125</v>
      </c>
      <c r="Y1065" s="437">
        <f t="shared" si="552"/>
        <v>1.75</v>
      </c>
      <c r="Z1065" s="437">
        <f t="shared" si="553"/>
        <v>2.5</v>
      </c>
      <c r="AA1065" s="437">
        <f t="shared" si="554"/>
        <v>0</v>
      </c>
      <c r="AB1065" s="584">
        <f t="shared" si="555"/>
        <v>0</v>
      </c>
      <c r="AC1065" s="434"/>
    </row>
    <row r="1066" spans="5:29">
      <c r="E1066" s="598"/>
      <c r="F1066" s="699"/>
      <c r="G1066" s="700"/>
      <c r="H1066" s="598"/>
      <c r="I1066" s="241"/>
      <c r="J1066" s="598"/>
      <c r="K1066" s="598"/>
      <c r="L1066" s="598"/>
      <c r="Q1066" s="432">
        <v>46099</v>
      </c>
      <c r="R1066" s="433">
        <v>0.54166666666666696</v>
      </c>
      <c r="S1066" s="434" t="s">
        <v>289</v>
      </c>
      <c r="T1066" s="434" t="s">
        <v>835</v>
      </c>
      <c r="U1066" s="435">
        <v>0.75</v>
      </c>
      <c r="V1066" s="436" t="str">
        <f t="shared" si="549"/>
        <v>slice</v>
      </c>
      <c r="W1066" s="437">
        <f t="shared" si="550"/>
        <v>315</v>
      </c>
      <c r="X1066" s="437">
        <f t="shared" si="551"/>
        <v>3.75</v>
      </c>
      <c r="Y1066" s="437">
        <f t="shared" si="552"/>
        <v>18</v>
      </c>
      <c r="Z1066" s="437">
        <f t="shared" si="553"/>
        <v>36</v>
      </c>
      <c r="AA1066" s="437">
        <f t="shared" si="554"/>
        <v>1.5</v>
      </c>
      <c r="AB1066" s="584">
        <f t="shared" si="555"/>
        <v>0</v>
      </c>
      <c r="AC1066" s="434"/>
    </row>
    <row r="1067" spans="5:29">
      <c r="E1067" s="598"/>
      <c r="F1067" s="699"/>
      <c r="G1067" s="700"/>
      <c r="H1067" s="598"/>
      <c r="I1067" s="598"/>
      <c r="J1067" s="598"/>
      <c r="K1067" s="598"/>
      <c r="L1067" s="598"/>
      <c r="Q1067" s="432">
        <v>46099</v>
      </c>
      <c r="R1067" s="433">
        <v>0.79166666666666663</v>
      </c>
      <c r="S1067" s="434" t="s">
        <v>289</v>
      </c>
      <c r="T1067" s="434" t="s">
        <v>461</v>
      </c>
      <c r="U1067" s="435">
        <v>1</v>
      </c>
      <c r="V1067" s="436" t="str">
        <f t="shared" si="549"/>
        <v>chunks</v>
      </c>
      <c r="W1067" s="437">
        <f t="shared" si="550"/>
        <v>24.285714285714285</v>
      </c>
      <c r="X1067" s="437">
        <f t="shared" si="551"/>
        <v>0.42857142857142855</v>
      </c>
      <c r="Y1067" s="437">
        <f t="shared" si="552"/>
        <v>1.4285714285714284</v>
      </c>
      <c r="Z1067" s="437">
        <f t="shared" si="553"/>
        <v>2.5714285714285712</v>
      </c>
      <c r="AA1067" s="437">
        <f t="shared" si="554"/>
        <v>7.1428571428571425E-2</v>
      </c>
      <c r="AB1067" s="584">
        <f t="shared" si="555"/>
        <v>0</v>
      </c>
      <c r="AC1067" s="434"/>
    </row>
    <row r="1068" spans="5:29">
      <c r="E1068" s="598"/>
      <c r="F1068" s="699"/>
      <c r="G1068" s="700"/>
      <c r="H1068" s="598"/>
      <c r="I1068" s="598"/>
      <c r="J1068" s="598"/>
      <c r="K1068" s="598"/>
      <c r="L1068" s="598"/>
      <c r="Q1068" s="432">
        <v>46099</v>
      </c>
      <c r="R1068" s="433">
        <v>0.79166666666666696</v>
      </c>
      <c r="S1068" s="434" t="s">
        <v>199</v>
      </c>
      <c r="T1068" s="434" t="s">
        <v>430</v>
      </c>
      <c r="U1068" s="435">
        <v>410</v>
      </c>
      <c r="V1068" s="436" t="str">
        <f t="shared" si="549"/>
        <v>g</v>
      </c>
      <c r="W1068" s="437">
        <f t="shared" si="550"/>
        <v>315.7</v>
      </c>
      <c r="X1068" s="437">
        <f t="shared" si="551"/>
        <v>8.1999999999999993</v>
      </c>
      <c r="Y1068" s="437">
        <f t="shared" si="552"/>
        <v>0</v>
      </c>
      <c r="Z1068" s="437">
        <f t="shared" si="553"/>
        <v>69.699999999999989</v>
      </c>
      <c r="AA1068" s="437">
        <f t="shared" si="554"/>
        <v>8.1999999999999993</v>
      </c>
      <c r="AB1068" s="584">
        <f t="shared" si="555"/>
        <v>0</v>
      </c>
      <c r="AC1068" s="434"/>
    </row>
    <row r="1069" spans="5:29">
      <c r="E1069" s="598"/>
      <c r="F1069" s="699"/>
      <c r="G1069" s="700"/>
      <c r="H1069" s="598"/>
      <c r="I1069" s="598"/>
      <c r="J1069" s="598"/>
      <c r="K1069" s="598"/>
      <c r="L1069" s="598"/>
      <c r="Q1069" s="432">
        <v>46099</v>
      </c>
      <c r="R1069" s="433">
        <v>0.79166666666666696</v>
      </c>
      <c r="S1069" s="434" t="s">
        <v>199</v>
      </c>
      <c r="T1069" s="434" t="s">
        <v>176</v>
      </c>
      <c r="U1069" s="435">
        <v>200</v>
      </c>
      <c r="V1069" s="436" t="str">
        <f t="shared" si="549"/>
        <v>g</v>
      </c>
      <c r="W1069" s="437">
        <f t="shared" si="550"/>
        <v>330</v>
      </c>
      <c r="X1069" s="437">
        <f t="shared" si="551"/>
        <v>50</v>
      </c>
      <c r="Y1069" s="437">
        <f t="shared" si="552"/>
        <v>7.2</v>
      </c>
      <c r="Z1069" s="437">
        <f t="shared" si="553"/>
        <v>0</v>
      </c>
      <c r="AA1069" s="437">
        <f t="shared" si="554"/>
        <v>0</v>
      </c>
      <c r="AB1069" s="584">
        <f t="shared" si="555"/>
        <v>0</v>
      </c>
      <c r="AC1069" s="434"/>
    </row>
    <row r="1070" spans="5:29">
      <c r="E1070" s="598"/>
      <c r="F1070" s="699"/>
      <c r="G1070" s="700"/>
      <c r="H1070" s="598"/>
      <c r="I1070" s="598"/>
      <c r="J1070" s="598"/>
      <c r="K1070" s="598"/>
      <c r="L1070" s="598"/>
      <c r="Q1070" s="432">
        <v>46099</v>
      </c>
      <c r="R1070" s="433">
        <v>0.79166666666666696</v>
      </c>
      <c r="S1070" s="434" t="s">
        <v>289</v>
      </c>
      <c r="T1070" s="434" t="s">
        <v>847</v>
      </c>
      <c r="U1070" s="435"/>
      <c r="V1070" s="436" t="str">
        <f t="shared" si="549"/>
        <v>can</v>
      </c>
      <c r="W1070" s="437">
        <f t="shared" si="550"/>
        <v>0</v>
      </c>
      <c r="X1070" s="437">
        <f t="shared" si="551"/>
        <v>0</v>
      </c>
      <c r="Y1070" s="437">
        <f t="shared" si="552"/>
        <v>0</v>
      </c>
      <c r="Z1070" s="437">
        <f t="shared" si="553"/>
        <v>0</v>
      </c>
      <c r="AA1070" s="437">
        <f t="shared" si="554"/>
        <v>0</v>
      </c>
      <c r="AB1070" s="584">
        <f t="shared" si="555"/>
        <v>0</v>
      </c>
      <c r="AC1070" s="434"/>
    </row>
    <row r="1071" spans="5:29">
      <c r="E1071" s="598"/>
      <c r="F1071" s="699"/>
      <c r="G1071" s="700"/>
      <c r="H1071" s="598"/>
      <c r="I1071" s="598"/>
      <c r="J1071" s="598"/>
      <c r="K1071" s="598"/>
      <c r="L1071" s="598"/>
      <c r="Q1071" s="432">
        <v>46099</v>
      </c>
      <c r="R1071" s="433">
        <v>0.91666666666666663</v>
      </c>
      <c r="S1071" s="434" t="s">
        <v>199</v>
      </c>
      <c r="T1071" s="434" t="s">
        <v>209</v>
      </c>
      <c r="U1071" s="435">
        <v>3</v>
      </c>
      <c r="V1071" s="436" t="str">
        <f t="shared" si="549"/>
        <v>tbsp</v>
      </c>
      <c r="W1071" s="437">
        <f t="shared" si="550"/>
        <v>60</v>
      </c>
      <c r="X1071" s="437">
        <f t="shared" si="551"/>
        <v>0</v>
      </c>
      <c r="Y1071" s="437">
        <f t="shared" si="552"/>
        <v>0</v>
      </c>
      <c r="Z1071" s="437">
        <f t="shared" si="553"/>
        <v>15</v>
      </c>
      <c r="AA1071" s="437">
        <f t="shared" si="554"/>
        <v>13.5</v>
      </c>
      <c r="AB1071" s="584">
        <f t="shared" si="555"/>
        <v>0</v>
      </c>
      <c r="AC1071" s="434"/>
    </row>
    <row r="1072" spans="5:29">
      <c r="E1072" s="598"/>
      <c r="F1072" s="699"/>
      <c r="G1072" s="700"/>
      <c r="H1072" s="598"/>
      <c r="I1072" s="598"/>
      <c r="J1072" s="598"/>
      <c r="K1072" s="598"/>
      <c r="L1072" s="598"/>
      <c r="Q1072" s="432">
        <v>46099</v>
      </c>
      <c r="R1072" s="433">
        <v>0.91666666666666696</v>
      </c>
      <c r="S1072" s="434" t="s">
        <v>289</v>
      </c>
      <c r="T1072" s="434" t="s">
        <v>212</v>
      </c>
      <c r="U1072" s="435">
        <v>1</v>
      </c>
      <c r="V1072" s="436" t="str">
        <f t="shared" si="549"/>
        <v>bottle</v>
      </c>
      <c r="W1072" s="437">
        <f t="shared" si="550"/>
        <v>70</v>
      </c>
      <c r="X1072" s="437">
        <f t="shared" si="551"/>
        <v>0</v>
      </c>
      <c r="Y1072" s="437">
        <f t="shared" si="552"/>
        <v>0</v>
      </c>
      <c r="Z1072" s="437">
        <f t="shared" si="553"/>
        <v>17</v>
      </c>
      <c r="AA1072" s="437">
        <f t="shared" si="554"/>
        <v>1</v>
      </c>
      <c r="AB1072" s="584">
        <f t="shared" si="555"/>
        <v>0</v>
      </c>
      <c r="AC1072" s="434"/>
    </row>
    <row r="1073" spans="5:31">
      <c r="E1073" s="598"/>
      <c r="F1073" s="699"/>
      <c r="G1073" s="700"/>
      <c r="H1073" s="598"/>
      <c r="I1073" s="598"/>
      <c r="J1073" s="598"/>
      <c r="K1073" s="598"/>
      <c r="L1073" s="598"/>
      <c r="Q1073" s="432">
        <v>46099</v>
      </c>
      <c r="R1073" s="433">
        <v>0.91666666666666696</v>
      </c>
      <c r="S1073" s="434" t="s">
        <v>289</v>
      </c>
      <c r="T1073" s="434" t="s">
        <v>461</v>
      </c>
      <c r="U1073" s="435">
        <v>1</v>
      </c>
      <c r="V1073" s="436" t="str">
        <f t="shared" si="549"/>
        <v>chunks</v>
      </c>
      <c r="W1073" s="437">
        <f t="shared" si="550"/>
        <v>24.285714285714285</v>
      </c>
      <c r="X1073" s="437">
        <f t="shared" si="551"/>
        <v>0.42857142857142855</v>
      </c>
      <c r="Y1073" s="437">
        <f t="shared" si="552"/>
        <v>1.4285714285714284</v>
      </c>
      <c r="Z1073" s="437">
        <f t="shared" si="553"/>
        <v>2.5714285714285712</v>
      </c>
      <c r="AA1073" s="437">
        <f t="shared" si="554"/>
        <v>7.1428571428571425E-2</v>
      </c>
      <c r="AB1073" s="684">
        <f t="shared" si="555"/>
        <v>0</v>
      </c>
      <c r="AC1073" s="434"/>
    </row>
    <row r="1074" spans="5:31">
      <c r="E1074" s="598"/>
      <c r="F1074" s="699"/>
      <c r="G1074" s="700"/>
      <c r="H1074" s="598"/>
      <c r="I1074" s="598"/>
      <c r="J1074" s="598"/>
      <c r="K1074" s="598"/>
      <c r="L1074" s="598"/>
      <c r="Q1074" s="438"/>
      <c r="R1074" s="439" t="s">
        <v>217</v>
      </c>
      <c r="S1074" s="440"/>
      <c r="T1074" s="441"/>
      <c r="U1074" s="441"/>
      <c r="V1074" s="442"/>
      <c r="W1074" s="443">
        <f t="shared" ref="W1074:AB1074" si="556">SUM(W1058:W1073)</f>
        <v>2363.6714285714284</v>
      </c>
      <c r="X1074" s="443">
        <f t="shared" si="556"/>
        <v>167.88214285714284</v>
      </c>
      <c r="Y1074" s="443">
        <f t="shared" si="556"/>
        <v>57.243142857142864</v>
      </c>
      <c r="Z1074" s="443">
        <f t="shared" si="556"/>
        <v>263.14285714285711</v>
      </c>
      <c r="AA1074" s="685">
        <f t="shared" si="556"/>
        <v>34.142857142857139</v>
      </c>
      <c r="AB1074" s="691">
        <f t="shared" si="556"/>
        <v>80</v>
      </c>
      <c r="AC1074" s="439"/>
    </row>
    <row r="1075" spans="5:31">
      <c r="E1075" s="598"/>
      <c r="F1075" s="699"/>
      <c r="G1075" s="700"/>
      <c r="H1075" s="598"/>
      <c r="I1075" s="598"/>
      <c r="J1075" s="598"/>
      <c r="K1075" s="598"/>
      <c r="L1075" s="598"/>
      <c r="Q1075" s="438"/>
      <c r="R1075" s="439" t="s">
        <v>220</v>
      </c>
      <c r="S1075" s="440"/>
      <c r="T1075" s="441"/>
      <c r="U1075" s="441"/>
      <c r="V1075" s="442"/>
      <c r="W1075" s="444">
        <f>$B$27</f>
        <v>2834.5625</v>
      </c>
      <c r="X1075" s="444">
        <f>$B$29</f>
        <v>154</v>
      </c>
      <c r="Y1075" s="444">
        <f>$B$30</f>
        <v>63.91</v>
      </c>
      <c r="Z1075" s="444">
        <f>$B$31</f>
        <v>410.84312499999999</v>
      </c>
      <c r="AA1075" s="692">
        <f>$B$32</f>
        <v>39.683875</v>
      </c>
      <c r="AB1075" s="695">
        <f>$B$39</f>
        <v>500</v>
      </c>
      <c r="AC1075" s="439"/>
    </row>
    <row r="1076" spans="5:31">
      <c r="E1076" s="598"/>
      <c r="F1076" s="699"/>
      <c r="G1076" s="700"/>
      <c r="H1076" s="598"/>
      <c r="I1076" s="598"/>
      <c r="J1076" s="598"/>
      <c r="K1076" s="598"/>
      <c r="L1076" s="598"/>
      <c r="Q1076" s="438"/>
      <c r="R1076" s="439" t="s">
        <v>222</v>
      </c>
      <c r="S1076" s="440"/>
      <c r="T1076" s="441"/>
      <c r="U1076" s="441"/>
      <c r="V1076" s="442"/>
      <c r="W1076" s="284">
        <f t="shared" ref="W1076:AB1076" si="557">W1074-W1075</f>
        <v>-470.89107142857165</v>
      </c>
      <c r="X1076" s="284">
        <f t="shared" si="557"/>
        <v>13.882142857142838</v>
      </c>
      <c r="Y1076" s="284">
        <f t="shared" si="557"/>
        <v>-6.6668571428571326</v>
      </c>
      <c r="Z1076" s="284">
        <f t="shared" si="557"/>
        <v>-147.70026785714288</v>
      </c>
      <c r="AA1076" s="690">
        <f t="shared" si="557"/>
        <v>-5.5410178571428617</v>
      </c>
      <c r="AB1076" s="689">
        <f t="shared" si="557"/>
        <v>-420</v>
      </c>
      <c r="AC1076" s="439"/>
    </row>
    <row r="1077" spans="5:31">
      <c r="E1077" s="598"/>
      <c r="F1077" s="699"/>
      <c r="G1077" s="700"/>
      <c r="H1077" s="598"/>
      <c r="I1077" s="598"/>
      <c r="J1077" s="598"/>
      <c r="K1077" s="598"/>
      <c r="L1077" s="598"/>
      <c r="Q1077" s="432">
        <v>46100</v>
      </c>
      <c r="R1077" s="433">
        <v>0.33333333333333331</v>
      </c>
      <c r="S1077" s="434" t="s">
        <v>178</v>
      </c>
      <c r="T1077" s="434" t="s">
        <v>753</v>
      </c>
      <c r="U1077" s="435">
        <v>100</v>
      </c>
      <c r="V1077" s="436" t="str">
        <f t="shared" ref="V1077:V1093" si="558">IFERROR(VLOOKUP(T1077, $E$5:$L$818, 3, FALSE), "")</f>
        <v>g</v>
      </c>
      <c r="W1077" s="437">
        <f t="shared" ref="W1077:W1093" si="559">IFERROR(VLOOKUP(T1077, $E$5:$L$818, 4, FALSE) * (U1077 / VLOOKUP(T1077, $E$5:$L$818, 2, FALSE)), "")</f>
        <v>130</v>
      </c>
      <c r="X1077" s="437">
        <f t="shared" ref="X1077:X1093" si="560">IFERROR(VLOOKUP(T1077, $E$5:$L$818, 5, FALSE) * (U1077 / VLOOKUP(T1077, $E$5:$L$818, 2, FALSE)), "")</f>
        <v>1</v>
      </c>
      <c r="Y1077" s="437">
        <f t="shared" ref="Y1077:Y1093" si="561">IFERROR(VLOOKUP(T1077, $E$5:$L$818, 6, FALSE) * (U1077 / VLOOKUP(T1077, $E$5:$L$818, 2, FALSE)), "")</f>
        <v>0</v>
      </c>
      <c r="Z1077" s="437">
        <f t="shared" ref="Z1077:Z1093" si="562">IFERROR(VLOOKUP(T1077, $E$5:$L$818, 7, FALSE) * (U1077 / VLOOKUP(T1077, $E$5:$L$818, 2, FALSE)), "")</f>
        <v>31</v>
      </c>
      <c r="AA1077" s="437">
        <f t="shared" ref="AA1077:AA1093" si="563">IFERROR(VLOOKUP(T1077, $E$5:$L$818, 8, FALSE) * (U1077 / VLOOKUP(T1077, $E$5:$L$818, 2, FALSE)), "")</f>
        <v>3</v>
      </c>
      <c r="AB1077" s="674">
        <f t="shared" ref="AB1077:AB1095" si="564">IFERROR(VLOOKUP(T1077, $E$5:$O$818, 9, FALSE) * (U1077 / VLOOKUP(T1077, $E$5:$O$818, 2, FALSE)), "")</f>
        <v>0</v>
      </c>
      <c r="AC1077" s="434"/>
    </row>
    <row r="1078" spans="5:31">
      <c r="E1078" s="598"/>
      <c r="F1078" s="699"/>
      <c r="G1078" s="700"/>
      <c r="H1078" s="598"/>
      <c r="I1078" s="598"/>
      <c r="J1078" s="598"/>
      <c r="K1078" s="598"/>
      <c r="L1078" s="598"/>
      <c r="Q1078" s="432">
        <v>46100</v>
      </c>
      <c r="R1078" s="433">
        <v>0.33333333333333298</v>
      </c>
      <c r="S1078" s="434" t="s">
        <v>178</v>
      </c>
      <c r="T1078" s="434" t="s">
        <v>295</v>
      </c>
      <c r="U1078" s="435">
        <v>1</v>
      </c>
      <c r="V1078" s="436" t="str">
        <f t="shared" si="558"/>
        <v>bottle</v>
      </c>
      <c r="W1078" s="437">
        <f t="shared" si="559"/>
        <v>200</v>
      </c>
      <c r="X1078" s="437">
        <f t="shared" si="560"/>
        <v>35</v>
      </c>
      <c r="Y1078" s="437">
        <f t="shared" si="561"/>
        <v>2.5</v>
      </c>
      <c r="Z1078" s="437">
        <f t="shared" si="562"/>
        <v>9</v>
      </c>
      <c r="AA1078" s="437">
        <f t="shared" si="563"/>
        <v>0</v>
      </c>
      <c r="AB1078" s="584">
        <f t="shared" si="564"/>
        <v>0</v>
      </c>
      <c r="AC1078" s="434"/>
    </row>
    <row r="1079" spans="5:31">
      <c r="E1079" s="598"/>
      <c r="F1079" s="699"/>
      <c r="G1079" s="700"/>
      <c r="H1079" s="598"/>
      <c r="I1079" s="598"/>
      <c r="J1079" s="598"/>
      <c r="K1079" s="598"/>
      <c r="L1079" s="598"/>
      <c r="Q1079" s="432">
        <v>46100</v>
      </c>
      <c r="R1079" s="433">
        <v>0.375</v>
      </c>
      <c r="S1079" s="434" t="s">
        <v>178</v>
      </c>
      <c r="T1079" s="434" t="s">
        <v>181</v>
      </c>
      <c r="U1079" s="435">
        <v>2</v>
      </c>
      <c r="V1079" s="436" t="str">
        <f t="shared" si="558"/>
        <v>slice</v>
      </c>
      <c r="W1079" s="437">
        <f t="shared" si="559"/>
        <v>140</v>
      </c>
      <c r="X1079" s="437">
        <f t="shared" si="560"/>
        <v>5</v>
      </c>
      <c r="Y1079" s="437">
        <f t="shared" si="561"/>
        <v>2.5</v>
      </c>
      <c r="Z1079" s="437">
        <f t="shared" si="562"/>
        <v>24</v>
      </c>
      <c r="AA1079" s="437">
        <f t="shared" si="563"/>
        <v>2</v>
      </c>
      <c r="AB1079" s="584">
        <f t="shared" si="564"/>
        <v>0</v>
      </c>
      <c r="AC1079" s="434"/>
    </row>
    <row r="1080" spans="5:31">
      <c r="E1080" s="598"/>
      <c r="F1080" s="699"/>
      <c r="G1080" s="700"/>
      <c r="H1080" s="598"/>
      <c r="I1080" s="598"/>
      <c r="J1080" s="598"/>
      <c r="K1080" s="598"/>
      <c r="L1080" s="598"/>
      <c r="Q1080" s="432">
        <v>46100</v>
      </c>
      <c r="R1080" s="433">
        <v>0.375</v>
      </c>
      <c r="S1080" s="434" t="s">
        <v>289</v>
      </c>
      <c r="T1080" s="434" t="s">
        <v>827</v>
      </c>
      <c r="U1080" s="435">
        <v>1</v>
      </c>
      <c r="V1080" s="436" t="str">
        <f t="shared" si="558"/>
        <v>pack</v>
      </c>
      <c r="W1080" s="437">
        <f t="shared" si="559"/>
        <v>20</v>
      </c>
      <c r="X1080" s="437">
        <f t="shared" si="560"/>
        <v>0</v>
      </c>
      <c r="Y1080" s="437">
        <f t="shared" si="561"/>
        <v>0.5</v>
      </c>
      <c r="Z1080" s="437">
        <f t="shared" si="562"/>
        <v>3</v>
      </c>
      <c r="AA1080" s="437">
        <f t="shared" si="563"/>
        <v>0</v>
      </c>
      <c r="AB1080" s="584">
        <f t="shared" si="564"/>
        <v>0</v>
      </c>
      <c r="AC1080" s="434"/>
    </row>
    <row r="1081" spans="5:31">
      <c r="E1081" s="598"/>
      <c r="F1081" s="699"/>
      <c r="G1081" s="700"/>
      <c r="H1081" s="598"/>
      <c r="I1081" s="598"/>
      <c r="J1081" s="598"/>
      <c r="K1081" s="598"/>
      <c r="L1081" s="598"/>
      <c r="Q1081" s="432">
        <v>46100</v>
      </c>
      <c r="R1081" s="433">
        <v>0.375</v>
      </c>
      <c r="S1081" s="434" t="s">
        <v>289</v>
      </c>
      <c r="T1081" s="434" t="s">
        <v>464</v>
      </c>
      <c r="U1081" s="435">
        <v>1</v>
      </c>
      <c r="V1081" s="436" t="str">
        <f t="shared" si="558"/>
        <v>lozenge</v>
      </c>
      <c r="W1081" s="437">
        <f t="shared" si="559"/>
        <v>10</v>
      </c>
      <c r="X1081" s="437">
        <f t="shared" si="560"/>
        <v>0</v>
      </c>
      <c r="Y1081" s="437">
        <f t="shared" si="561"/>
        <v>0</v>
      </c>
      <c r="Z1081" s="437">
        <f t="shared" si="562"/>
        <v>3</v>
      </c>
      <c r="AA1081" s="437">
        <f t="shared" si="563"/>
        <v>0</v>
      </c>
      <c r="AB1081" s="584">
        <f t="shared" si="564"/>
        <v>0</v>
      </c>
      <c r="AC1081" s="434"/>
      <c r="AD1081" s="450"/>
      <c r="AE1081" s="450"/>
    </row>
    <row r="1082" spans="5:31">
      <c r="E1082" s="598"/>
      <c r="F1082" s="699"/>
      <c r="G1082" s="700"/>
      <c r="H1082" s="598"/>
      <c r="I1082" s="598"/>
      <c r="J1082" s="598"/>
      <c r="K1082" s="598"/>
      <c r="L1082" s="598"/>
      <c r="Q1082" s="432">
        <v>46100</v>
      </c>
      <c r="R1082" s="433">
        <v>0.375</v>
      </c>
      <c r="S1082" s="434" t="s">
        <v>178</v>
      </c>
      <c r="T1082" s="434" t="s">
        <v>754</v>
      </c>
      <c r="U1082" s="435">
        <v>100</v>
      </c>
      <c r="V1082" s="436" t="str">
        <f t="shared" si="558"/>
        <v>g</v>
      </c>
      <c r="W1082" s="437">
        <f t="shared" si="559"/>
        <v>110</v>
      </c>
      <c r="X1082" s="437">
        <f t="shared" si="560"/>
        <v>2.6666666666666665</v>
      </c>
      <c r="Y1082" s="437">
        <f t="shared" si="561"/>
        <v>0.66666666666666663</v>
      </c>
      <c r="Z1082" s="437">
        <f t="shared" si="562"/>
        <v>22.666666666666664</v>
      </c>
      <c r="AA1082" s="437">
        <f t="shared" si="563"/>
        <v>1.3333333333333333</v>
      </c>
      <c r="AB1082" s="584">
        <f t="shared" si="564"/>
        <v>0</v>
      </c>
      <c r="AC1082" s="434"/>
      <c r="AD1082" s="450"/>
      <c r="AE1082" s="450"/>
    </row>
    <row r="1083" spans="5:31">
      <c r="E1083" s="598"/>
      <c r="F1083" s="699"/>
      <c r="G1083" s="700"/>
      <c r="H1083" s="598"/>
      <c r="I1083" s="598"/>
      <c r="J1083" s="598"/>
      <c r="K1083" s="598"/>
      <c r="L1083" s="598"/>
      <c r="Q1083" s="432">
        <v>46100</v>
      </c>
      <c r="R1083" s="433">
        <v>0.375</v>
      </c>
      <c r="S1083" s="434" t="s">
        <v>178</v>
      </c>
      <c r="T1083" s="434" t="s">
        <v>176</v>
      </c>
      <c r="U1083" s="435">
        <v>250</v>
      </c>
      <c r="V1083" s="436" t="str">
        <f t="shared" si="558"/>
        <v>g</v>
      </c>
      <c r="W1083" s="437">
        <f t="shared" si="559"/>
        <v>412.5</v>
      </c>
      <c r="X1083" s="437">
        <f t="shared" si="560"/>
        <v>62.5</v>
      </c>
      <c r="Y1083" s="437">
        <f t="shared" si="561"/>
        <v>9</v>
      </c>
      <c r="Z1083" s="437">
        <f t="shared" si="562"/>
        <v>0</v>
      </c>
      <c r="AA1083" s="437">
        <f t="shared" si="563"/>
        <v>0</v>
      </c>
      <c r="AB1083" s="584">
        <f t="shared" si="564"/>
        <v>0</v>
      </c>
      <c r="AC1083" s="434"/>
      <c r="AD1083" s="450"/>
      <c r="AE1083" s="450"/>
    </row>
    <row r="1084" spans="5:31">
      <c r="E1084" s="598"/>
      <c r="F1084" s="699"/>
      <c r="G1084" s="700"/>
      <c r="H1084" s="598"/>
      <c r="I1084" s="598"/>
      <c r="J1084" s="598"/>
      <c r="K1084" s="598"/>
      <c r="L1084" s="598"/>
      <c r="Q1084" s="432">
        <v>46100</v>
      </c>
      <c r="R1084" s="433">
        <v>0.58333333333333337</v>
      </c>
      <c r="S1084" s="434" t="s">
        <v>289</v>
      </c>
      <c r="T1084" s="434" t="s">
        <v>423</v>
      </c>
      <c r="U1084" s="435">
        <v>2</v>
      </c>
      <c r="V1084" s="436" t="str">
        <f t="shared" si="558"/>
        <v>pieces</v>
      </c>
      <c r="W1084" s="437">
        <f t="shared" si="559"/>
        <v>15</v>
      </c>
      <c r="X1084" s="437">
        <f t="shared" si="560"/>
        <v>0</v>
      </c>
      <c r="Y1084" s="437">
        <f t="shared" si="561"/>
        <v>0</v>
      </c>
      <c r="Z1084" s="437">
        <f t="shared" si="562"/>
        <v>3</v>
      </c>
      <c r="AA1084" s="437">
        <f t="shared" si="563"/>
        <v>0</v>
      </c>
      <c r="AB1084" s="584">
        <f t="shared" si="564"/>
        <v>0</v>
      </c>
      <c r="AC1084" s="434"/>
      <c r="AD1084" s="450"/>
      <c r="AE1084" s="450"/>
    </row>
    <row r="1085" spans="5:31">
      <c r="E1085" s="598"/>
      <c r="F1085" s="699"/>
      <c r="G1085" s="700"/>
      <c r="H1085" s="598"/>
      <c r="I1085" s="598"/>
      <c r="J1085" s="598"/>
      <c r="K1085" s="598"/>
      <c r="L1085" s="598"/>
      <c r="Q1085" s="432">
        <v>46100</v>
      </c>
      <c r="R1085" s="433">
        <v>0.75</v>
      </c>
      <c r="S1085" s="434" t="s">
        <v>199</v>
      </c>
      <c r="T1085" s="434" t="s">
        <v>181</v>
      </c>
      <c r="U1085" s="435">
        <v>2</v>
      </c>
      <c r="V1085" s="436" t="str">
        <f t="shared" si="558"/>
        <v>slice</v>
      </c>
      <c r="W1085" s="437">
        <f t="shared" si="559"/>
        <v>140</v>
      </c>
      <c r="X1085" s="437">
        <f t="shared" si="560"/>
        <v>5</v>
      </c>
      <c r="Y1085" s="437">
        <f t="shared" si="561"/>
        <v>2.5</v>
      </c>
      <c r="Z1085" s="437">
        <f t="shared" si="562"/>
        <v>24</v>
      </c>
      <c r="AA1085" s="437">
        <f t="shared" si="563"/>
        <v>2</v>
      </c>
      <c r="AB1085" s="584">
        <f t="shared" si="564"/>
        <v>0</v>
      </c>
      <c r="AC1085" s="434"/>
      <c r="AD1085" s="450"/>
      <c r="AE1085" s="450"/>
    </row>
    <row r="1086" spans="5:31">
      <c r="E1086" s="598"/>
      <c r="F1086" s="699"/>
      <c r="G1086" s="700"/>
      <c r="H1086" s="598"/>
      <c r="I1086" s="598"/>
      <c r="J1086" s="598"/>
      <c r="K1086" s="598"/>
      <c r="L1086" s="598"/>
      <c r="Q1086" s="432">
        <v>46100</v>
      </c>
      <c r="R1086" s="433">
        <v>0.75</v>
      </c>
      <c r="S1086" s="434" t="s">
        <v>289</v>
      </c>
      <c r="T1086" s="434" t="s">
        <v>827</v>
      </c>
      <c r="U1086" s="435">
        <v>1</v>
      </c>
      <c r="V1086" s="436" t="str">
        <f t="shared" si="558"/>
        <v>pack</v>
      </c>
      <c r="W1086" s="437">
        <f t="shared" si="559"/>
        <v>20</v>
      </c>
      <c r="X1086" s="437">
        <f t="shared" si="560"/>
        <v>0</v>
      </c>
      <c r="Y1086" s="437">
        <f t="shared" si="561"/>
        <v>0.5</v>
      </c>
      <c r="Z1086" s="437">
        <f t="shared" si="562"/>
        <v>3</v>
      </c>
      <c r="AA1086" s="437">
        <f t="shared" si="563"/>
        <v>0</v>
      </c>
      <c r="AB1086" s="584">
        <f t="shared" si="564"/>
        <v>0</v>
      </c>
      <c r="AC1086" s="434"/>
      <c r="AD1086" s="450"/>
      <c r="AE1086" s="450"/>
    </row>
    <row r="1087" spans="5:31">
      <c r="E1087" s="598"/>
      <c r="F1087" s="699"/>
      <c r="G1087" s="700"/>
      <c r="H1087" s="598"/>
      <c r="I1087" s="598"/>
      <c r="J1087" s="598"/>
      <c r="K1087" s="598"/>
      <c r="L1087" s="598"/>
      <c r="Q1087" s="432">
        <v>46100</v>
      </c>
      <c r="R1087" s="433">
        <v>0.79166666666666663</v>
      </c>
      <c r="S1087" s="434" t="s">
        <v>289</v>
      </c>
      <c r="T1087" s="434" t="s">
        <v>461</v>
      </c>
      <c r="U1087" s="435">
        <v>1</v>
      </c>
      <c r="V1087" s="436" t="str">
        <f t="shared" si="558"/>
        <v>chunks</v>
      </c>
      <c r="W1087" s="437">
        <f t="shared" si="559"/>
        <v>24.285714285714285</v>
      </c>
      <c r="X1087" s="437">
        <f t="shared" si="560"/>
        <v>0.42857142857142855</v>
      </c>
      <c r="Y1087" s="437">
        <f t="shared" si="561"/>
        <v>1.4285714285714284</v>
      </c>
      <c r="Z1087" s="437">
        <f t="shared" si="562"/>
        <v>2.5714285714285712</v>
      </c>
      <c r="AA1087" s="437">
        <f t="shared" si="563"/>
        <v>7.1428571428571425E-2</v>
      </c>
      <c r="AB1087" s="584">
        <f t="shared" si="564"/>
        <v>0</v>
      </c>
      <c r="AC1087" s="434"/>
      <c r="AD1087" s="450"/>
      <c r="AE1087" s="450"/>
    </row>
    <row r="1088" spans="5:31">
      <c r="E1088" s="598"/>
      <c r="F1088" s="699"/>
      <c r="G1088" s="700"/>
      <c r="H1088" s="598"/>
      <c r="I1088" s="598"/>
      <c r="J1088" s="598"/>
      <c r="K1088" s="598"/>
      <c r="L1088" s="598"/>
      <c r="Q1088" s="432">
        <v>46100</v>
      </c>
      <c r="R1088" s="433">
        <v>0.79166666666666696</v>
      </c>
      <c r="S1088" s="434" t="s">
        <v>199</v>
      </c>
      <c r="T1088" s="434" t="s">
        <v>754</v>
      </c>
      <c r="U1088" s="435">
        <v>242</v>
      </c>
      <c r="V1088" s="436" t="str">
        <f t="shared" si="558"/>
        <v>g</v>
      </c>
      <c r="W1088" s="437">
        <f t="shared" si="559"/>
        <v>266.2</v>
      </c>
      <c r="X1088" s="437">
        <f t="shared" si="560"/>
        <v>6.4533333333333331</v>
      </c>
      <c r="Y1088" s="437">
        <f t="shared" si="561"/>
        <v>1.6133333333333333</v>
      </c>
      <c r="Z1088" s="437">
        <f t="shared" si="562"/>
        <v>54.853333333333332</v>
      </c>
      <c r="AA1088" s="437">
        <f t="shared" si="563"/>
        <v>3.2266666666666666</v>
      </c>
      <c r="AB1088" s="584">
        <f t="shared" si="564"/>
        <v>0</v>
      </c>
      <c r="AC1088" s="434"/>
      <c r="AD1088" s="450"/>
      <c r="AE1088" s="450"/>
    </row>
    <row r="1089" spans="5:31">
      <c r="E1089" s="598"/>
      <c r="F1089" s="699"/>
      <c r="G1089" s="700"/>
      <c r="H1089" s="598"/>
      <c r="I1089" s="598"/>
      <c r="J1089" s="598"/>
      <c r="K1089" s="598"/>
      <c r="L1089" s="598"/>
      <c r="Q1089" s="432">
        <v>46100</v>
      </c>
      <c r="R1089" s="433">
        <v>0.79166666666666696</v>
      </c>
      <c r="S1089" s="434" t="s">
        <v>199</v>
      </c>
      <c r="T1089" s="434" t="s">
        <v>176</v>
      </c>
      <c r="U1089" s="435">
        <v>200</v>
      </c>
      <c r="V1089" s="436" t="str">
        <f t="shared" si="558"/>
        <v>g</v>
      </c>
      <c r="W1089" s="437">
        <f t="shared" si="559"/>
        <v>330</v>
      </c>
      <c r="X1089" s="437">
        <f t="shared" si="560"/>
        <v>50</v>
      </c>
      <c r="Y1089" s="437">
        <f t="shared" si="561"/>
        <v>7.2</v>
      </c>
      <c r="Z1089" s="437">
        <f t="shared" si="562"/>
        <v>0</v>
      </c>
      <c r="AA1089" s="437">
        <f t="shared" si="563"/>
        <v>0</v>
      </c>
      <c r="AB1089" s="584">
        <f t="shared" si="564"/>
        <v>0</v>
      </c>
      <c r="AC1089" s="434"/>
      <c r="AD1089" s="450"/>
      <c r="AE1089" s="450"/>
    </row>
    <row r="1090" spans="5:31">
      <c r="E1090" s="598"/>
      <c r="F1090" s="699"/>
      <c r="G1090" s="700"/>
      <c r="H1090" s="598"/>
      <c r="I1090" s="598"/>
      <c r="J1090" s="598"/>
      <c r="K1090" s="598"/>
      <c r="L1090" s="598"/>
      <c r="Q1090" s="432">
        <v>46100</v>
      </c>
      <c r="R1090" s="433">
        <v>0.79166666666666696</v>
      </c>
      <c r="S1090" s="434" t="s">
        <v>289</v>
      </c>
      <c r="T1090" s="434" t="s">
        <v>846</v>
      </c>
      <c r="U1090" s="435">
        <v>1</v>
      </c>
      <c r="V1090" s="436" t="str">
        <f t="shared" si="558"/>
        <v>can</v>
      </c>
      <c r="W1090" s="437">
        <f t="shared" si="559"/>
        <v>0</v>
      </c>
      <c r="X1090" s="437">
        <f t="shared" si="560"/>
        <v>0</v>
      </c>
      <c r="Y1090" s="437">
        <f t="shared" si="561"/>
        <v>0</v>
      </c>
      <c r="Z1090" s="437">
        <f t="shared" si="562"/>
        <v>1</v>
      </c>
      <c r="AA1090" s="437">
        <f t="shared" si="563"/>
        <v>0</v>
      </c>
      <c r="AB1090" s="584">
        <f t="shared" si="564"/>
        <v>0</v>
      </c>
      <c r="AC1090" s="434"/>
      <c r="AD1090" s="450"/>
      <c r="AE1090" s="450"/>
    </row>
    <row r="1091" spans="5:31">
      <c r="E1091" s="598"/>
      <c r="F1091" s="699"/>
      <c r="G1091" s="700"/>
      <c r="H1091" s="598"/>
      <c r="I1091" s="598"/>
      <c r="J1091" s="598"/>
      <c r="K1091" s="598"/>
      <c r="L1091" s="598"/>
      <c r="Q1091" s="432">
        <v>46100</v>
      </c>
      <c r="R1091" s="433">
        <v>0.79166666666666696</v>
      </c>
      <c r="S1091" s="434" t="s">
        <v>289</v>
      </c>
      <c r="T1091" s="434" t="s">
        <v>214</v>
      </c>
      <c r="U1091" s="435">
        <v>1</v>
      </c>
      <c r="V1091" s="436" t="str">
        <f t="shared" si="558"/>
        <v>bar</v>
      </c>
      <c r="W1091" s="437">
        <f t="shared" si="559"/>
        <v>67</v>
      </c>
      <c r="X1091" s="437">
        <f t="shared" si="560"/>
        <v>1</v>
      </c>
      <c r="Y1091" s="437">
        <f t="shared" si="561"/>
        <v>3.5</v>
      </c>
      <c r="Z1091" s="437">
        <f t="shared" si="562"/>
        <v>22</v>
      </c>
      <c r="AA1091" s="437">
        <f t="shared" si="563"/>
        <v>0.3</v>
      </c>
      <c r="AB1091" s="584">
        <f t="shared" si="564"/>
        <v>0</v>
      </c>
      <c r="AC1091" s="434"/>
      <c r="AD1091" s="450"/>
      <c r="AE1091" s="450"/>
    </row>
    <row r="1092" spans="5:31">
      <c r="E1092" s="598"/>
      <c r="F1092" s="699"/>
      <c r="G1092" s="700"/>
      <c r="H1092" s="598"/>
      <c r="I1092" s="598"/>
      <c r="J1092" s="598"/>
      <c r="K1092" s="598"/>
      <c r="L1092" s="598"/>
      <c r="Q1092" s="432">
        <v>46100</v>
      </c>
      <c r="R1092" s="433">
        <v>0.79166666666666696</v>
      </c>
      <c r="S1092" s="434" t="s">
        <v>199</v>
      </c>
      <c r="T1092" s="434" t="s">
        <v>209</v>
      </c>
      <c r="U1092" s="435">
        <v>3</v>
      </c>
      <c r="V1092" s="436" t="str">
        <f t="shared" si="558"/>
        <v>tbsp</v>
      </c>
      <c r="W1092" s="437">
        <f t="shared" si="559"/>
        <v>60</v>
      </c>
      <c r="X1092" s="437">
        <f t="shared" si="560"/>
        <v>0</v>
      </c>
      <c r="Y1092" s="437">
        <f t="shared" si="561"/>
        <v>0</v>
      </c>
      <c r="Z1092" s="437">
        <f t="shared" si="562"/>
        <v>15</v>
      </c>
      <c r="AA1092" s="437">
        <f t="shared" si="563"/>
        <v>13.5</v>
      </c>
      <c r="AB1092" s="584">
        <f t="shared" si="564"/>
        <v>0</v>
      </c>
      <c r="AC1092" s="434"/>
      <c r="AD1092" s="450"/>
      <c r="AE1092" s="450"/>
    </row>
    <row r="1093" spans="5:31">
      <c r="E1093" s="598"/>
      <c r="F1093" s="699"/>
      <c r="G1093" s="700"/>
      <c r="H1093" s="598"/>
      <c r="I1093" s="598"/>
      <c r="J1093" s="598"/>
      <c r="K1093" s="598"/>
      <c r="L1093" s="598"/>
      <c r="Q1093" s="432">
        <v>46100</v>
      </c>
      <c r="R1093" s="433">
        <v>0.79166666666666696</v>
      </c>
      <c r="S1093" s="434" t="s">
        <v>289</v>
      </c>
      <c r="T1093" s="434" t="s">
        <v>212</v>
      </c>
      <c r="U1093" s="435">
        <v>1</v>
      </c>
      <c r="V1093" s="436" t="str">
        <f t="shared" si="558"/>
        <v>bottle</v>
      </c>
      <c r="W1093" s="437">
        <f t="shared" si="559"/>
        <v>70</v>
      </c>
      <c r="X1093" s="437">
        <f t="shared" si="560"/>
        <v>0</v>
      </c>
      <c r="Y1093" s="437">
        <f t="shared" si="561"/>
        <v>0</v>
      </c>
      <c r="Z1093" s="437">
        <f t="shared" si="562"/>
        <v>17</v>
      </c>
      <c r="AA1093" s="437">
        <f t="shared" si="563"/>
        <v>1</v>
      </c>
      <c r="AB1093" s="584">
        <f t="shared" si="564"/>
        <v>0</v>
      </c>
      <c r="AC1093" s="434"/>
      <c r="AD1093" s="450"/>
      <c r="AE1093" s="450"/>
    </row>
    <row r="1094" spans="5:31">
      <c r="E1094" s="598"/>
      <c r="F1094" s="699"/>
      <c r="G1094" s="700"/>
      <c r="H1094" s="598"/>
      <c r="I1094" s="598"/>
      <c r="J1094" s="598"/>
      <c r="K1094" s="598"/>
      <c r="L1094" s="598"/>
      <c r="Q1094" s="432">
        <v>46100</v>
      </c>
      <c r="R1094" s="433">
        <v>0.91666666666666663</v>
      </c>
      <c r="S1094" s="434" t="s">
        <v>289</v>
      </c>
      <c r="T1094" s="434" t="s">
        <v>214</v>
      </c>
      <c r="U1094" s="435">
        <v>1</v>
      </c>
      <c r="V1094" s="436" t="str">
        <f t="shared" ref="V1094:V1095" si="565">IFERROR(VLOOKUP(T1094, $E$5:$L$818, 3, FALSE), "")</f>
        <v>bar</v>
      </c>
      <c r="W1094" s="437">
        <f t="shared" ref="W1094:W1095" si="566">IFERROR(VLOOKUP(T1094, $E$5:$L$818, 4, FALSE) * (U1094 / VLOOKUP(T1094, $E$5:$L$818, 2, FALSE)), "")</f>
        <v>67</v>
      </c>
      <c r="X1094" s="437">
        <f t="shared" ref="X1094:X1095" si="567">IFERROR(VLOOKUP(T1094, $E$5:$L$818, 5, FALSE) * (U1094 / VLOOKUP(T1094, $E$5:$L$818, 2, FALSE)), "")</f>
        <v>1</v>
      </c>
      <c r="Y1094" s="437">
        <f t="shared" ref="Y1094:Y1095" si="568">IFERROR(VLOOKUP(T1094, $E$5:$L$818, 6, FALSE) * (U1094 / VLOOKUP(T1094, $E$5:$L$818, 2, FALSE)), "")</f>
        <v>3.5</v>
      </c>
      <c r="Z1094" s="437">
        <f t="shared" ref="Z1094:Z1095" si="569">IFERROR(VLOOKUP(T1094, $E$5:$L$818, 7, FALSE) * (U1094 / VLOOKUP(T1094, $E$5:$L$818, 2, FALSE)), "")</f>
        <v>22</v>
      </c>
      <c r="AA1094" s="437">
        <f t="shared" ref="AA1094:AA1095" si="570">IFERROR(VLOOKUP(T1094, $E$5:$L$818, 8, FALSE) * (U1094 / VLOOKUP(T1094, $E$5:$L$818, 2, FALSE)), "")</f>
        <v>0.3</v>
      </c>
      <c r="AB1094" s="584">
        <f t="shared" si="564"/>
        <v>0</v>
      </c>
      <c r="AC1094" s="434"/>
      <c r="AD1094" s="450"/>
      <c r="AE1094" s="450"/>
    </row>
    <row r="1095" spans="5:31">
      <c r="E1095" s="598"/>
      <c r="F1095" s="699"/>
      <c r="G1095" s="700"/>
      <c r="H1095" s="598"/>
      <c r="I1095" s="598"/>
      <c r="J1095" s="598"/>
      <c r="K1095" s="598"/>
      <c r="L1095" s="598"/>
      <c r="Q1095" s="432">
        <v>46100</v>
      </c>
      <c r="R1095" s="433">
        <v>0.91666666666666696</v>
      </c>
      <c r="S1095" s="434" t="s">
        <v>199</v>
      </c>
      <c r="T1095" s="434" t="s">
        <v>181</v>
      </c>
      <c r="U1095" s="435">
        <v>2</v>
      </c>
      <c r="V1095" s="436" t="str">
        <f t="shared" si="565"/>
        <v>slice</v>
      </c>
      <c r="W1095" s="437">
        <f t="shared" si="566"/>
        <v>140</v>
      </c>
      <c r="X1095" s="437">
        <f t="shared" si="567"/>
        <v>5</v>
      </c>
      <c r="Y1095" s="437">
        <f t="shared" si="568"/>
        <v>2.5</v>
      </c>
      <c r="Z1095" s="437">
        <f t="shared" si="569"/>
        <v>24</v>
      </c>
      <c r="AA1095" s="437">
        <f t="shared" si="570"/>
        <v>2</v>
      </c>
      <c r="AB1095" s="684">
        <f t="shared" si="564"/>
        <v>0</v>
      </c>
      <c r="AC1095" s="434"/>
      <c r="AD1095" s="450"/>
      <c r="AE1095" s="450"/>
    </row>
    <row r="1096" spans="5:31">
      <c r="E1096" s="598"/>
      <c r="F1096" s="699"/>
      <c r="G1096" s="700"/>
      <c r="H1096" s="598"/>
      <c r="I1096" s="598"/>
      <c r="J1096" s="598"/>
      <c r="K1096" s="598"/>
      <c r="L1096" s="598"/>
      <c r="Q1096" s="438"/>
      <c r="R1096" s="439" t="s">
        <v>217</v>
      </c>
      <c r="S1096" s="440"/>
      <c r="T1096" s="441"/>
      <c r="U1096" s="441"/>
      <c r="V1096" s="442"/>
      <c r="W1096" s="443">
        <f t="shared" ref="W1096:AB1096" si="571">SUM(W1077:W1095)</f>
        <v>2221.9857142857145</v>
      </c>
      <c r="X1096" s="443">
        <f t="shared" si="571"/>
        <v>175.04857142857142</v>
      </c>
      <c r="Y1096" s="443">
        <f t="shared" si="571"/>
        <v>37.908571428571427</v>
      </c>
      <c r="Z1096" s="443">
        <f t="shared" si="571"/>
        <v>281.09142857142854</v>
      </c>
      <c r="AA1096" s="685">
        <f t="shared" si="571"/>
        <v>28.73142857142857</v>
      </c>
      <c r="AB1096" s="691">
        <f t="shared" si="571"/>
        <v>0</v>
      </c>
      <c r="AC1096" s="439"/>
      <c r="AD1096" s="450"/>
      <c r="AE1096" s="450"/>
    </row>
    <row r="1097" spans="5:31">
      <c r="E1097" s="598"/>
      <c r="F1097" s="699"/>
      <c r="G1097" s="700"/>
      <c r="H1097" s="598"/>
      <c r="I1097" s="598"/>
      <c r="J1097" s="598"/>
      <c r="K1097" s="598"/>
      <c r="L1097" s="598"/>
      <c r="Q1097" s="438"/>
      <c r="R1097" s="439" t="s">
        <v>220</v>
      </c>
      <c r="S1097" s="440"/>
      <c r="T1097" s="441"/>
      <c r="U1097" s="441"/>
      <c r="V1097" s="442"/>
      <c r="W1097" s="444">
        <f>$B$27</f>
        <v>2834.5625</v>
      </c>
      <c r="X1097" s="444">
        <f>$B$29</f>
        <v>154</v>
      </c>
      <c r="Y1097" s="444">
        <f>$B$30</f>
        <v>63.91</v>
      </c>
      <c r="Z1097" s="444">
        <f>$B$31</f>
        <v>410.84312499999999</v>
      </c>
      <c r="AA1097" s="692">
        <f>$B$32</f>
        <v>39.683875</v>
      </c>
      <c r="AB1097" s="695">
        <f>$B$39</f>
        <v>500</v>
      </c>
      <c r="AC1097" s="439"/>
      <c r="AD1097" s="450"/>
      <c r="AE1097" s="450"/>
    </row>
    <row r="1098" spans="5:31">
      <c r="E1098" s="598"/>
      <c r="F1098" s="699"/>
      <c r="G1098" s="700"/>
      <c r="H1098" s="598"/>
      <c r="I1098" s="598"/>
      <c r="J1098" s="598"/>
      <c r="K1098" s="598"/>
      <c r="L1098" s="598"/>
      <c r="Q1098" s="438"/>
      <c r="R1098" s="439" t="s">
        <v>222</v>
      </c>
      <c r="S1098" s="440"/>
      <c r="T1098" s="441"/>
      <c r="U1098" s="441"/>
      <c r="V1098" s="442"/>
      <c r="W1098" s="284">
        <f t="shared" ref="W1098:AB1098" si="572">W1096-W1097</f>
        <v>-612.57678571428551</v>
      </c>
      <c r="X1098" s="284">
        <f t="shared" si="572"/>
        <v>21.048571428571421</v>
      </c>
      <c r="Y1098" s="284">
        <f t="shared" si="572"/>
        <v>-26.001428571428569</v>
      </c>
      <c r="Z1098" s="284">
        <f t="shared" si="572"/>
        <v>-129.75169642857145</v>
      </c>
      <c r="AA1098" s="690">
        <f t="shared" si="572"/>
        <v>-10.952446428571431</v>
      </c>
      <c r="AB1098" s="689">
        <f t="shared" si="572"/>
        <v>-500</v>
      </c>
      <c r="AC1098" s="439"/>
      <c r="AD1098" s="450"/>
      <c r="AE1098" s="450"/>
    </row>
    <row r="1099" spans="5:31">
      <c r="E1099" s="598"/>
      <c r="F1099" s="699"/>
      <c r="G1099" s="700"/>
      <c r="H1099" s="598"/>
      <c r="I1099" s="598"/>
      <c r="J1099" s="598"/>
      <c r="K1099" s="598"/>
      <c r="L1099" s="598"/>
      <c r="Q1099" s="432">
        <v>46101</v>
      </c>
      <c r="R1099" s="433">
        <v>0.33333333333333331</v>
      </c>
      <c r="S1099" s="434" t="s">
        <v>178</v>
      </c>
      <c r="T1099" s="434" t="s">
        <v>463</v>
      </c>
      <c r="U1099" s="435">
        <v>1</v>
      </c>
      <c r="V1099" s="436" t="str">
        <f t="shared" ref="V1099:V1103" si="573">IFERROR(VLOOKUP(T1099, $E$5:$L$818, 3, FALSE), "")</f>
        <v>bottle</v>
      </c>
      <c r="W1099" s="437">
        <f t="shared" ref="W1099:W1103" si="574">IFERROR(VLOOKUP(T1099, $E$5:$L$818, 4, FALSE) * (U1099 / VLOOKUP(T1099, $E$5:$L$818, 2, FALSE)), "")</f>
        <v>190</v>
      </c>
      <c r="X1099" s="437">
        <f t="shared" ref="X1099:X1103" si="575">IFERROR(VLOOKUP(T1099, $E$5:$L$818, 5, FALSE) * (U1099 / VLOOKUP(T1099, $E$5:$L$818, 2, FALSE)), "")</f>
        <v>35</v>
      </c>
      <c r="Y1099" s="437">
        <f t="shared" ref="Y1099:Y1103" si="576">IFERROR(VLOOKUP(T1099, $E$5:$L$818, 6, FALSE) * (U1099 / VLOOKUP(T1099, $E$5:$L$818, 2, FALSE)), "")</f>
        <v>2</v>
      </c>
      <c r="Z1099" s="437">
        <f t="shared" ref="Z1099:Z1103" si="577">IFERROR(VLOOKUP(T1099, $E$5:$L$818, 7, FALSE) * (U1099 / VLOOKUP(T1099, $E$5:$L$818, 2, FALSE)), "")</f>
        <v>9</v>
      </c>
      <c r="AA1099" s="437">
        <f t="shared" ref="AA1099:AA1103" si="578">IFERROR(VLOOKUP(T1099, $E$5:$L$818, 8, FALSE) * (U1099 / VLOOKUP(T1099, $E$5:$L$818, 2, FALSE)), "")</f>
        <v>0</v>
      </c>
      <c r="AB1099" s="674">
        <f>IFERROR(VLOOKUP(T1099, $E$5:$O$818, 9, FALSE) * (U1099 / VLOOKUP(T1099, $E$5:$O$818, 2, FALSE)), "")</f>
        <v>0</v>
      </c>
      <c r="AC1099" s="434"/>
      <c r="AD1099" s="450"/>
      <c r="AE1099" s="450"/>
    </row>
    <row r="1100" spans="5:31">
      <c r="E1100" s="598"/>
      <c r="F1100" s="699"/>
      <c r="G1100" s="700"/>
      <c r="H1100" s="598"/>
      <c r="I1100" s="598"/>
      <c r="J1100" s="598"/>
      <c r="K1100" s="598"/>
      <c r="L1100" s="598"/>
      <c r="Q1100" s="432">
        <v>46101</v>
      </c>
      <c r="R1100" s="433">
        <v>0.33333333333333298</v>
      </c>
      <c r="S1100" s="434" t="s">
        <v>178</v>
      </c>
      <c r="T1100" s="434" t="s">
        <v>181</v>
      </c>
      <c r="U1100" s="435">
        <v>1</v>
      </c>
      <c r="V1100" s="436" t="str">
        <f t="shared" si="573"/>
        <v>slice</v>
      </c>
      <c r="W1100" s="437">
        <f t="shared" si="574"/>
        <v>70</v>
      </c>
      <c r="X1100" s="437">
        <f t="shared" si="575"/>
        <v>2.5</v>
      </c>
      <c r="Y1100" s="437">
        <f t="shared" si="576"/>
        <v>1.25</v>
      </c>
      <c r="Z1100" s="437">
        <f t="shared" si="577"/>
        <v>12</v>
      </c>
      <c r="AA1100" s="437">
        <f t="shared" si="578"/>
        <v>1</v>
      </c>
      <c r="AB1100" s="584">
        <f>IFERROR(VLOOKUP(T1100, $E$5:$O$818, 9, FALSE) * (U1100 / VLOOKUP(T1100, $E$5:$O$818, 2, FALSE)), "")</f>
        <v>0</v>
      </c>
      <c r="AC1100" s="434"/>
      <c r="AD1100" s="450"/>
      <c r="AE1100" s="450"/>
    </row>
    <row r="1101" spans="5:31">
      <c r="E1101" s="598"/>
      <c r="F1101" s="699"/>
      <c r="G1101" s="700"/>
      <c r="H1101" s="598"/>
      <c r="I1101" s="598"/>
      <c r="J1101" s="598"/>
      <c r="K1101" s="598"/>
      <c r="L1101" s="598"/>
      <c r="Q1101" s="432">
        <v>46101</v>
      </c>
      <c r="R1101" s="433">
        <v>0.54166666666666663</v>
      </c>
      <c r="S1101" s="434" t="s">
        <v>185</v>
      </c>
      <c r="T1101" s="434" t="s">
        <v>176</v>
      </c>
      <c r="U1101" s="435">
        <v>250</v>
      </c>
      <c r="V1101" s="436" t="str">
        <f t="shared" si="573"/>
        <v>g</v>
      </c>
      <c r="W1101" s="437">
        <f t="shared" si="574"/>
        <v>412.5</v>
      </c>
      <c r="X1101" s="437">
        <f t="shared" si="575"/>
        <v>62.5</v>
      </c>
      <c r="Y1101" s="437">
        <f t="shared" si="576"/>
        <v>9</v>
      </c>
      <c r="Z1101" s="437">
        <f t="shared" si="577"/>
        <v>0</v>
      </c>
      <c r="AA1101" s="437">
        <f t="shared" si="578"/>
        <v>0</v>
      </c>
      <c r="AB1101" s="584">
        <f>IFERROR(VLOOKUP(T1101, $E$5:$O$818, 9, FALSE) * (U1101 / VLOOKUP(T1101, $E$5:$O$818, 2, FALSE)), "")</f>
        <v>0</v>
      </c>
      <c r="AC1101" s="434"/>
    </row>
    <row r="1102" spans="5:31">
      <c r="E1102" s="598"/>
      <c r="F1102" s="699"/>
      <c r="G1102" s="700"/>
      <c r="H1102" s="598"/>
      <c r="I1102" s="598"/>
      <c r="J1102" s="598"/>
      <c r="K1102" s="598"/>
      <c r="L1102" s="598"/>
      <c r="Q1102" s="432">
        <v>46101</v>
      </c>
      <c r="R1102" s="433">
        <v>0.54166666666666696</v>
      </c>
      <c r="S1102" s="434" t="s">
        <v>199</v>
      </c>
      <c r="T1102" s="434" t="s">
        <v>209</v>
      </c>
      <c r="U1102" s="435">
        <v>3</v>
      </c>
      <c r="V1102" s="436" t="str">
        <f t="shared" si="573"/>
        <v>tbsp</v>
      </c>
      <c r="W1102" s="437">
        <f t="shared" si="574"/>
        <v>60</v>
      </c>
      <c r="X1102" s="437">
        <f t="shared" si="575"/>
        <v>0</v>
      </c>
      <c r="Y1102" s="437">
        <f t="shared" si="576"/>
        <v>0</v>
      </c>
      <c r="Z1102" s="437">
        <f t="shared" si="577"/>
        <v>15</v>
      </c>
      <c r="AA1102" s="437">
        <f t="shared" si="578"/>
        <v>13.5</v>
      </c>
      <c r="AB1102" s="584">
        <f>IFERROR(VLOOKUP(T1102, $E$5:$O$818, 9, FALSE) * (U1102 / VLOOKUP(T1102, $E$5:$O$818, 2, FALSE)), "")</f>
        <v>0</v>
      </c>
      <c r="AC1102" s="434"/>
    </row>
    <row r="1103" spans="5:31">
      <c r="E1103" s="598"/>
      <c r="F1103" s="699"/>
      <c r="G1103" s="700"/>
      <c r="H1103" s="598"/>
      <c r="I1103" s="598"/>
      <c r="J1103" s="598"/>
      <c r="K1103" s="598"/>
      <c r="L1103" s="598"/>
      <c r="Q1103" s="432">
        <v>46101</v>
      </c>
      <c r="R1103" s="433">
        <v>0.54166666666666696</v>
      </c>
      <c r="S1103" s="434" t="s">
        <v>289</v>
      </c>
      <c r="T1103" s="434" t="s">
        <v>212</v>
      </c>
      <c r="U1103" s="435">
        <v>1</v>
      </c>
      <c r="V1103" s="436" t="str">
        <f t="shared" si="573"/>
        <v>bottle</v>
      </c>
      <c r="W1103" s="437">
        <f t="shared" si="574"/>
        <v>70</v>
      </c>
      <c r="X1103" s="437">
        <f t="shared" si="575"/>
        <v>0</v>
      </c>
      <c r="Y1103" s="437">
        <f t="shared" si="576"/>
        <v>0</v>
      </c>
      <c r="Z1103" s="437">
        <f t="shared" si="577"/>
        <v>17</v>
      </c>
      <c r="AA1103" s="437">
        <f t="shared" si="578"/>
        <v>1</v>
      </c>
      <c r="AB1103" s="684">
        <f>IFERROR(VLOOKUP(T1103, $E$5:$O$818, 9, FALSE) * (U1103 / VLOOKUP(T1103, $E$5:$O$818, 2, FALSE)), "")</f>
        <v>0</v>
      </c>
      <c r="AC1103" s="434"/>
    </row>
    <row r="1104" spans="5:31">
      <c r="E1104" s="598"/>
      <c r="F1104" s="699"/>
      <c r="G1104" s="700"/>
      <c r="H1104" s="598"/>
      <c r="I1104" s="598"/>
      <c r="J1104" s="598"/>
      <c r="K1104" s="598"/>
      <c r="L1104" s="598"/>
      <c r="Q1104" s="438"/>
      <c r="R1104" s="439" t="s">
        <v>217</v>
      </c>
      <c r="S1104" s="440"/>
      <c r="T1104" s="441"/>
      <c r="U1104" s="441"/>
      <c r="V1104" s="442"/>
      <c r="W1104" s="443">
        <f t="shared" ref="W1104:AB1104" si="579">SUM(W1099:W1103)</f>
        <v>802.5</v>
      </c>
      <c r="X1104" s="443">
        <f t="shared" si="579"/>
        <v>100</v>
      </c>
      <c r="Y1104" s="443">
        <f t="shared" si="579"/>
        <v>12.25</v>
      </c>
      <c r="Z1104" s="443">
        <f t="shared" si="579"/>
        <v>53</v>
      </c>
      <c r="AA1104" s="685">
        <f t="shared" si="579"/>
        <v>15.5</v>
      </c>
      <c r="AB1104" s="691">
        <f t="shared" si="579"/>
        <v>0</v>
      </c>
      <c r="AC1104" s="439"/>
    </row>
    <row r="1105" spans="5:29">
      <c r="E1105" s="598"/>
      <c r="F1105" s="699"/>
      <c r="G1105" s="700"/>
      <c r="H1105" s="598"/>
      <c r="I1105" s="598"/>
      <c r="J1105" s="598"/>
      <c r="K1105" s="598"/>
      <c r="L1105" s="598"/>
      <c r="Q1105" s="438"/>
      <c r="R1105" s="439" t="s">
        <v>220</v>
      </c>
      <c r="S1105" s="440"/>
      <c r="T1105" s="441"/>
      <c r="U1105" s="441"/>
      <c r="V1105" s="442"/>
      <c r="W1105" s="444">
        <f>$B$27</f>
        <v>2834.5625</v>
      </c>
      <c r="X1105" s="444">
        <f>$B$29</f>
        <v>154</v>
      </c>
      <c r="Y1105" s="444">
        <f>$B$30</f>
        <v>63.91</v>
      </c>
      <c r="Z1105" s="444">
        <f>$B$31</f>
        <v>410.84312499999999</v>
      </c>
      <c r="AA1105" s="692">
        <f>$B$32</f>
        <v>39.683875</v>
      </c>
      <c r="AB1105" s="695">
        <f>$B$39</f>
        <v>500</v>
      </c>
      <c r="AC1105" s="439"/>
    </row>
    <row r="1106" spans="5:29">
      <c r="E1106" s="598"/>
      <c r="F1106" s="699"/>
      <c r="G1106" s="700"/>
      <c r="H1106" s="598"/>
      <c r="I1106" s="598"/>
      <c r="J1106" s="598"/>
      <c r="K1106" s="598"/>
      <c r="L1106" s="598"/>
      <c r="Q1106" s="438"/>
      <c r="R1106" s="439" t="s">
        <v>222</v>
      </c>
      <c r="S1106" s="440"/>
      <c r="T1106" s="441"/>
      <c r="U1106" s="441"/>
      <c r="V1106" s="442"/>
      <c r="W1106" s="284">
        <f t="shared" ref="W1106:AB1106" si="580">W1104-W1105</f>
        <v>-2032.0625</v>
      </c>
      <c r="X1106" s="284">
        <f t="shared" si="580"/>
        <v>-54</v>
      </c>
      <c r="Y1106" s="284">
        <f t="shared" si="580"/>
        <v>-51.66</v>
      </c>
      <c r="Z1106" s="284">
        <f t="shared" si="580"/>
        <v>-357.84312499999999</v>
      </c>
      <c r="AA1106" s="690">
        <f t="shared" si="580"/>
        <v>-24.183875</v>
      </c>
      <c r="AB1106" s="689">
        <f t="shared" si="580"/>
        <v>-500</v>
      </c>
      <c r="AC1106" s="439"/>
    </row>
    <row r="1107" spans="5:29">
      <c r="E1107" s="598"/>
      <c r="F1107" s="699"/>
      <c r="G1107" s="700"/>
      <c r="H1107" s="598"/>
      <c r="I1107" s="598"/>
      <c r="J1107" s="598"/>
      <c r="K1107" s="598"/>
      <c r="L1107" s="598"/>
      <c r="Q1107" s="432">
        <v>46102</v>
      </c>
      <c r="R1107" s="433">
        <v>0.375</v>
      </c>
      <c r="S1107" s="434" t="s">
        <v>178</v>
      </c>
      <c r="T1107" s="434" t="s">
        <v>463</v>
      </c>
      <c r="U1107" s="435">
        <v>1</v>
      </c>
      <c r="V1107" s="436" t="str">
        <f t="shared" ref="V1107:V1117" si="581">IFERROR(VLOOKUP(T1107, $E$5:$L$818, 3, FALSE), "")</f>
        <v>bottle</v>
      </c>
      <c r="W1107" s="437">
        <f t="shared" ref="W1107:W1117" si="582">IFERROR(VLOOKUP(T1107, $E$5:$L$818, 4, FALSE) * (U1107 / VLOOKUP(T1107, $E$5:$L$818, 2, FALSE)), "")</f>
        <v>190</v>
      </c>
      <c r="X1107" s="437">
        <f t="shared" ref="X1107:X1117" si="583">IFERROR(VLOOKUP(T1107, $E$5:$L$818, 5, FALSE) * (U1107 / VLOOKUP(T1107, $E$5:$L$818, 2, FALSE)), "")</f>
        <v>35</v>
      </c>
      <c r="Y1107" s="437">
        <f t="shared" ref="Y1107:Y1117" si="584">IFERROR(VLOOKUP(T1107, $E$5:$L$818, 6, FALSE) * (U1107 / VLOOKUP(T1107, $E$5:$L$818, 2, FALSE)), "")</f>
        <v>2</v>
      </c>
      <c r="Z1107" s="437">
        <f t="shared" ref="Z1107:Z1117" si="585">IFERROR(VLOOKUP(T1107, $E$5:$L$818, 7, FALSE) * (U1107 / VLOOKUP(T1107, $E$5:$L$818, 2, FALSE)), "")</f>
        <v>9</v>
      </c>
      <c r="AA1107" s="437">
        <f t="shared" ref="AA1107:AA1117" si="586">IFERROR(VLOOKUP(T1107, $E$5:$L$818, 8, FALSE) * (U1107 / VLOOKUP(T1107, $E$5:$L$818, 2, FALSE)), "")</f>
        <v>0</v>
      </c>
      <c r="AB1107" s="674">
        <f t="shared" ref="AB1107:AB1117" si="587">IFERROR(VLOOKUP(T1107, $E$5:$O$818, 9, FALSE) * (U1107 / VLOOKUP(T1107, $E$5:$O$818, 2, FALSE)), "")</f>
        <v>0</v>
      </c>
      <c r="AC1107" s="434"/>
    </row>
    <row r="1108" spans="5:29">
      <c r="E1108" s="598"/>
      <c r="F1108" s="699"/>
      <c r="G1108" s="700"/>
      <c r="H1108" s="598"/>
      <c r="I1108" s="598"/>
      <c r="J1108" s="598"/>
      <c r="K1108" s="598"/>
      <c r="L1108" s="598"/>
      <c r="Q1108" s="432">
        <v>46102</v>
      </c>
      <c r="R1108" s="433">
        <v>0.375</v>
      </c>
      <c r="S1108" s="434" t="s">
        <v>178</v>
      </c>
      <c r="T1108" s="434" t="s">
        <v>849</v>
      </c>
      <c r="U1108" s="435">
        <v>1</v>
      </c>
      <c r="V1108" s="436" t="str">
        <f t="shared" si="581"/>
        <v>bowl</v>
      </c>
      <c r="W1108" s="437">
        <f t="shared" si="582"/>
        <v>320</v>
      </c>
      <c r="X1108" s="437">
        <f t="shared" si="583"/>
        <v>22</v>
      </c>
      <c r="Y1108" s="437">
        <f t="shared" si="584"/>
        <v>8</v>
      </c>
      <c r="Z1108" s="437">
        <f t="shared" si="585"/>
        <v>42</v>
      </c>
      <c r="AA1108" s="437">
        <f t="shared" si="586"/>
        <v>4</v>
      </c>
      <c r="AB1108" s="584">
        <f t="shared" si="587"/>
        <v>0</v>
      </c>
      <c r="AC1108" s="434"/>
    </row>
    <row r="1109" spans="5:29">
      <c r="E1109" s="598"/>
      <c r="F1109" s="699"/>
      <c r="G1109" s="700"/>
      <c r="H1109" s="598"/>
      <c r="I1109" s="598"/>
      <c r="J1109" s="598"/>
      <c r="K1109" s="598"/>
      <c r="L1109" s="598"/>
      <c r="Q1109" s="432">
        <v>46102</v>
      </c>
      <c r="R1109" s="433">
        <v>0.45833333333333331</v>
      </c>
      <c r="S1109" s="434" t="s">
        <v>289</v>
      </c>
      <c r="T1109" s="434" t="s">
        <v>851</v>
      </c>
      <c r="U1109" s="435">
        <v>0.75</v>
      </c>
      <c r="V1109" s="436" t="str">
        <f t="shared" si="581"/>
        <v>serving</v>
      </c>
      <c r="W1109" s="437">
        <f t="shared" si="582"/>
        <v>262.5</v>
      </c>
      <c r="X1109" s="437">
        <f t="shared" si="583"/>
        <v>4.5</v>
      </c>
      <c r="Y1109" s="437">
        <f t="shared" si="584"/>
        <v>9</v>
      </c>
      <c r="Z1109" s="437">
        <f t="shared" si="585"/>
        <v>42</v>
      </c>
      <c r="AA1109" s="437">
        <f t="shared" si="586"/>
        <v>1.5</v>
      </c>
      <c r="AB1109" s="584">
        <f t="shared" si="587"/>
        <v>0</v>
      </c>
      <c r="AC1109" s="434"/>
    </row>
    <row r="1110" spans="5:29">
      <c r="E1110" s="598"/>
      <c r="F1110" s="699"/>
      <c r="G1110" s="700"/>
      <c r="H1110" s="598"/>
      <c r="I1110" s="598"/>
      <c r="J1110" s="598"/>
      <c r="K1110" s="598"/>
      <c r="L1110" s="598"/>
      <c r="Q1110" s="432">
        <v>46102</v>
      </c>
      <c r="R1110" s="433">
        <v>0.45833333333333298</v>
      </c>
      <c r="S1110" s="434" t="s">
        <v>185</v>
      </c>
      <c r="T1110" s="434" t="s">
        <v>482</v>
      </c>
      <c r="U1110" s="435">
        <v>1</v>
      </c>
      <c r="V1110" s="436" t="str">
        <f t="shared" si="581"/>
        <v>serving</v>
      </c>
      <c r="W1110" s="437">
        <f t="shared" si="582"/>
        <v>700</v>
      </c>
      <c r="X1110" s="437">
        <f t="shared" si="583"/>
        <v>40</v>
      </c>
      <c r="Y1110" s="437">
        <f t="shared" si="584"/>
        <v>35</v>
      </c>
      <c r="Z1110" s="437">
        <f t="shared" si="585"/>
        <v>75</v>
      </c>
      <c r="AA1110" s="437">
        <f t="shared" si="586"/>
        <v>2</v>
      </c>
      <c r="AB1110" s="584">
        <f t="shared" si="587"/>
        <v>0</v>
      </c>
      <c r="AC1110" s="434"/>
    </row>
    <row r="1111" spans="5:29">
      <c r="E1111" s="598"/>
      <c r="F1111" s="699"/>
      <c r="G1111" s="700"/>
      <c r="H1111" s="598"/>
      <c r="I1111" s="598"/>
      <c r="J1111" s="598"/>
      <c r="K1111" s="598"/>
      <c r="L1111" s="598"/>
      <c r="Q1111" s="432">
        <v>46102</v>
      </c>
      <c r="R1111" s="433">
        <v>0.625</v>
      </c>
      <c r="S1111" s="434" t="s">
        <v>289</v>
      </c>
      <c r="T1111" s="434" t="s">
        <v>852</v>
      </c>
      <c r="U1111" s="435">
        <v>1</v>
      </c>
      <c r="V1111" s="436" t="str">
        <f t="shared" si="581"/>
        <v>cone</v>
      </c>
      <c r="W1111" s="437">
        <f t="shared" si="582"/>
        <v>460</v>
      </c>
      <c r="X1111" s="437">
        <f t="shared" si="583"/>
        <v>9</v>
      </c>
      <c r="Y1111" s="437">
        <f t="shared" si="584"/>
        <v>22</v>
      </c>
      <c r="Z1111" s="437">
        <f t="shared" si="585"/>
        <v>58</v>
      </c>
      <c r="AA1111" s="437">
        <f t="shared" si="586"/>
        <v>1</v>
      </c>
      <c r="AB1111" s="584">
        <f t="shared" si="587"/>
        <v>0</v>
      </c>
      <c r="AC1111" s="434"/>
    </row>
    <row r="1112" spans="5:29">
      <c r="E1112" s="598"/>
      <c r="F1112" s="699"/>
      <c r="G1112" s="700"/>
      <c r="H1112" s="598"/>
      <c r="I1112" s="598"/>
      <c r="J1112" s="598"/>
      <c r="K1112" s="598"/>
      <c r="L1112" s="598"/>
      <c r="Q1112" s="432">
        <v>46102</v>
      </c>
      <c r="R1112" s="433">
        <v>0.66666666666666663</v>
      </c>
      <c r="S1112" s="434" t="s">
        <v>289</v>
      </c>
      <c r="T1112" s="434" t="s">
        <v>461</v>
      </c>
      <c r="U1112" s="435">
        <v>2</v>
      </c>
      <c r="V1112" s="436" t="str">
        <f t="shared" si="581"/>
        <v>chunks</v>
      </c>
      <c r="W1112" s="437">
        <f t="shared" si="582"/>
        <v>48.571428571428569</v>
      </c>
      <c r="X1112" s="437">
        <f t="shared" si="583"/>
        <v>0.8571428571428571</v>
      </c>
      <c r="Y1112" s="437">
        <f t="shared" si="584"/>
        <v>2.8571428571428568</v>
      </c>
      <c r="Z1112" s="437">
        <f t="shared" si="585"/>
        <v>5.1428571428571423</v>
      </c>
      <c r="AA1112" s="437">
        <f t="shared" si="586"/>
        <v>0.14285714285714285</v>
      </c>
      <c r="AB1112" s="584">
        <f t="shared" si="587"/>
        <v>0</v>
      </c>
      <c r="AC1112" s="434"/>
    </row>
    <row r="1113" spans="5:29">
      <c r="E1113" s="598"/>
      <c r="F1113" s="699"/>
      <c r="G1113" s="700"/>
      <c r="H1113" s="598"/>
      <c r="I1113" s="598"/>
      <c r="J1113" s="598"/>
      <c r="K1113" s="598"/>
      <c r="L1113" s="598"/>
      <c r="Q1113" s="432">
        <v>46102</v>
      </c>
      <c r="R1113" s="433">
        <v>0.875</v>
      </c>
      <c r="S1113" s="434" t="s">
        <v>289</v>
      </c>
      <c r="T1113" s="434" t="s">
        <v>846</v>
      </c>
      <c r="U1113" s="435">
        <v>1</v>
      </c>
      <c r="V1113" s="436" t="str">
        <f t="shared" si="581"/>
        <v>can</v>
      </c>
      <c r="W1113" s="437">
        <f t="shared" si="582"/>
        <v>0</v>
      </c>
      <c r="X1113" s="437">
        <f t="shared" si="583"/>
        <v>0</v>
      </c>
      <c r="Y1113" s="437">
        <f t="shared" si="584"/>
        <v>0</v>
      </c>
      <c r="Z1113" s="437">
        <f t="shared" si="585"/>
        <v>1</v>
      </c>
      <c r="AA1113" s="437">
        <f t="shared" si="586"/>
        <v>0</v>
      </c>
      <c r="AB1113" s="584">
        <f t="shared" si="587"/>
        <v>0</v>
      </c>
      <c r="AC1113" s="434"/>
    </row>
    <row r="1114" spans="5:29">
      <c r="E1114" s="598"/>
      <c r="F1114" s="699"/>
      <c r="G1114" s="700"/>
      <c r="H1114" s="598"/>
      <c r="I1114" s="598"/>
      <c r="J1114" s="598"/>
      <c r="K1114" s="598"/>
      <c r="L1114" s="598"/>
      <c r="Q1114" s="432">
        <v>46102</v>
      </c>
      <c r="R1114" s="433">
        <v>0.875</v>
      </c>
      <c r="S1114" s="434" t="s">
        <v>199</v>
      </c>
      <c r="T1114" s="434" t="s">
        <v>849</v>
      </c>
      <c r="U1114" s="435">
        <v>1</v>
      </c>
      <c r="V1114" s="436" t="str">
        <f t="shared" si="581"/>
        <v>bowl</v>
      </c>
      <c r="W1114" s="437">
        <f t="shared" si="582"/>
        <v>320</v>
      </c>
      <c r="X1114" s="437">
        <f t="shared" si="583"/>
        <v>22</v>
      </c>
      <c r="Y1114" s="437">
        <f t="shared" si="584"/>
        <v>8</v>
      </c>
      <c r="Z1114" s="437">
        <f t="shared" si="585"/>
        <v>42</v>
      </c>
      <c r="AA1114" s="437">
        <f t="shared" si="586"/>
        <v>4</v>
      </c>
      <c r="AB1114" s="584">
        <f t="shared" si="587"/>
        <v>0</v>
      </c>
      <c r="AC1114" s="434"/>
    </row>
    <row r="1115" spans="5:29">
      <c r="E1115" s="598"/>
      <c r="F1115" s="699"/>
      <c r="G1115" s="700"/>
      <c r="H1115" s="598"/>
      <c r="I1115" s="598"/>
      <c r="J1115" s="598"/>
      <c r="K1115" s="598"/>
      <c r="L1115" s="598"/>
      <c r="Q1115" s="432">
        <v>46102</v>
      </c>
      <c r="R1115" s="433">
        <v>0.875</v>
      </c>
      <c r="S1115" s="434" t="s">
        <v>199</v>
      </c>
      <c r="T1115" s="434" t="s">
        <v>295</v>
      </c>
      <c r="U1115" s="435">
        <v>1</v>
      </c>
      <c r="V1115" s="436" t="str">
        <f t="shared" si="581"/>
        <v>bottle</v>
      </c>
      <c r="W1115" s="437">
        <f t="shared" si="582"/>
        <v>200</v>
      </c>
      <c r="X1115" s="437">
        <f t="shared" si="583"/>
        <v>35</v>
      </c>
      <c r="Y1115" s="437">
        <f t="shared" si="584"/>
        <v>2.5</v>
      </c>
      <c r="Z1115" s="437">
        <f t="shared" si="585"/>
        <v>9</v>
      </c>
      <c r="AA1115" s="437">
        <f t="shared" si="586"/>
        <v>0</v>
      </c>
      <c r="AB1115" s="584">
        <f t="shared" si="587"/>
        <v>0</v>
      </c>
      <c r="AC1115" s="434"/>
    </row>
    <row r="1116" spans="5:29">
      <c r="E1116" s="598"/>
      <c r="F1116" s="699"/>
      <c r="G1116" s="700"/>
      <c r="H1116" s="598"/>
      <c r="I1116" s="598"/>
      <c r="J1116" s="598"/>
      <c r="K1116" s="598"/>
      <c r="L1116" s="598"/>
      <c r="Q1116" s="432">
        <v>46102</v>
      </c>
      <c r="R1116" s="433">
        <v>0.91666666666666663</v>
      </c>
      <c r="S1116" s="434" t="s">
        <v>199</v>
      </c>
      <c r="T1116" s="434" t="s">
        <v>209</v>
      </c>
      <c r="U1116" s="435">
        <v>3</v>
      </c>
      <c r="V1116" s="436" t="str">
        <f t="shared" si="581"/>
        <v>tbsp</v>
      </c>
      <c r="W1116" s="437">
        <f t="shared" si="582"/>
        <v>60</v>
      </c>
      <c r="X1116" s="437">
        <f t="shared" si="583"/>
        <v>0</v>
      </c>
      <c r="Y1116" s="437">
        <f t="shared" si="584"/>
        <v>0</v>
      </c>
      <c r="Z1116" s="437">
        <f t="shared" si="585"/>
        <v>15</v>
      </c>
      <c r="AA1116" s="437">
        <f t="shared" si="586"/>
        <v>13.5</v>
      </c>
      <c r="AB1116" s="584">
        <f t="shared" si="587"/>
        <v>0</v>
      </c>
      <c r="AC1116" s="434"/>
    </row>
    <row r="1117" spans="5:29">
      <c r="E1117" s="598"/>
      <c r="F1117" s="699"/>
      <c r="G1117" s="700"/>
      <c r="H1117" s="598"/>
      <c r="I1117" s="598"/>
      <c r="J1117" s="598"/>
      <c r="K1117" s="598"/>
      <c r="L1117" s="598"/>
      <c r="Q1117" s="432">
        <v>46102</v>
      </c>
      <c r="R1117" s="433">
        <v>0.91666666666666696</v>
      </c>
      <c r="S1117" s="434" t="s">
        <v>289</v>
      </c>
      <c r="T1117" s="434" t="s">
        <v>212</v>
      </c>
      <c r="U1117" s="435">
        <v>1</v>
      </c>
      <c r="V1117" s="436" t="str">
        <f t="shared" si="581"/>
        <v>bottle</v>
      </c>
      <c r="W1117" s="437">
        <f t="shared" si="582"/>
        <v>70</v>
      </c>
      <c r="X1117" s="437">
        <f t="shared" si="583"/>
        <v>0</v>
      </c>
      <c r="Y1117" s="437">
        <f t="shared" si="584"/>
        <v>0</v>
      </c>
      <c r="Z1117" s="437">
        <f t="shared" si="585"/>
        <v>17</v>
      </c>
      <c r="AA1117" s="437">
        <f t="shared" si="586"/>
        <v>1</v>
      </c>
      <c r="AB1117" s="684">
        <f t="shared" si="587"/>
        <v>0</v>
      </c>
      <c r="AC1117" s="434"/>
    </row>
    <row r="1118" spans="5:29">
      <c r="E1118" s="598"/>
      <c r="F1118" s="699"/>
      <c r="G1118" s="700"/>
      <c r="H1118" s="598"/>
      <c r="I1118" s="598"/>
      <c r="J1118" s="598"/>
      <c r="K1118" s="598"/>
      <c r="L1118" s="598"/>
      <c r="Q1118" s="438"/>
      <c r="R1118" s="439" t="s">
        <v>217</v>
      </c>
      <c r="S1118" s="440"/>
      <c r="T1118" s="441"/>
      <c r="U1118" s="441"/>
      <c r="V1118" s="442"/>
      <c r="W1118" s="443">
        <f t="shared" ref="W1118:AB1118" si="588">SUM(W1107:W1117)</f>
        <v>2631.0714285714284</v>
      </c>
      <c r="X1118" s="443">
        <f t="shared" si="588"/>
        <v>168.35714285714286</v>
      </c>
      <c r="Y1118" s="443">
        <f t="shared" si="588"/>
        <v>89.357142857142861</v>
      </c>
      <c r="Z1118" s="443">
        <f t="shared" si="588"/>
        <v>315.14285714285711</v>
      </c>
      <c r="AA1118" s="685">
        <f t="shared" si="588"/>
        <v>27.142857142857142</v>
      </c>
      <c r="AB1118" s="691">
        <f t="shared" si="588"/>
        <v>0</v>
      </c>
      <c r="AC1118" s="439"/>
    </row>
    <row r="1119" spans="5:29">
      <c r="E1119" s="598"/>
      <c r="F1119" s="699"/>
      <c r="G1119" s="700"/>
      <c r="H1119" s="598"/>
      <c r="I1119" s="598"/>
      <c r="J1119" s="598"/>
      <c r="K1119" s="598"/>
      <c r="L1119" s="598"/>
      <c r="Q1119" s="438"/>
      <c r="R1119" s="439" t="s">
        <v>220</v>
      </c>
      <c r="S1119" s="440"/>
      <c r="T1119" s="441"/>
      <c r="U1119" s="441"/>
      <c r="V1119" s="442"/>
      <c r="W1119" s="444">
        <f>$B$27</f>
        <v>2834.5625</v>
      </c>
      <c r="X1119" s="444">
        <f>$B$29</f>
        <v>154</v>
      </c>
      <c r="Y1119" s="444">
        <f>$B$30</f>
        <v>63.91</v>
      </c>
      <c r="Z1119" s="444">
        <f>$B$31</f>
        <v>410.84312499999999</v>
      </c>
      <c r="AA1119" s="692">
        <f>$B$32</f>
        <v>39.683875</v>
      </c>
      <c r="AB1119" s="695">
        <f>$B$39</f>
        <v>500</v>
      </c>
      <c r="AC1119" s="439"/>
    </row>
    <row r="1120" spans="5:29">
      <c r="E1120" s="598"/>
      <c r="F1120" s="699"/>
      <c r="G1120" s="700"/>
      <c r="H1120" s="598"/>
      <c r="I1120" s="598"/>
      <c r="J1120" s="598"/>
      <c r="K1120" s="598"/>
      <c r="L1120" s="598"/>
      <c r="Q1120" s="438"/>
      <c r="R1120" s="439" t="s">
        <v>222</v>
      </c>
      <c r="S1120" s="440"/>
      <c r="T1120" s="441"/>
      <c r="U1120" s="441"/>
      <c r="V1120" s="442"/>
      <c r="W1120" s="284">
        <f t="shared" ref="W1120:AB1120" si="589">W1118-W1119</f>
        <v>-203.49107142857156</v>
      </c>
      <c r="X1120" s="284">
        <f t="shared" si="589"/>
        <v>14.357142857142861</v>
      </c>
      <c r="Y1120" s="284">
        <f t="shared" si="589"/>
        <v>25.447142857142865</v>
      </c>
      <c r="Z1120" s="284">
        <f t="shared" si="589"/>
        <v>-95.700267857142876</v>
      </c>
      <c r="AA1120" s="690">
        <f t="shared" si="589"/>
        <v>-12.541017857142858</v>
      </c>
      <c r="AB1120" s="689">
        <f t="shared" si="589"/>
        <v>-500</v>
      </c>
      <c r="AC1120" s="439"/>
    </row>
    <row r="1121" spans="5:29">
      <c r="E1121" s="598"/>
      <c r="F1121" s="699"/>
      <c r="G1121" s="700"/>
      <c r="H1121" s="598"/>
      <c r="I1121" s="598"/>
      <c r="J1121" s="598"/>
      <c r="K1121" s="598"/>
      <c r="L1121" s="598"/>
      <c r="Q1121" s="432">
        <v>46103</v>
      </c>
      <c r="R1121" s="433">
        <v>0.58333333333333337</v>
      </c>
      <c r="S1121" s="434" t="s">
        <v>185</v>
      </c>
      <c r="T1121" s="434" t="s">
        <v>295</v>
      </c>
      <c r="U1121" s="435">
        <v>1</v>
      </c>
      <c r="V1121" s="436" t="str">
        <f t="shared" ref="V1121:V1131" si="590">IFERROR(VLOOKUP(T1121, $E$5:$L$818, 3, FALSE), "")</f>
        <v>bottle</v>
      </c>
      <c r="W1121" s="437">
        <f t="shared" ref="W1121:W1131" si="591">IFERROR(VLOOKUP(T1121, $E$5:$L$818, 4, FALSE) * (U1121 / VLOOKUP(T1121, $E$5:$L$818, 2, FALSE)), "")</f>
        <v>200</v>
      </c>
      <c r="X1121" s="437">
        <f t="shared" ref="X1121:X1131" si="592">IFERROR(VLOOKUP(T1121, $E$5:$L$818, 5, FALSE) * (U1121 / VLOOKUP(T1121, $E$5:$L$818, 2, FALSE)), "")</f>
        <v>35</v>
      </c>
      <c r="Y1121" s="437">
        <f t="shared" ref="Y1121:Y1131" si="593">IFERROR(VLOOKUP(T1121, $E$5:$L$818, 6, FALSE) * (U1121 / VLOOKUP(T1121, $E$5:$L$818, 2, FALSE)), "")</f>
        <v>2.5</v>
      </c>
      <c r="Z1121" s="437">
        <f t="shared" ref="Z1121:Z1131" si="594">IFERROR(VLOOKUP(T1121, $E$5:$L$818, 7, FALSE) * (U1121 / VLOOKUP(T1121, $E$5:$L$818, 2, FALSE)), "")</f>
        <v>9</v>
      </c>
      <c r="AA1121" s="437">
        <f t="shared" ref="AA1121:AA1131" si="595">IFERROR(VLOOKUP(T1121, $E$5:$L$818, 8, FALSE) * (U1121 / VLOOKUP(T1121, $E$5:$L$818, 2, FALSE)), "")</f>
        <v>0</v>
      </c>
      <c r="AB1121" s="674">
        <f t="shared" ref="AB1121:AB1131" si="596">IFERROR(VLOOKUP(T1121, $E$5:$O$818, 9, FALSE) * (U1121 / VLOOKUP(T1121, $E$5:$O$818, 2, FALSE)), "")</f>
        <v>0</v>
      </c>
      <c r="AC1121" s="434"/>
    </row>
    <row r="1122" spans="5:29">
      <c r="E1122" s="598"/>
      <c r="F1122" s="699"/>
      <c r="G1122" s="700"/>
      <c r="H1122" s="598"/>
      <c r="I1122" s="598"/>
      <c r="J1122" s="598"/>
      <c r="K1122" s="598"/>
      <c r="L1122" s="598"/>
      <c r="Q1122" s="432">
        <v>46103</v>
      </c>
      <c r="R1122" s="433">
        <v>0.58333333333333304</v>
      </c>
      <c r="S1122" s="434" t="s">
        <v>185</v>
      </c>
      <c r="T1122" s="434" t="s">
        <v>181</v>
      </c>
      <c r="U1122" s="435">
        <v>4</v>
      </c>
      <c r="V1122" s="436" t="str">
        <f t="shared" si="590"/>
        <v>slice</v>
      </c>
      <c r="W1122" s="437">
        <f t="shared" si="591"/>
        <v>280</v>
      </c>
      <c r="X1122" s="437">
        <f t="shared" si="592"/>
        <v>10</v>
      </c>
      <c r="Y1122" s="437">
        <f t="shared" si="593"/>
        <v>5</v>
      </c>
      <c r="Z1122" s="437">
        <f t="shared" si="594"/>
        <v>48</v>
      </c>
      <c r="AA1122" s="437">
        <f t="shared" si="595"/>
        <v>4</v>
      </c>
      <c r="AB1122" s="584">
        <f t="shared" si="596"/>
        <v>0</v>
      </c>
      <c r="AC1122" s="434"/>
    </row>
    <row r="1123" spans="5:29">
      <c r="E1123" s="598"/>
      <c r="F1123" s="699"/>
      <c r="G1123" s="700"/>
      <c r="H1123" s="598"/>
      <c r="I1123" s="598"/>
      <c r="J1123" s="598"/>
      <c r="K1123" s="598"/>
      <c r="L1123" s="598"/>
      <c r="Q1123" s="432">
        <v>46103</v>
      </c>
      <c r="R1123" s="433">
        <v>0.58333333333333304</v>
      </c>
      <c r="S1123" s="434" t="s">
        <v>289</v>
      </c>
      <c r="T1123" s="434" t="s">
        <v>497</v>
      </c>
      <c r="U1123" s="435">
        <v>1</v>
      </c>
      <c r="V1123" s="436" t="str">
        <f t="shared" si="590"/>
        <v>bag</v>
      </c>
      <c r="W1123" s="437">
        <f t="shared" si="591"/>
        <v>100</v>
      </c>
      <c r="X1123" s="437">
        <f t="shared" si="592"/>
        <v>0.5</v>
      </c>
      <c r="Y1123" s="437">
        <f t="shared" si="593"/>
        <v>7</v>
      </c>
      <c r="Z1123" s="437">
        <f t="shared" si="594"/>
        <v>10</v>
      </c>
      <c r="AA1123" s="437">
        <f t="shared" si="595"/>
        <v>0</v>
      </c>
      <c r="AB1123" s="584">
        <f t="shared" si="596"/>
        <v>0</v>
      </c>
      <c r="AC1123" s="434"/>
    </row>
    <row r="1124" spans="5:29">
      <c r="E1124" s="598"/>
      <c r="F1124" s="699"/>
      <c r="G1124" s="700"/>
      <c r="H1124" s="598"/>
      <c r="I1124" s="598"/>
      <c r="J1124" s="598"/>
      <c r="K1124" s="598"/>
      <c r="L1124" s="598"/>
      <c r="Q1124" s="432">
        <v>46103</v>
      </c>
      <c r="R1124" s="433">
        <v>0.625</v>
      </c>
      <c r="S1124" s="434" t="s">
        <v>289</v>
      </c>
      <c r="T1124" s="434" t="s">
        <v>461</v>
      </c>
      <c r="U1124" s="435">
        <v>2</v>
      </c>
      <c r="V1124" s="436" t="str">
        <f t="shared" si="590"/>
        <v>chunks</v>
      </c>
      <c r="W1124" s="437">
        <f t="shared" si="591"/>
        <v>48.571428571428569</v>
      </c>
      <c r="X1124" s="437">
        <f t="shared" si="592"/>
        <v>0.8571428571428571</v>
      </c>
      <c r="Y1124" s="437">
        <f t="shared" si="593"/>
        <v>2.8571428571428568</v>
      </c>
      <c r="Z1124" s="437">
        <f t="shared" si="594"/>
        <v>5.1428571428571423</v>
      </c>
      <c r="AA1124" s="437">
        <f t="shared" si="595"/>
        <v>0.14285714285714285</v>
      </c>
      <c r="AB1124" s="584">
        <f t="shared" si="596"/>
        <v>0</v>
      </c>
      <c r="AC1124" s="434"/>
    </row>
    <row r="1125" spans="5:29">
      <c r="E1125" s="598"/>
      <c r="F1125" s="699"/>
      <c r="G1125" s="700"/>
      <c r="H1125" s="598"/>
      <c r="I1125" s="598"/>
      <c r="J1125" s="598"/>
      <c r="K1125" s="598"/>
      <c r="L1125" s="598"/>
      <c r="Q1125" s="432">
        <v>46103</v>
      </c>
      <c r="R1125" s="433">
        <v>0.66666666666666663</v>
      </c>
      <c r="S1125" s="434" t="s">
        <v>289</v>
      </c>
      <c r="T1125" s="434" t="s">
        <v>219</v>
      </c>
      <c r="U1125" s="435">
        <v>2</v>
      </c>
      <c r="V1125" s="436" t="str">
        <f t="shared" si="590"/>
        <v>bottle</v>
      </c>
      <c r="W1125" s="437">
        <f t="shared" si="591"/>
        <v>0</v>
      </c>
      <c r="X1125" s="437">
        <f t="shared" si="592"/>
        <v>0</v>
      </c>
      <c r="Y1125" s="437">
        <f t="shared" si="593"/>
        <v>0</v>
      </c>
      <c r="Z1125" s="437">
        <f t="shared" si="594"/>
        <v>0</v>
      </c>
      <c r="AA1125" s="437">
        <f t="shared" si="595"/>
        <v>0</v>
      </c>
      <c r="AB1125" s="584">
        <f t="shared" si="596"/>
        <v>0</v>
      </c>
      <c r="AC1125" s="434"/>
    </row>
    <row r="1126" spans="5:29">
      <c r="E1126" s="598"/>
      <c r="F1126" s="699"/>
      <c r="G1126" s="700"/>
      <c r="H1126" s="598"/>
      <c r="I1126" s="598"/>
      <c r="J1126" s="598"/>
      <c r="K1126" s="598"/>
      <c r="L1126" s="598"/>
      <c r="Q1126" s="432">
        <v>46103</v>
      </c>
      <c r="R1126" s="433">
        <v>0.83333333333333337</v>
      </c>
      <c r="S1126" s="434" t="s">
        <v>199</v>
      </c>
      <c r="T1126" s="434" t="s">
        <v>295</v>
      </c>
      <c r="U1126" s="435">
        <v>1</v>
      </c>
      <c r="V1126" s="436" t="str">
        <f t="shared" si="590"/>
        <v>bottle</v>
      </c>
      <c r="W1126" s="437">
        <f t="shared" si="591"/>
        <v>200</v>
      </c>
      <c r="X1126" s="437">
        <f t="shared" si="592"/>
        <v>35</v>
      </c>
      <c r="Y1126" s="437">
        <f t="shared" si="593"/>
        <v>2.5</v>
      </c>
      <c r="Z1126" s="437">
        <f t="shared" si="594"/>
        <v>9</v>
      </c>
      <c r="AA1126" s="437">
        <f t="shared" si="595"/>
        <v>0</v>
      </c>
      <c r="AB1126" s="584">
        <f t="shared" si="596"/>
        <v>0</v>
      </c>
      <c r="AC1126" s="434"/>
    </row>
    <row r="1127" spans="5:29">
      <c r="E1127" s="598"/>
      <c r="F1127" s="699"/>
      <c r="G1127" s="700"/>
      <c r="H1127" s="598"/>
      <c r="I1127" s="598"/>
      <c r="J1127" s="598"/>
      <c r="K1127" s="598"/>
      <c r="L1127" s="598"/>
      <c r="Q1127" s="432">
        <v>46103</v>
      </c>
      <c r="R1127" s="433">
        <v>0.83333333333333304</v>
      </c>
      <c r="S1127" s="434" t="s">
        <v>199</v>
      </c>
      <c r="T1127" s="434" t="s">
        <v>176</v>
      </c>
      <c r="U1127" s="435">
        <v>300</v>
      </c>
      <c r="V1127" s="436" t="str">
        <f t="shared" si="590"/>
        <v>g</v>
      </c>
      <c r="W1127" s="437">
        <f t="shared" si="591"/>
        <v>495</v>
      </c>
      <c r="X1127" s="437">
        <f t="shared" si="592"/>
        <v>75</v>
      </c>
      <c r="Y1127" s="437">
        <f t="shared" si="593"/>
        <v>10.8</v>
      </c>
      <c r="Z1127" s="437">
        <f t="shared" si="594"/>
        <v>0</v>
      </c>
      <c r="AA1127" s="437">
        <f t="shared" si="595"/>
        <v>0</v>
      </c>
      <c r="AB1127" s="584">
        <f t="shared" si="596"/>
        <v>0</v>
      </c>
      <c r="AC1127" s="434"/>
    </row>
    <row r="1128" spans="5:29">
      <c r="E1128" s="598"/>
      <c r="F1128" s="699"/>
      <c r="G1128" s="700"/>
      <c r="H1128" s="598"/>
      <c r="I1128" s="598"/>
      <c r="J1128" s="598"/>
      <c r="K1128" s="598"/>
      <c r="L1128" s="598"/>
      <c r="Q1128" s="432">
        <v>46103</v>
      </c>
      <c r="R1128" s="433">
        <v>0.83333333333333304</v>
      </c>
      <c r="S1128" s="434" t="s">
        <v>199</v>
      </c>
      <c r="T1128" s="434" t="s">
        <v>484</v>
      </c>
      <c r="U1128" s="435">
        <v>310</v>
      </c>
      <c r="V1128" s="436" t="str">
        <f t="shared" si="590"/>
        <v>g</v>
      </c>
      <c r="W1128" s="437">
        <f t="shared" si="591"/>
        <v>288.3</v>
      </c>
      <c r="X1128" s="437">
        <f t="shared" si="592"/>
        <v>7.75</v>
      </c>
      <c r="Y1128" s="437">
        <f t="shared" si="593"/>
        <v>0.62000000000000011</v>
      </c>
      <c r="Z1128" s="437">
        <f t="shared" si="594"/>
        <v>65.100000000000009</v>
      </c>
      <c r="AA1128" s="437">
        <f t="shared" si="595"/>
        <v>8.06</v>
      </c>
      <c r="AB1128" s="584">
        <f t="shared" si="596"/>
        <v>0</v>
      </c>
      <c r="AC1128" s="434"/>
    </row>
    <row r="1129" spans="5:29">
      <c r="E1129" s="598"/>
      <c r="F1129" s="699"/>
      <c r="G1129" s="700"/>
      <c r="H1129" s="598"/>
      <c r="I1129" s="598"/>
      <c r="J1129" s="598"/>
      <c r="K1129" s="598"/>
      <c r="L1129" s="598"/>
      <c r="Q1129" s="432">
        <v>46103</v>
      </c>
      <c r="R1129" s="433">
        <v>0.91666666666666663</v>
      </c>
      <c r="S1129" s="434" t="s">
        <v>289</v>
      </c>
      <c r="T1129" s="434" t="s">
        <v>461</v>
      </c>
      <c r="U1129" s="435">
        <v>1</v>
      </c>
      <c r="V1129" s="436" t="str">
        <f t="shared" si="590"/>
        <v>chunks</v>
      </c>
      <c r="W1129" s="437">
        <f t="shared" si="591"/>
        <v>24.285714285714285</v>
      </c>
      <c r="X1129" s="437">
        <f t="shared" si="592"/>
        <v>0.42857142857142855</v>
      </c>
      <c r="Y1129" s="437">
        <f t="shared" si="593"/>
        <v>1.4285714285714284</v>
      </c>
      <c r="Z1129" s="437">
        <f t="shared" si="594"/>
        <v>2.5714285714285712</v>
      </c>
      <c r="AA1129" s="437">
        <f t="shared" si="595"/>
        <v>7.1428571428571425E-2</v>
      </c>
      <c r="AB1129" s="584">
        <f t="shared" si="596"/>
        <v>0</v>
      </c>
      <c r="AC1129" s="434"/>
    </row>
    <row r="1130" spans="5:29">
      <c r="E1130" s="598"/>
      <c r="F1130" s="699"/>
      <c r="G1130" s="700"/>
      <c r="H1130" s="598"/>
      <c r="I1130" s="598"/>
      <c r="J1130" s="598"/>
      <c r="K1130" s="598"/>
      <c r="L1130" s="598"/>
      <c r="Q1130" s="432">
        <v>46103</v>
      </c>
      <c r="R1130" s="433">
        <v>0.91666666666666696</v>
      </c>
      <c r="S1130" s="434" t="s">
        <v>199</v>
      </c>
      <c r="T1130" s="434" t="s">
        <v>209</v>
      </c>
      <c r="U1130" s="435">
        <v>3</v>
      </c>
      <c r="V1130" s="436" t="str">
        <f t="shared" si="590"/>
        <v>tbsp</v>
      </c>
      <c r="W1130" s="437">
        <f t="shared" si="591"/>
        <v>60</v>
      </c>
      <c r="X1130" s="437">
        <f t="shared" si="592"/>
        <v>0</v>
      </c>
      <c r="Y1130" s="437">
        <f t="shared" si="593"/>
        <v>0</v>
      </c>
      <c r="Z1130" s="437">
        <f t="shared" si="594"/>
        <v>15</v>
      </c>
      <c r="AA1130" s="437">
        <f t="shared" si="595"/>
        <v>13.5</v>
      </c>
      <c r="AB1130" s="584">
        <f t="shared" si="596"/>
        <v>0</v>
      </c>
      <c r="AC1130" s="434"/>
    </row>
    <row r="1131" spans="5:29">
      <c r="E1131" s="598"/>
      <c r="F1131" s="699"/>
      <c r="G1131" s="700"/>
      <c r="H1131" s="598"/>
      <c r="I1131" s="598"/>
      <c r="J1131" s="598"/>
      <c r="K1131" s="598"/>
      <c r="L1131" s="598"/>
      <c r="Q1131" s="432">
        <v>46103</v>
      </c>
      <c r="R1131" s="433">
        <v>0.91666666666666696</v>
      </c>
      <c r="S1131" s="434" t="s">
        <v>289</v>
      </c>
      <c r="T1131" s="434" t="s">
        <v>786</v>
      </c>
      <c r="U1131" s="435">
        <v>1</v>
      </c>
      <c r="V1131" s="436" t="str">
        <f t="shared" si="590"/>
        <v>bottle</v>
      </c>
      <c r="W1131" s="437">
        <f t="shared" si="591"/>
        <v>90</v>
      </c>
      <c r="X1131" s="437">
        <f t="shared" si="592"/>
        <v>0</v>
      </c>
      <c r="Y1131" s="437">
        <f t="shared" si="593"/>
        <v>0</v>
      </c>
      <c r="Z1131" s="437">
        <f t="shared" si="594"/>
        <v>22</v>
      </c>
      <c r="AA1131" s="437">
        <f t="shared" si="595"/>
        <v>0</v>
      </c>
      <c r="AB1131" s="684">
        <f t="shared" si="596"/>
        <v>0</v>
      </c>
      <c r="AC1131" s="434"/>
    </row>
    <row r="1132" spans="5:29">
      <c r="E1132" s="598"/>
      <c r="F1132" s="699"/>
      <c r="G1132" s="700"/>
      <c r="H1132" s="598"/>
      <c r="I1132" s="598"/>
      <c r="J1132" s="598"/>
      <c r="K1132" s="598"/>
      <c r="L1132" s="598"/>
      <c r="Q1132" s="438"/>
      <c r="R1132" s="439" t="s">
        <v>217</v>
      </c>
      <c r="S1132" s="440"/>
      <c r="T1132" s="441"/>
      <c r="U1132" s="441"/>
      <c r="V1132" s="442"/>
      <c r="W1132" s="443">
        <f t="shared" ref="W1132:AB1132" si="597">SUM(W1121:W1131)</f>
        <v>1786.1571428571426</v>
      </c>
      <c r="X1132" s="443">
        <f t="shared" si="597"/>
        <v>164.53571428571428</v>
      </c>
      <c r="Y1132" s="443">
        <f t="shared" si="597"/>
        <v>32.705714285714286</v>
      </c>
      <c r="Z1132" s="443">
        <f t="shared" si="597"/>
        <v>185.81428571428572</v>
      </c>
      <c r="AA1132" s="685">
        <f t="shared" si="597"/>
        <v>25.774285714285718</v>
      </c>
      <c r="AB1132" s="691">
        <f t="shared" si="597"/>
        <v>0</v>
      </c>
      <c r="AC1132" s="439"/>
    </row>
    <row r="1133" spans="5:29">
      <c r="E1133" s="598"/>
      <c r="F1133" s="699"/>
      <c r="G1133" s="700"/>
      <c r="H1133" s="598"/>
      <c r="I1133" s="598"/>
      <c r="J1133" s="598"/>
      <c r="K1133" s="598"/>
      <c r="L1133" s="598"/>
      <c r="Q1133" s="438"/>
      <c r="R1133" s="439" t="s">
        <v>220</v>
      </c>
      <c r="S1133" s="440"/>
      <c r="T1133" s="441"/>
      <c r="U1133" s="441"/>
      <c r="V1133" s="442"/>
      <c r="W1133" s="444">
        <f>$B$27</f>
        <v>2834.5625</v>
      </c>
      <c r="X1133" s="444">
        <f>$B$29</f>
        <v>154</v>
      </c>
      <c r="Y1133" s="444">
        <f>$B$30</f>
        <v>63.91</v>
      </c>
      <c r="Z1133" s="444">
        <f>$B$31</f>
        <v>410.84312499999999</v>
      </c>
      <c r="AA1133" s="692">
        <f>$B$32</f>
        <v>39.683875</v>
      </c>
      <c r="AB1133" s="695">
        <f>$B$39</f>
        <v>500</v>
      </c>
      <c r="AC1133" s="439"/>
    </row>
    <row r="1134" spans="5:29">
      <c r="E1134" s="598"/>
      <c r="F1134" s="699"/>
      <c r="G1134" s="700"/>
      <c r="H1134" s="598"/>
      <c r="I1134" s="598"/>
      <c r="J1134" s="598"/>
      <c r="K1134" s="598"/>
      <c r="L1134" s="598"/>
      <c r="Q1134" s="438"/>
      <c r="R1134" s="439" t="s">
        <v>222</v>
      </c>
      <c r="S1134" s="440"/>
      <c r="T1134" s="441"/>
      <c r="U1134" s="441"/>
      <c r="V1134" s="442"/>
      <c r="W1134" s="284">
        <f t="shared" ref="W1134:AB1134" si="598">W1132-W1133</f>
        <v>-1048.4053571428574</v>
      </c>
      <c r="X1134" s="284">
        <f t="shared" si="598"/>
        <v>10.535714285714278</v>
      </c>
      <c r="Y1134" s="284">
        <f t="shared" si="598"/>
        <v>-31.20428571428571</v>
      </c>
      <c r="Z1134" s="284">
        <f t="shared" si="598"/>
        <v>-225.02883928571427</v>
      </c>
      <c r="AA1134" s="690">
        <f t="shared" si="598"/>
        <v>-13.909589285714283</v>
      </c>
      <c r="AB1134" s="689">
        <f t="shared" si="598"/>
        <v>-500</v>
      </c>
      <c r="AC1134" s="439"/>
    </row>
    <row r="1135" spans="5:29">
      <c r="E1135" s="598"/>
      <c r="F1135" s="699"/>
      <c r="G1135" s="700"/>
      <c r="H1135" s="598"/>
      <c r="I1135" s="598"/>
      <c r="J1135" s="598"/>
      <c r="K1135" s="598"/>
      <c r="L1135" s="598"/>
      <c r="Q1135" s="432">
        <v>46104</v>
      </c>
      <c r="R1135" s="433">
        <v>0.33333333333333331</v>
      </c>
      <c r="S1135" s="434" t="s">
        <v>178</v>
      </c>
      <c r="T1135" s="434" t="s">
        <v>295</v>
      </c>
      <c r="U1135" s="435">
        <v>1</v>
      </c>
      <c r="V1135" s="436" t="str">
        <f t="shared" ref="V1135:V1148" si="599">IFERROR(VLOOKUP(T1135, $E$5:$L$818, 3, FALSE), "")</f>
        <v>bottle</v>
      </c>
      <c r="W1135" s="437">
        <f t="shared" ref="W1135:W1148" si="600">IFERROR(VLOOKUP(T1135, $E$5:$L$818, 4, FALSE) * (U1135 / VLOOKUP(T1135, $E$5:$L$818, 2, FALSE)), "")</f>
        <v>200</v>
      </c>
      <c r="X1135" s="437">
        <f t="shared" ref="X1135:X1148" si="601">IFERROR(VLOOKUP(T1135, $E$5:$L$818, 5, FALSE) * (U1135 / VLOOKUP(T1135, $E$5:$L$818, 2, FALSE)), "")</f>
        <v>35</v>
      </c>
      <c r="Y1135" s="437">
        <f t="shared" ref="Y1135:Y1148" si="602">IFERROR(VLOOKUP(T1135, $E$5:$L$818, 6, FALSE) * (U1135 / VLOOKUP(T1135, $E$5:$L$818, 2, FALSE)), "")</f>
        <v>2.5</v>
      </c>
      <c r="Z1135" s="437">
        <f t="shared" ref="Z1135:Z1148" si="603">IFERROR(VLOOKUP(T1135, $E$5:$L$818, 7, FALSE) * (U1135 / VLOOKUP(T1135, $E$5:$L$818, 2, FALSE)), "")</f>
        <v>9</v>
      </c>
      <c r="AA1135" s="437">
        <f t="shared" ref="AA1135:AA1148" si="604">IFERROR(VLOOKUP(T1135, $E$5:$L$818, 8, FALSE) * (U1135 / VLOOKUP(T1135, $E$5:$L$818, 2, FALSE)), "")</f>
        <v>0</v>
      </c>
      <c r="AB1135" s="674">
        <f t="shared" ref="AB1135:AB1148" si="605">IFERROR(VLOOKUP(T1135, $E$5:$O$818, 9, FALSE) * (U1135 / VLOOKUP(T1135, $E$5:$O$818, 2, FALSE)), "")</f>
        <v>0</v>
      </c>
      <c r="AC1135" s="434"/>
    </row>
    <row r="1136" spans="5:29">
      <c r="E1136" s="598"/>
      <c r="F1136" s="699"/>
      <c r="G1136" s="700"/>
      <c r="H1136" s="598"/>
      <c r="I1136" s="598"/>
      <c r="J1136" s="598"/>
      <c r="K1136" s="598"/>
      <c r="L1136" s="598"/>
      <c r="Q1136" s="432">
        <v>46104</v>
      </c>
      <c r="R1136" s="433">
        <v>0.375</v>
      </c>
      <c r="S1136" s="434" t="s">
        <v>289</v>
      </c>
      <c r="T1136" s="434" t="s">
        <v>853</v>
      </c>
      <c r="U1136" s="435">
        <v>2</v>
      </c>
      <c r="V1136" s="436" t="str">
        <f t="shared" si="599"/>
        <v>pieces</v>
      </c>
      <c r="W1136" s="437">
        <f t="shared" si="600"/>
        <v>140</v>
      </c>
      <c r="X1136" s="437">
        <f t="shared" si="601"/>
        <v>2</v>
      </c>
      <c r="Y1136" s="437">
        <f t="shared" si="602"/>
        <v>9</v>
      </c>
      <c r="Z1136" s="437">
        <f t="shared" si="603"/>
        <v>13</v>
      </c>
      <c r="AA1136" s="437">
        <f t="shared" si="604"/>
        <v>0</v>
      </c>
      <c r="AB1136" s="584">
        <f t="shared" si="605"/>
        <v>0</v>
      </c>
      <c r="AC1136" s="434"/>
    </row>
    <row r="1137" spans="5:29">
      <c r="E1137" s="598"/>
      <c r="F1137" s="699"/>
      <c r="G1137" s="700"/>
      <c r="H1137" s="598"/>
      <c r="I1137" s="598"/>
      <c r="J1137" s="598"/>
      <c r="K1137" s="598"/>
      <c r="L1137" s="598"/>
      <c r="Q1137" s="432">
        <v>46104</v>
      </c>
      <c r="R1137" s="433">
        <v>0.41666666666666669</v>
      </c>
      <c r="S1137" s="434" t="s">
        <v>289</v>
      </c>
      <c r="T1137" s="434" t="s">
        <v>464</v>
      </c>
      <c r="U1137" s="435">
        <v>1</v>
      </c>
      <c r="V1137" s="436" t="str">
        <f t="shared" si="599"/>
        <v>lozenge</v>
      </c>
      <c r="W1137" s="437">
        <f t="shared" si="600"/>
        <v>10</v>
      </c>
      <c r="X1137" s="437">
        <f t="shared" si="601"/>
        <v>0</v>
      </c>
      <c r="Y1137" s="437">
        <f t="shared" si="602"/>
        <v>0</v>
      </c>
      <c r="Z1137" s="437">
        <f t="shared" si="603"/>
        <v>3</v>
      </c>
      <c r="AA1137" s="437">
        <f t="shared" si="604"/>
        <v>0</v>
      </c>
      <c r="AB1137" s="584">
        <f t="shared" si="605"/>
        <v>0</v>
      </c>
      <c r="AC1137" s="434"/>
    </row>
    <row r="1138" spans="5:29">
      <c r="E1138" s="598"/>
      <c r="F1138" s="699"/>
      <c r="G1138" s="700"/>
      <c r="H1138" s="598"/>
      <c r="I1138" s="598"/>
      <c r="J1138" s="598"/>
      <c r="K1138" s="598"/>
      <c r="L1138" s="598"/>
      <c r="Q1138" s="432">
        <v>46104</v>
      </c>
      <c r="R1138" s="433">
        <v>0.5</v>
      </c>
      <c r="S1138" s="434" t="s">
        <v>289</v>
      </c>
      <c r="T1138" s="434" t="s">
        <v>854</v>
      </c>
      <c r="U1138" s="435">
        <v>0.5</v>
      </c>
      <c r="V1138" s="436" t="str">
        <f t="shared" si="599"/>
        <v>bag</v>
      </c>
      <c r="W1138" s="437">
        <f t="shared" si="600"/>
        <v>120</v>
      </c>
      <c r="X1138" s="437">
        <f t="shared" si="601"/>
        <v>2</v>
      </c>
      <c r="Y1138" s="437">
        <f t="shared" si="602"/>
        <v>4.5</v>
      </c>
      <c r="Z1138" s="437">
        <f t="shared" si="603"/>
        <v>17</v>
      </c>
      <c r="AA1138" s="437">
        <f t="shared" si="604"/>
        <v>0</v>
      </c>
      <c r="AB1138" s="584">
        <f t="shared" si="605"/>
        <v>0</v>
      </c>
      <c r="AC1138" s="434"/>
    </row>
    <row r="1139" spans="5:29">
      <c r="E1139" s="598"/>
      <c r="F1139" s="699"/>
      <c r="G1139" s="700"/>
      <c r="H1139" s="598"/>
      <c r="I1139" s="598"/>
      <c r="J1139" s="598"/>
      <c r="K1139" s="598"/>
      <c r="L1139" s="598"/>
      <c r="Q1139" s="432">
        <v>46104</v>
      </c>
      <c r="R1139" s="433">
        <v>0.54166666666666663</v>
      </c>
      <c r="S1139" s="434" t="s">
        <v>185</v>
      </c>
      <c r="T1139" s="434" t="s">
        <v>176</v>
      </c>
      <c r="U1139" s="435">
        <v>250</v>
      </c>
      <c r="V1139" s="436" t="str">
        <f t="shared" si="599"/>
        <v>g</v>
      </c>
      <c r="W1139" s="437">
        <f t="shared" si="600"/>
        <v>412.5</v>
      </c>
      <c r="X1139" s="437">
        <f t="shared" si="601"/>
        <v>62.5</v>
      </c>
      <c r="Y1139" s="437">
        <f t="shared" si="602"/>
        <v>9</v>
      </c>
      <c r="Z1139" s="437">
        <f t="shared" si="603"/>
        <v>0</v>
      </c>
      <c r="AA1139" s="437">
        <f t="shared" si="604"/>
        <v>0</v>
      </c>
      <c r="AB1139" s="584">
        <f t="shared" si="605"/>
        <v>0</v>
      </c>
      <c r="AC1139" s="434"/>
    </row>
    <row r="1140" spans="5:29">
      <c r="E1140" s="598"/>
      <c r="F1140" s="699"/>
      <c r="G1140" s="700"/>
      <c r="H1140" s="598"/>
      <c r="I1140" s="598"/>
      <c r="J1140" s="598"/>
      <c r="K1140" s="598"/>
      <c r="L1140" s="598"/>
      <c r="Q1140" s="432">
        <v>46104</v>
      </c>
      <c r="R1140" s="433">
        <v>0.54166666666666696</v>
      </c>
      <c r="S1140" s="434" t="s">
        <v>185</v>
      </c>
      <c r="T1140" s="434" t="s">
        <v>754</v>
      </c>
      <c r="U1140" s="435">
        <v>150</v>
      </c>
      <c r="V1140" s="436" t="str">
        <f t="shared" si="599"/>
        <v>g</v>
      </c>
      <c r="W1140" s="437">
        <f t="shared" si="600"/>
        <v>165</v>
      </c>
      <c r="X1140" s="437">
        <f t="shared" si="601"/>
        <v>4</v>
      </c>
      <c r="Y1140" s="437">
        <f t="shared" si="602"/>
        <v>1</v>
      </c>
      <c r="Z1140" s="437">
        <f t="shared" si="603"/>
        <v>34</v>
      </c>
      <c r="AA1140" s="437">
        <f t="shared" si="604"/>
        <v>2</v>
      </c>
      <c r="AB1140" s="584">
        <f t="shared" si="605"/>
        <v>0</v>
      </c>
      <c r="AC1140" s="434"/>
    </row>
    <row r="1141" spans="5:29">
      <c r="E1141" s="598"/>
      <c r="F1141" s="699"/>
      <c r="G1141" s="700"/>
      <c r="H1141" s="598"/>
      <c r="I1141" s="598"/>
      <c r="J1141" s="598"/>
      <c r="K1141" s="598"/>
      <c r="L1141" s="598"/>
      <c r="Q1141" s="432">
        <v>46104</v>
      </c>
      <c r="R1141" s="433">
        <v>0.54166666666666663</v>
      </c>
      <c r="S1141" s="434" t="s">
        <v>289</v>
      </c>
      <c r="T1141" s="434" t="s">
        <v>483</v>
      </c>
      <c r="U1141" s="435">
        <v>3</v>
      </c>
      <c r="V1141" s="436" t="str">
        <f t="shared" si="599"/>
        <v>piece</v>
      </c>
      <c r="W1141" s="437">
        <f t="shared" si="600"/>
        <v>600</v>
      </c>
      <c r="X1141" s="437">
        <f t="shared" si="601"/>
        <v>9</v>
      </c>
      <c r="Y1141" s="437">
        <f t="shared" si="602"/>
        <v>15</v>
      </c>
      <c r="Z1141" s="437">
        <f t="shared" si="603"/>
        <v>114</v>
      </c>
      <c r="AA1141" s="437">
        <f t="shared" si="604"/>
        <v>3</v>
      </c>
      <c r="AB1141" s="584">
        <f t="shared" si="605"/>
        <v>0</v>
      </c>
      <c r="AC1141" s="434"/>
    </row>
    <row r="1142" spans="5:29">
      <c r="E1142" s="598"/>
      <c r="F1142" s="699"/>
      <c r="G1142" s="700"/>
      <c r="H1142" s="598"/>
      <c r="I1142" s="598"/>
      <c r="J1142" s="598"/>
      <c r="K1142" s="598"/>
      <c r="L1142" s="598"/>
      <c r="Q1142" s="432">
        <v>46104</v>
      </c>
      <c r="R1142" s="433">
        <v>0.58333333333333337</v>
      </c>
      <c r="S1142" s="434" t="s">
        <v>289</v>
      </c>
      <c r="T1142" s="434" t="s">
        <v>190</v>
      </c>
      <c r="U1142" s="435">
        <v>0.75</v>
      </c>
      <c r="V1142" s="436" t="str">
        <f t="shared" si="599"/>
        <v>medium</v>
      </c>
      <c r="W1142" s="437">
        <f t="shared" si="600"/>
        <v>46.5</v>
      </c>
      <c r="X1142" s="437">
        <f t="shared" si="601"/>
        <v>0.89999999999999991</v>
      </c>
      <c r="Y1142" s="437">
        <f t="shared" si="602"/>
        <v>0.15000000000000002</v>
      </c>
      <c r="Z1142" s="437">
        <f t="shared" si="603"/>
        <v>11.55</v>
      </c>
      <c r="AA1142" s="437">
        <f t="shared" si="604"/>
        <v>2.3250000000000002</v>
      </c>
      <c r="AB1142" s="584">
        <f t="shared" si="605"/>
        <v>0</v>
      </c>
      <c r="AC1142" s="434"/>
    </row>
    <row r="1143" spans="5:29">
      <c r="E1143" s="598"/>
      <c r="F1143" s="699"/>
      <c r="G1143" s="700"/>
      <c r="H1143" s="598"/>
      <c r="I1143" s="598"/>
      <c r="J1143" s="598"/>
      <c r="K1143" s="598"/>
      <c r="L1143" s="598"/>
      <c r="Q1143" s="432">
        <v>46104</v>
      </c>
      <c r="R1143" s="433">
        <v>0.58333333333333304</v>
      </c>
      <c r="S1143" s="434" t="s">
        <v>289</v>
      </c>
      <c r="T1143" s="434" t="s">
        <v>468</v>
      </c>
      <c r="U1143" s="435">
        <v>0.5</v>
      </c>
      <c r="V1143" s="436" t="str">
        <f t="shared" si="599"/>
        <v>apple</v>
      </c>
      <c r="W1143" s="437">
        <f t="shared" si="600"/>
        <v>47.5</v>
      </c>
      <c r="X1143" s="437">
        <f t="shared" si="601"/>
        <v>0.25</v>
      </c>
      <c r="Y1143" s="437">
        <f t="shared" si="602"/>
        <v>0.15</v>
      </c>
      <c r="Z1143" s="437">
        <f t="shared" si="603"/>
        <v>12.5</v>
      </c>
      <c r="AA1143" s="437">
        <f t="shared" si="604"/>
        <v>2</v>
      </c>
      <c r="AB1143" s="584">
        <f t="shared" si="605"/>
        <v>0</v>
      </c>
      <c r="AC1143" s="434"/>
    </row>
    <row r="1144" spans="5:29">
      <c r="E1144" s="598"/>
      <c r="F1144" s="699"/>
      <c r="G1144" s="700"/>
      <c r="H1144" s="598"/>
      <c r="I1144" s="598"/>
      <c r="J1144" s="598"/>
      <c r="K1144" s="598"/>
      <c r="L1144" s="598"/>
      <c r="Q1144" s="432">
        <v>46104</v>
      </c>
      <c r="R1144" s="433">
        <v>0.58333333333333304</v>
      </c>
      <c r="S1144" s="434" t="s">
        <v>289</v>
      </c>
      <c r="T1144" s="434" t="s">
        <v>214</v>
      </c>
      <c r="U1144" s="435">
        <v>1</v>
      </c>
      <c r="V1144" s="436" t="str">
        <f t="shared" si="599"/>
        <v>bar</v>
      </c>
      <c r="W1144" s="437">
        <f t="shared" si="600"/>
        <v>67</v>
      </c>
      <c r="X1144" s="437">
        <f t="shared" si="601"/>
        <v>1</v>
      </c>
      <c r="Y1144" s="437">
        <f t="shared" si="602"/>
        <v>3.5</v>
      </c>
      <c r="Z1144" s="437">
        <f t="shared" si="603"/>
        <v>22</v>
      </c>
      <c r="AA1144" s="437">
        <f t="shared" si="604"/>
        <v>0.3</v>
      </c>
      <c r="AB1144" s="584">
        <f t="shared" si="605"/>
        <v>0</v>
      </c>
      <c r="AC1144" s="434"/>
    </row>
    <row r="1145" spans="5:29">
      <c r="E1145" s="598"/>
      <c r="F1145" s="699"/>
      <c r="G1145" s="700"/>
      <c r="H1145" s="598"/>
      <c r="I1145" s="598"/>
      <c r="J1145" s="598"/>
      <c r="K1145" s="598"/>
      <c r="L1145" s="598"/>
      <c r="Q1145" s="432">
        <v>46104</v>
      </c>
      <c r="R1145" s="433">
        <v>0.75</v>
      </c>
      <c r="S1145" s="434" t="s">
        <v>199</v>
      </c>
      <c r="T1145" s="434" t="s">
        <v>181</v>
      </c>
      <c r="U1145" s="435">
        <v>4</v>
      </c>
      <c r="V1145" s="436" t="str">
        <f t="shared" si="599"/>
        <v>slice</v>
      </c>
      <c r="W1145" s="437">
        <f t="shared" si="600"/>
        <v>280</v>
      </c>
      <c r="X1145" s="437">
        <f t="shared" si="601"/>
        <v>10</v>
      </c>
      <c r="Y1145" s="437">
        <f t="shared" si="602"/>
        <v>5</v>
      </c>
      <c r="Z1145" s="437">
        <f t="shared" si="603"/>
        <v>48</v>
      </c>
      <c r="AA1145" s="437">
        <f t="shared" si="604"/>
        <v>4</v>
      </c>
      <c r="AB1145" s="584">
        <f t="shared" si="605"/>
        <v>0</v>
      </c>
      <c r="AC1145" s="434"/>
    </row>
    <row r="1146" spans="5:29">
      <c r="E1146" s="598"/>
      <c r="F1146" s="699"/>
      <c r="G1146" s="700"/>
      <c r="H1146" s="598"/>
      <c r="I1146" s="598"/>
      <c r="J1146" s="598"/>
      <c r="K1146" s="598"/>
      <c r="L1146" s="598"/>
      <c r="Q1146" s="432">
        <v>46104</v>
      </c>
      <c r="R1146" s="433">
        <v>0.79166666666666663</v>
      </c>
      <c r="S1146" s="434" t="s">
        <v>199</v>
      </c>
      <c r="T1146" s="434" t="s">
        <v>849</v>
      </c>
      <c r="U1146" s="435">
        <v>1</v>
      </c>
      <c r="V1146" s="436" t="str">
        <f t="shared" si="599"/>
        <v>bowl</v>
      </c>
      <c r="W1146" s="437">
        <f t="shared" si="600"/>
        <v>320</v>
      </c>
      <c r="X1146" s="437">
        <f t="shared" si="601"/>
        <v>22</v>
      </c>
      <c r="Y1146" s="437">
        <f t="shared" si="602"/>
        <v>8</v>
      </c>
      <c r="Z1146" s="437">
        <f t="shared" si="603"/>
        <v>42</v>
      </c>
      <c r="AA1146" s="437">
        <f t="shared" si="604"/>
        <v>4</v>
      </c>
      <c r="AB1146" s="584">
        <f t="shared" si="605"/>
        <v>0</v>
      </c>
      <c r="AC1146" s="434"/>
    </row>
    <row r="1147" spans="5:29">
      <c r="E1147" s="598"/>
      <c r="F1147" s="699"/>
      <c r="G1147" s="700"/>
      <c r="H1147" s="598"/>
      <c r="I1147" s="598"/>
      <c r="J1147" s="598"/>
      <c r="K1147" s="598"/>
      <c r="L1147" s="598"/>
      <c r="Q1147" s="432">
        <v>46104</v>
      </c>
      <c r="R1147" s="433">
        <v>0.79166666666666696</v>
      </c>
      <c r="S1147" s="434" t="s">
        <v>289</v>
      </c>
      <c r="T1147" s="434" t="s">
        <v>846</v>
      </c>
      <c r="U1147" s="435">
        <v>1</v>
      </c>
      <c r="V1147" s="436" t="str">
        <f t="shared" si="599"/>
        <v>can</v>
      </c>
      <c r="W1147" s="437">
        <f t="shared" si="600"/>
        <v>0</v>
      </c>
      <c r="X1147" s="437">
        <f t="shared" si="601"/>
        <v>0</v>
      </c>
      <c r="Y1147" s="437">
        <f t="shared" si="602"/>
        <v>0</v>
      </c>
      <c r="Z1147" s="437">
        <f t="shared" si="603"/>
        <v>1</v>
      </c>
      <c r="AA1147" s="437">
        <f t="shared" si="604"/>
        <v>0</v>
      </c>
      <c r="AB1147" s="584">
        <f t="shared" si="605"/>
        <v>0</v>
      </c>
      <c r="AC1147" s="434"/>
    </row>
    <row r="1148" spans="5:29">
      <c r="E1148" s="598"/>
      <c r="F1148" s="699"/>
      <c r="G1148" s="700"/>
      <c r="H1148" s="598"/>
      <c r="I1148" s="598"/>
      <c r="J1148" s="598"/>
      <c r="K1148" s="598"/>
      <c r="L1148" s="598"/>
      <c r="Q1148" s="432">
        <v>46104</v>
      </c>
      <c r="R1148" s="433">
        <v>0.79166666666666696</v>
      </c>
      <c r="S1148" s="434" t="s">
        <v>289</v>
      </c>
      <c r="T1148" s="434" t="s">
        <v>461</v>
      </c>
      <c r="U1148" s="435">
        <v>1</v>
      </c>
      <c r="V1148" s="436" t="str">
        <f t="shared" si="599"/>
        <v>chunks</v>
      </c>
      <c r="W1148" s="437">
        <f t="shared" si="600"/>
        <v>24.285714285714285</v>
      </c>
      <c r="X1148" s="437">
        <f t="shared" si="601"/>
        <v>0.42857142857142855</v>
      </c>
      <c r="Y1148" s="437">
        <f t="shared" si="602"/>
        <v>1.4285714285714284</v>
      </c>
      <c r="Z1148" s="437">
        <f t="shared" si="603"/>
        <v>2.5714285714285712</v>
      </c>
      <c r="AA1148" s="437">
        <f t="shared" si="604"/>
        <v>7.1428571428571425E-2</v>
      </c>
      <c r="AB1148" s="684">
        <f t="shared" si="605"/>
        <v>0</v>
      </c>
      <c r="AC1148" s="434"/>
    </row>
    <row r="1149" spans="5:29">
      <c r="E1149" s="598"/>
      <c r="F1149" s="699"/>
      <c r="G1149" s="700"/>
      <c r="H1149" s="598"/>
      <c r="I1149" s="598"/>
      <c r="J1149" s="598"/>
      <c r="K1149" s="598"/>
      <c r="L1149" s="598"/>
      <c r="Q1149" s="438"/>
      <c r="R1149" s="439" t="s">
        <v>217</v>
      </c>
      <c r="S1149" s="440"/>
      <c r="T1149" s="441"/>
      <c r="U1149" s="441"/>
      <c r="V1149" s="442"/>
      <c r="W1149" s="443">
        <f t="shared" ref="W1149:AB1149" si="606">SUM(W1135:W1148)</f>
        <v>2432.7857142857142</v>
      </c>
      <c r="X1149" s="443">
        <f t="shared" si="606"/>
        <v>149.07857142857142</v>
      </c>
      <c r="Y1149" s="443">
        <f t="shared" si="606"/>
        <v>59.228571428571428</v>
      </c>
      <c r="Z1149" s="443">
        <f t="shared" si="606"/>
        <v>329.62142857142857</v>
      </c>
      <c r="AA1149" s="685">
        <f t="shared" si="606"/>
        <v>17.696428571428573</v>
      </c>
      <c r="AB1149" s="691">
        <f t="shared" si="606"/>
        <v>0</v>
      </c>
      <c r="AC1149" s="439"/>
    </row>
    <row r="1150" spans="5:29">
      <c r="E1150" s="598"/>
      <c r="F1150" s="699"/>
      <c r="G1150" s="700"/>
      <c r="H1150" s="598"/>
      <c r="I1150" s="598"/>
      <c r="J1150" s="598"/>
      <c r="K1150" s="598"/>
      <c r="L1150" s="598"/>
      <c r="Q1150" s="438"/>
      <c r="R1150" s="439" t="s">
        <v>220</v>
      </c>
      <c r="S1150" s="440"/>
      <c r="T1150" s="441"/>
      <c r="U1150" s="441"/>
      <c r="V1150" s="442"/>
      <c r="W1150" s="444">
        <f>$B$27</f>
        <v>2834.5625</v>
      </c>
      <c r="X1150" s="444">
        <f>$B$29</f>
        <v>154</v>
      </c>
      <c r="Y1150" s="444">
        <f>$B$30</f>
        <v>63.91</v>
      </c>
      <c r="Z1150" s="444">
        <f>$B$31</f>
        <v>410.84312499999999</v>
      </c>
      <c r="AA1150" s="692">
        <f>$B$32</f>
        <v>39.683875</v>
      </c>
      <c r="AB1150" s="695">
        <f>$B$39</f>
        <v>500</v>
      </c>
      <c r="AC1150" s="439"/>
    </row>
    <row r="1151" spans="5:29">
      <c r="E1151" s="598"/>
      <c r="F1151" s="699"/>
      <c r="G1151" s="700"/>
      <c r="H1151" s="598"/>
      <c r="I1151" s="598"/>
      <c r="J1151" s="598"/>
      <c r="K1151" s="598"/>
      <c r="L1151" s="598"/>
      <c r="Q1151" s="438"/>
      <c r="R1151" s="439" t="s">
        <v>222</v>
      </c>
      <c r="S1151" s="440"/>
      <c r="T1151" s="441"/>
      <c r="U1151" s="441"/>
      <c r="V1151" s="442"/>
      <c r="W1151" s="284">
        <f t="shared" ref="W1151:AB1151" si="607">W1149-W1150</f>
        <v>-401.77678571428578</v>
      </c>
      <c r="X1151" s="284">
        <f t="shared" si="607"/>
        <v>-4.9214285714285779</v>
      </c>
      <c r="Y1151" s="284">
        <f t="shared" si="607"/>
        <v>-4.6814285714285688</v>
      </c>
      <c r="Z1151" s="284">
        <f t="shared" si="607"/>
        <v>-81.22169642857142</v>
      </c>
      <c r="AA1151" s="690">
        <f t="shared" si="607"/>
        <v>-21.987446428571428</v>
      </c>
      <c r="AB1151" s="689">
        <f t="shared" si="607"/>
        <v>-500</v>
      </c>
      <c r="AC1151" s="439"/>
    </row>
    <row r="1152" spans="5:29">
      <c r="E1152" s="598"/>
      <c r="F1152" s="699"/>
      <c r="G1152" s="700"/>
      <c r="H1152" s="598"/>
      <c r="I1152" s="598"/>
      <c r="J1152" s="598"/>
      <c r="K1152" s="598"/>
      <c r="L1152" s="598"/>
      <c r="Q1152" s="432">
        <v>46105</v>
      </c>
      <c r="R1152" s="433">
        <v>0.33333333333333331</v>
      </c>
      <c r="S1152" s="434" t="s">
        <v>178</v>
      </c>
      <c r="T1152" s="434" t="s">
        <v>295</v>
      </c>
      <c r="U1152" s="435">
        <v>1</v>
      </c>
      <c r="V1152" s="436" t="str">
        <f t="shared" ref="V1152:V1168" si="608">IFERROR(VLOOKUP(T1152, $E$5:$L$818, 3, FALSE), "")</f>
        <v>bottle</v>
      </c>
      <c r="W1152" s="437">
        <f t="shared" ref="W1152:W1168" si="609">IFERROR(VLOOKUP(T1152, $E$5:$L$818, 4, FALSE) * (U1152 / VLOOKUP(T1152, $E$5:$L$818, 2, FALSE)), "")</f>
        <v>200</v>
      </c>
      <c r="X1152" s="437">
        <f t="shared" ref="X1152:X1168" si="610">IFERROR(VLOOKUP(T1152, $E$5:$L$818, 5, FALSE) * (U1152 / VLOOKUP(T1152, $E$5:$L$818, 2, FALSE)), "")</f>
        <v>35</v>
      </c>
      <c r="Y1152" s="437">
        <f t="shared" ref="Y1152:Y1168" si="611">IFERROR(VLOOKUP(T1152, $E$5:$L$818, 6, FALSE) * (U1152 / VLOOKUP(T1152, $E$5:$L$818, 2, FALSE)), "")</f>
        <v>2.5</v>
      </c>
      <c r="Z1152" s="437">
        <f t="shared" ref="Z1152:Z1168" si="612">IFERROR(VLOOKUP(T1152, $E$5:$L$818, 7, FALSE) * (U1152 / VLOOKUP(T1152, $E$5:$L$818, 2, FALSE)), "")</f>
        <v>9</v>
      </c>
      <c r="AA1152" s="437">
        <f t="shared" ref="AA1152:AA1168" si="613">IFERROR(VLOOKUP(T1152, $E$5:$L$818, 8, FALSE) * (U1152 / VLOOKUP(T1152, $E$5:$L$818, 2, FALSE)), "")</f>
        <v>0</v>
      </c>
      <c r="AB1152" s="674">
        <f t="shared" ref="AB1152:AB1168" si="614">IFERROR(VLOOKUP(T1152, $E$5:$O$818, 9, FALSE) * (U1152 / VLOOKUP(T1152, $E$5:$O$818, 2, FALSE)), "")</f>
        <v>0</v>
      </c>
      <c r="AC1152" s="434"/>
    </row>
    <row r="1153" spans="5:29">
      <c r="E1153" s="598"/>
      <c r="F1153" s="699"/>
      <c r="G1153" s="700"/>
      <c r="H1153" s="598"/>
      <c r="I1153" s="598"/>
      <c r="J1153" s="598"/>
      <c r="K1153" s="598"/>
      <c r="L1153" s="598"/>
      <c r="Q1153" s="432">
        <v>46105</v>
      </c>
      <c r="R1153" s="433">
        <v>0.33333333333333298</v>
      </c>
      <c r="S1153" s="434" t="s">
        <v>178</v>
      </c>
      <c r="T1153" s="434" t="s">
        <v>181</v>
      </c>
      <c r="U1153" s="435">
        <v>2</v>
      </c>
      <c r="V1153" s="436" t="str">
        <f t="shared" si="608"/>
        <v>slice</v>
      </c>
      <c r="W1153" s="437">
        <f t="shared" si="609"/>
        <v>140</v>
      </c>
      <c r="X1153" s="437">
        <f t="shared" si="610"/>
        <v>5</v>
      </c>
      <c r="Y1153" s="437">
        <f t="shared" si="611"/>
        <v>2.5</v>
      </c>
      <c r="Z1153" s="437">
        <f t="shared" si="612"/>
        <v>24</v>
      </c>
      <c r="AA1153" s="437">
        <f t="shared" si="613"/>
        <v>2</v>
      </c>
      <c r="AB1153" s="584">
        <f t="shared" si="614"/>
        <v>0</v>
      </c>
      <c r="AC1153" s="434"/>
    </row>
    <row r="1154" spans="5:29">
      <c r="E1154" s="598"/>
      <c r="F1154" s="699"/>
      <c r="G1154" s="700"/>
      <c r="H1154" s="598"/>
      <c r="I1154" s="598"/>
      <c r="J1154" s="598"/>
      <c r="K1154" s="598"/>
      <c r="L1154" s="598"/>
      <c r="Q1154" s="432">
        <v>46105</v>
      </c>
      <c r="R1154" s="433">
        <v>0.33333333333333298</v>
      </c>
      <c r="S1154" s="434" t="s">
        <v>289</v>
      </c>
      <c r="T1154" s="434" t="s">
        <v>497</v>
      </c>
      <c r="U1154" s="435">
        <v>1</v>
      </c>
      <c r="V1154" s="436" t="str">
        <f t="shared" si="608"/>
        <v>bag</v>
      </c>
      <c r="W1154" s="437">
        <f t="shared" si="609"/>
        <v>100</v>
      </c>
      <c r="X1154" s="437">
        <f t="shared" si="610"/>
        <v>0.5</v>
      </c>
      <c r="Y1154" s="437">
        <f t="shared" si="611"/>
        <v>7</v>
      </c>
      <c r="Z1154" s="437">
        <f t="shared" si="612"/>
        <v>10</v>
      </c>
      <c r="AA1154" s="437">
        <f t="shared" si="613"/>
        <v>0</v>
      </c>
      <c r="AB1154" s="584">
        <f t="shared" si="614"/>
        <v>0</v>
      </c>
      <c r="AC1154" s="434"/>
    </row>
    <row r="1155" spans="5:29">
      <c r="E1155" s="598"/>
      <c r="F1155" s="699"/>
      <c r="G1155" s="700"/>
      <c r="H1155" s="598"/>
      <c r="I1155" s="598"/>
      <c r="J1155" s="598"/>
      <c r="K1155" s="598"/>
      <c r="L1155" s="598"/>
      <c r="Q1155" s="432">
        <v>46105</v>
      </c>
      <c r="R1155" s="433">
        <v>0.54166666666666663</v>
      </c>
      <c r="S1155" s="434" t="s">
        <v>185</v>
      </c>
      <c r="T1155" s="434" t="s">
        <v>247</v>
      </c>
      <c r="U1155" s="435">
        <v>1.5</v>
      </c>
      <c r="V1155" s="436" t="str">
        <f t="shared" si="608"/>
        <v>large bowl</v>
      </c>
      <c r="W1155" s="437">
        <f t="shared" si="609"/>
        <v>600</v>
      </c>
      <c r="X1155" s="437">
        <f t="shared" si="610"/>
        <v>30</v>
      </c>
      <c r="Y1155" s="437">
        <f t="shared" si="611"/>
        <v>15</v>
      </c>
      <c r="Z1155" s="437">
        <f t="shared" si="612"/>
        <v>82.5</v>
      </c>
      <c r="AA1155" s="437">
        <f t="shared" si="613"/>
        <v>4.5</v>
      </c>
      <c r="AB1155" s="584">
        <f t="shared" si="614"/>
        <v>0</v>
      </c>
      <c r="AC1155" s="434"/>
    </row>
    <row r="1156" spans="5:29">
      <c r="E1156" s="598"/>
      <c r="F1156" s="699"/>
      <c r="G1156" s="700"/>
      <c r="H1156" s="598"/>
      <c r="I1156" s="598"/>
      <c r="J1156" s="598"/>
      <c r="K1156" s="598"/>
      <c r="L1156" s="598"/>
      <c r="Q1156" s="432">
        <v>46105</v>
      </c>
      <c r="R1156" s="433">
        <v>0.58333333333333337</v>
      </c>
      <c r="S1156" s="434" t="s">
        <v>289</v>
      </c>
      <c r="T1156" s="434" t="s">
        <v>855</v>
      </c>
      <c r="U1156" s="435">
        <v>100</v>
      </c>
      <c r="V1156" s="436" t="str">
        <f t="shared" si="608"/>
        <v>g</v>
      </c>
      <c r="W1156" s="437">
        <f t="shared" si="609"/>
        <v>60</v>
      </c>
      <c r="X1156" s="437">
        <f t="shared" si="610"/>
        <v>1</v>
      </c>
      <c r="Y1156" s="437">
        <f t="shared" si="611"/>
        <v>0</v>
      </c>
      <c r="Z1156" s="437">
        <f t="shared" si="612"/>
        <v>15</v>
      </c>
      <c r="AA1156" s="437">
        <f t="shared" si="613"/>
        <v>2</v>
      </c>
      <c r="AB1156" s="584">
        <f t="shared" si="614"/>
        <v>0</v>
      </c>
      <c r="AC1156" s="434"/>
    </row>
    <row r="1157" spans="5:29">
      <c r="E1157" s="598"/>
      <c r="F1157" s="699"/>
      <c r="G1157" s="700"/>
      <c r="H1157" s="598"/>
      <c r="I1157" s="598"/>
      <c r="J1157" s="598"/>
      <c r="K1157" s="598"/>
      <c r="L1157" s="598"/>
      <c r="Q1157" s="432">
        <v>46105</v>
      </c>
      <c r="R1157" s="433">
        <v>0.58333333333333304</v>
      </c>
      <c r="S1157" s="434" t="s">
        <v>185</v>
      </c>
      <c r="T1157" s="434" t="s">
        <v>181</v>
      </c>
      <c r="U1157" s="435">
        <v>2</v>
      </c>
      <c r="V1157" s="436" t="str">
        <f t="shared" si="608"/>
        <v>slice</v>
      </c>
      <c r="W1157" s="437">
        <f t="shared" si="609"/>
        <v>140</v>
      </c>
      <c r="X1157" s="437">
        <f t="shared" si="610"/>
        <v>5</v>
      </c>
      <c r="Y1157" s="437">
        <f t="shared" si="611"/>
        <v>2.5</v>
      </c>
      <c r="Z1157" s="437">
        <f t="shared" si="612"/>
        <v>24</v>
      </c>
      <c r="AA1157" s="437">
        <f t="shared" si="613"/>
        <v>2</v>
      </c>
      <c r="AB1157" s="584">
        <f t="shared" si="614"/>
        <v>0</v>
      </c>
      <c r="AC1157" s="434"/>
    </row>
    <row r="1158" spans="5:29">
      <c r="E1158" s="598"/>
      <c r="F1158" s="699"/>
      <c r="G1158" s="700"/>
      <c r="H1158" s="598"/>
      <c r="I1158" s="598"/>
      <c r="J1158" s="598"/>
      <c r="K1158" s="598"/>
      <c r="L1158" s="598"/>
      <c r="Q1158" s="432">
        <v>46105</v>
      </c>
      <c r="R1158" s="433">
        <v>0.58333333333333304</v>
      </c>
      <c r="S1158" s="434" t="s">
        <v>289</v>
      </c>
      <c r="T1158" s="434" t="s">
        <v>461</v>
      </c>
      <c r="U1158" s="435">
        <v>4</v>
      </c>
      <c r="V1158" s="436" t="str">
        <f t="shared" si="608"/>
        <v>chunks</v>
      </c>
      <c r="W1158" s="437">
        <f t="shared" si="609"/>
        <v>97.142857142857139</v>
      </c>
      <c r="X1158" s="437">
        <f t="shared" si="610"/>
        <v>1.7142857142857142</v>
      </c>
      <c r="Y1158" s="437">
        <f t="shared" si="611"/>
        <v>5.7142857142857135</v>
      </c>
      <c r="Z1158" s="437">
        <f t="shared" si="612"/>
        <v>10.285714285714285</v>
      </c>
      <c r="AA1158" s="437">
        <f t="shared" si="613"/>
        <v>0.2857142857142857</v>
      </c>
      <c r="AB1158" s="584">
        <f t="shared" si="614"/>
        <v>0</v>
      </c>
      <c r="AC1158" s="434"/>
    </row>
    <row r="1159" spans="5:29">
      <c r="E1159" s="598"/>
      <c r="F1159" s="699"/>
      <c r="G1159" s="700"/>
      <c r="H1159" s="598"/>
      <c r="I1159" s="598"/>
      <c r="J1159" s="598"/>
      <c r="K1159" s="598"/>
      <c r="L1159" s="598"/>
      <c r="Q1159" s="432">
        <v>46105</v>
      </c>
      <c r="R1159" s="433">
        <v>0.58333333333333304</v>
      </c>
      <c r="S1159" s="434" t="s">
        <v>185</v>
      </c>
      <c r="T1159" s="434" t="s">
        <v>181</v>
      </c>
      <c r="U1159" s="435">
        <v>2</v>
      </c>
      <c r="V1159" s="436" t="str">
        <f t="shared" si="608"/>
        <v>slice</v>
      </c>
      <c r="W1159" s="437">
        <f t="shared" si="609"/>
        <v>140</v>
      </c>
      <c r="X1159" s="437">
        <f t="shared" si="610"/>
        <v>5</v>
      </c>
      <c r="Y1159" s="437">
        <f t="shared" si="611"/>
        <v>2.5</v>
      </c>
      <c r="Z1159" s="437">
        <f t="shared" si="612"/>
        <v>24</v>
      </c>
      <c r="AA1159" s="437">
        <f t="shared" si="613"/>
        <v>2</v>
      </c>
      <c r="AB1159" s="584">
        <f t="shared" si="614"/>
        <v>0</v>
      </c>
      <c r="AC1159" s="434"/>
    </row>
    <row r="1160" spans="5:29">
      <c r="E1160" s="598"/>
      <c r="F1160" s="699"/>
      <c r="G1160" s="700"/>
      <c r="H1160" s="598"/>
      <c r="I1160" s="598"/>
      <c r="J1160" s="598"/>
      <c r="K1160" s="598"/>
      <c r="L1160" s="598"/>
      <c r="Q1160" s="432">
        <v>46105</v>
      </c>
      <c r="R1160" s="433">
        <v>0.79166666666666663</v>
      </c>
      <c r="S1160" s="434" t="s">
        <v>199</v>
      </c>
      <c r="T1160" s="434" t="s">
        <v>176</v>
      </c>
      <c r="U1160" s="435">
        <v>260</v>
      </c>
      <c r="V1160" s="436" t="str">
        <f t="shared" si="608"/>
        <v>g</v>
      </c>
      <c r="W1160" s="437">
        <f t="shared" si="609"/>
        <v>429</v>
      </c>
      <c r="X1160" s="437">
        <f t="shared" si="610"/>
        <v>65</v>
      </c>
      <c r="Y1160" s="437">
        <f t="shared" si="611"/>
        <v>9.3600000000000012</v>
      </c>
      <c r="Z1160" s="437">
        <f t="shared" si="612"/>
        <v>0</v>
      </c>
      <c r="AA1160" s="437">
        <f t="shared" si="613"/>
        <v>0</v>
      </c>
      <c r="AB1160" s="584">
        <f t="shared" si="614"/>
        <v>0</v>
      </c>
      <c r="AC1160" s="434"/>
    </row>
    <row r="1161" spans="5:29">
      <c r="E1161" s="598"/>
      <c r="F1161" s="699"/>
      <c r="G1161" s="700"/>
      <c r="H1161" s="598"/>
      <c r="I1161" s="598"/>
      <c r="J1161" s="598"/>
      <c r="K1161" s="598"/>
      <c r="L1161" s="598"/>
      <c r="Q1161" s="432">
        <v>46105</v>
      </c>
      <c r="R1161" s="433">
        <v>0.79166666666666696</v>
      </c>
      <c r="S1161" s="434" t="s">
        <v>199</v>
      </c>
      <c r="T1161" s="434" t="s">
        <v>754</v>
      </c>
      <c r="U1161" s="435">
        <v>157</v>
      </c>
      <c r="V1161" s="436" t="str">
        <f t="shared" si="608"/>
        <v>g</v>
      </c>
      <c r="W1161" s="437">
        <f t="shared" si="609"/>
        <v>172.7</v>
      </c>
      <c r="X1161" s="437">
        <f t="shared" si="610"/>
        <v>4.1866666666666665</v>
      </c>
      <c r="Y1161" s="437">
        <f t="shared" si="611"/>
        <v>1.0466666666666666</v>
      </c>
      <c r="Z1161" s="437">
        <f t="shared" si="612"/>
        <v>35.586666666666666</v>
      </c>
      <c r="AA1161" s="437">
        <f t="shared" si="613"/>
        <v>2.0933333333333333</v>
      </c>
      <c r="AB1161" s="584">
        <f t="shared" si="614"/>
        <v>0</v>
      </c>
      <c r="AC1161" s="434"/>
    </row>
    <row r="1162" spans="5:29">
      <c r="E1162" s="598"/>
      <c r="F1162" s="699"/>
      <c r="G1162" s="700"/>
      <c r="H1162" s="598"/>
      <c r="I1162" s="598"/>
      <c r="J1162" s="598"/>
      <c r="K1162" s="598"/>
      <c r="L1162" s="598"/>
      <c r="Q1162" s="432">
        <v>46105</v>
      </c>
      <c r="R1162" s="433">
        <v>0.79166666666666696</v>
      </c>
      <c r="S1162" s="434" t="s">
        <v>289</v>
      </c>
      <c r="T1162" s="434" t="s">
        <v>847</v>
      </c>
      <c r="U1162" s="435">
        <v>1</v>
      </c>
      <c r="V1162" s="436" t="str">
        <f t="shared" si="608"/>
        <v>can</v>
      </c>
      <c r="W1162" s="437">
        <f t="shared" si="609"/>
        <v>0</v>
      </c>
      <c r="X1162" s="437">
        <f t="shared" si="610"/>
        <v>0</v>
      </c>
      <c r="Y1162" s="437">
        <f t="shared" si="611"/>
        <v>0</v>
      </c>
      <c r="Z1162" s="437">
        <f t="shared" si="612"/>
        <v>0</v>
      </c>
      <c r="AA1162" s="437">
        <f t="shared" si="613"/>
        <v>0</v>
      </c>
      <c r="AB1162" s="584">
        <f t="shared" si="614"/>
        <v>0</v>
      </c>
      <c r="AC1162" s="434"/>
    </row>
    <row r="1163" spans="5:29">
      <c r="E1163" s="598"/>
      <c r="F1163" s="699"/>
      <c r="G1163" s="700"/>
      <c r="H1163" s="598"/>
      <c r="I1163" s="598"/>
      <c r="J1163" s="598"/>
      <c r="K1163" s="598"/>
      <c r="L1163" s="598"/>
      <c r="Q1163" s="432">
        <v>46105</v>
      </c>
      <c r="R1163" s="433">
        <v>0.875</v>
      </c>
      <c r="S1163" s="434" t="s">
        <v>289</v>
      </c>
      <c r="T1163" s="434" t="s">
        <v>461</v>
      </c>
      <c r="U1163" s="435">
        <v>1</v>
      </c>
      <c r="V1163" s="436" t="str">
        <f t="shared" si="608"/>
        <v>chunks</v>
      </c>
      <c r="W1163" s="437">
        <f t="shared" si="609"/>
        <v>24.285714285714285</v>
      </c>
      <c r="X1163" s="437">
        <f t="shared" si="610"/>
        <v>0.42857142857142855</v>
      </c>
      <c r="Y1163" s="437">
        <f t="shared" si="611"/>
        <v>1.4285714285714284</v>
      </c>
      <c r="Z1163" s="437">
        <f t="shared" si="612"/>
        <v>2.5714285714285712</v>
      </c>
      <c r="AA1163" s="437">
        <f t="shared" si="613"/>
        <v>7.1428571428571425E-2</v>
      </c>
      <c r="AB1163" s="584">
        <f t="shared" si="614"/>
        <v>0</v>
      </c>
      <c r="AC1163" s="434"/>
    </row>
    <row r="1164" spans="5:29">
      <c r="E1164" s="598"/>
      <c r="F1164" s="699"/>
      <c r="G1164" s="700"/>
      <c r="H1164" s="598"/>
      <c r="I1164" s="598"/>
      <c r="J1164" s="598"/>
      <c r="K1164" s="598"/>
      <c r="L1164" s="598"/>
      <c r="Q1164" s="432">
        <v>46105</v>
      </c>
      <c r="R1164" s="433">
        <v>0.875</v>
      </c>
      <c r="S1164" s="434" t="s">
        <v>289</v>
      </c>
      <c r="T1164" s="434" t="s">
        <v>468</v>
      </c>
      <c r="U1164" s="435">
        <v>1</v>
      </c>
      <c r="V1164" s="436" t="str">
        <f t="shared" si="608"/>
        <v>apple</v>
      </c>
      <c r="W1164" s="437">
        <f t="shared" si="609"/>
        <v>95</v>
      </c>
      <c r="X1164" s="437">
        <f t="shared" si="610"/>
        <v>0.5</v>
      </c>
      <c r="Y1164" s="437">
        <f t="shared" si="611"/>
        <v>0.3</v>
      </c>
      <c r="Z1164" s="437">
        <f t="shared" si="612"/>
        <v>25</v>
      </c>
      <c r="AA1164" s="437">
        <f t="shared" si="613"/>
        <v>4</v>
      </c>
      <c r="AB1164" s="584">
        <f t="shared" si="614"/>
        <v>0</v>
      </c>
      <c r="AC1164" s="434"/>
    </row>
    <row r="1165" spans="5:29">
      <c r="E1165" s="598"/>
      <c r="F1165" s="699"/>
      <c r="G1165" s="700"/>
      <c r="H1165" s="598"/>
      <c r="I1165" s="598"/>
      <c r="J1165" s="598"/>
      <c r="K1165" s="598"/>
      <c r="L1165" s="598"/>
      <c r="Q1165" s="432">
        <v>46105</v>
      </c>
      <c r="R1165" s="433">
        <v>0.875</v>
      </c>
      <c r="S1165" s="434" t="s">
        <v>289</v>
      </c>
      <c r="T1165" s="434" t="s">
        <v>190</v>
      </c>
      <c r="U1165" s="435">
        <v>1</v>
      </c>
      <c r="V1165" s="436" t="str">
        <f t="shared" si="608"/>
        <v>medium</v>
      </c>
      <c r="W1165" s="437">
        <f t="shared" si="609"/>
        <v>62</v>
      </c>
      <c r="X1165" s="437">
        <f t="shared" si="610"/>
        <v>1.2</v>
      </c>
      <c r="Y1165" s="437">
        <f t="shared" si="611"/>
        <v>0.2</v>
      </c>
      <c r="Z1165" s="437">
        <f t="shared" si="612"/>
        <v>15.4</v>
      </c>
      <c r="AA1165" s="437">
        <f t="shared" si="613"/>
        <v>3.1</v>
      </c>
      <c r="AB1165" s="584">
        <f t="shared" si="614"/>
        <v>0</v>
      </c>
      <c r="AC1165" s="434"/>
    </row>
    <row r="1166" spans="5:29">
      <c r="E1166" s="598"/>
      <c r="F1166" s="699"/>
      <c r="G1166" s="700"/>
      <c r="H1166" s="598"/>
      <c r="I1166" s="598"/>
      <c r="J1166" s="598"/>
      <c r="K1166" s="598"/>
      <c r="L1166" s="598"/>
      <c r="Q1166" s="432">
        <v>46105</v>
      </c>
      <c r="R1166" s="433">
        <v>0.875</v>
      </c>
      <c r="S1166" s="434" t="s">
        <v>199</v>
      </c>
      <c r="T1166" s="434" t="s">
        <v>209</v>
      </c>
      <c r="U1166" s="435">
        <v>3</v>
      </c>
      <c r="V1166" s="436" t="str">
        <f t="shared" si="608"/>
        <v>tbsp</v>
      </c>
      <c r="W1166" s="437">
        <f t="shared" si="609"/>
        <v>60</v>
      </c>
      <c r="X1166" s="437">
        <f t="shared" si="610"/>
        <v>0</v>
      </c>
      <c r="Y1166" s="437">
        <f t="shared" si="611"/>
        <v>0</v>
      </c>
      <c r="Z1166" s="437">
        <f t="shared" si="612"/>
        <v>15</v>
      </c>
      <c r="AA1166" s="437">
        <f t="shared" si="613"/>
        <v>13.5</v>
      </c>
      <c r="AB1166" s="584">
        <f t="shared" si="614"/>
        <v>0</v>
      </c>
      <c r="AC1166" s="434"/>
    </row>
    <row r="1167" spans="5:29">
      <c r="E1167" s="598"/>
      <c r="F1167" s="699"/>
      <c r="G1167" s="700"/>
      <c r="H1167" s="598"/>
      <c r="I1167" s="598"/>
      <c r="J1167" s="598"/>
      <c r="K1167" s="598"/>
      <c r="L1167" s="598"/>
      <c r="Q1167" s="432">
        <v>46105</v>
      </c>
      <c r="R1167" s="433">
        <v>0.875</v>
      </c>
      <c r="S1167" s="434" t="s">
        <v>289</v>
      </c>
      <c r="T1167" s="434" t="s">
        <v>786</v>
      </c>
      <c r="U1167" s="435">
        <v>1</v>
      </c>
      <c r="V1167" s="436" t="str">
        <f t="shared" si="608"/>
        <v>bottle</v>
      </c>
      <c r="W1167" s="437">
        <f t="shared" si="609"/>
        <v>90</v>
      </c>
      <c r="X1167" s="437">
        <f t="shared" si="610"/>
        <v>0</v>
      </c>
      <c r="Y1167" s="437">
        <f t="shared" si="611"/>
        <v>0</v>
      </c>
      <c r="Z1167" s="437">
        <f t="shared" si="612"/>
        <v>22</v>
      </c>
      <c r="AA1167" s="437">
        <f t="shared" si="613"/>
        <v>0</v>
      </c>
      <c r="AB1167" s="584">
        <f t="shared" si="614"/>
        <v>0</v>
      </c>
      <c r="AC1167" s="434"/>
    </row>
    <row r="1168" spans="5:29">
      <c r="E1168" s="598"/>
      <c r="F1168" s="699"/>
      <c r="G1168" s="700"/>
      <c r="H1168" s="598"/>
      <c r="I1168" s="598"/>
      <c r="J1168" s="598"/>
      <c r="K1168" s="598"/>
      <c r="L1168" s="598"/>
      <c r="Q1168" s="432">
        <v>46105</v>
      </c>
      <c r="R1168" s="433">
        <v>0.875</v>
      </c>
      <c r="S1168" s="434" t="s">
        <v>199</v>
      </c>
      <c r="T1168" s="434" t="s">
        <v>181</v>
      </c>
      <c r="U1168" s="435">
        <v>2</v>
      </c>
      <c r="V1168" s="436" t="str">
        <f t="shared" si="608"/>
        <v>slice</v>
      </c>
      <c r="W1168" s="437">
        <f t="shared" si="609"/>
        <v>140</v>
      </c>
      <c r="X1168" s="437">
        <f t="shared" si="610"/>
        <v>5</v>
      </c>
      <c r="Y1168" s="437">
        <f t="shared" si="611"/>
        <v>2.5</v>
      </c>
      <c r="Z1168" s="437">
        <f t="shared" si="612"/>
        <v>24</v>
      </c>
      <c r="AA1168" s="437">
        <f t="shared" si="613"/>
        <v>2</v>
      </c>
      <c r="AB1168" s="684">
        <f t="shared" si="614"/>
        <v>0</v>
      </c>
      <c r="AC1168" s="434"/>
    </row>
    <row r="1169" spans="5:29">
      <c r="E1169" s="598"/>
      <c r="F1169" s="699"/>
      <c r="G1169" s="700"/>
      <c r="H1169" s="598"/>
      <c r="I1169" s="598"/>
      <c r="J1169" s="598"/>
      <c r="K1169" s="598"/>
      <c r="L1169" s="598"/>
      <c r="Q1169" s="438"/>
      <c r="R1169" s="439" t="s">
        <v>217</v>
      </c>
      <c r="S1169" s="440"/>
      <c r="T1169" s="441"/>
      <c r="U1169" s="441"/>
      <c r="V1169" s="442"/>
      <c r="W1169" s="443">
        <f t="shared" ref="W1169:AB1169" si="615">SUM(W1152:W1168)</f>
        <v>2550.1285714285714</v>
      </c>
      <c r="X1169" s="443">
        <f t="shared" si="615"/>
        <v>159.52952380952379</v>
      </c>
      <c r="Y1169" s="443">
        <f t="shared" si="615"/>
        <v>52.549523809523812</v>
      </c>
      <c r="Z1169" s="443">
        <f t="shared" si="615"/>
        <v>338.34380952380951</v>
      </c>
      <c r="AA1169" s="685">
        <f t="shared" si="615"/>
        <v>37.550476190476189</v>
      </c>
      <c r="AB1169" s="691">
        <f t="shared" si="615"/>
        <v>0</v>
      </c>
      <c r="AC1169" s="439"/>
    </row>
    <row r="1170" spans="5:29">
      <c r="E1170" s="598"/>
      <c r="F1170" s="699"/>
      <c r="G1170" s="700"/>
      <c r="H1170" s="598"/>
      <c r="I1170" s="598"/>
      <c r="J1170" s="598"/>
      <c r="K1170" s="598"/>
      <c r="L1170" s="598"/>
      <c r="Q1170" s="438"/>
      <c r="R1170" s="439" t="s">
        <v>220</v>
      </c>
      <c r="S1170" s="440"/>
      <c r="T1170" s="441"/>
      <c r="U1170" s="441"/>
      <c r="V1170" s="442"/>
      <c r="W1170" s="444">
        <f>$B$27</f>
        <v>2834.5625</v>
      </c>
      <c r="X1170" s="444">
        <f>$B$29</f>
        <v>154</v>
      </c>
      <c r="Y1170" s="444">
        <f>$B$30</f>
        <v>63.91</v>
      </c>
      <c r="Z1170" s="444">
        <f>$B$31</f>
        <v>410.84312499999999</v>
      </c>
      <c r="AA1170" s="692">
        <f>$B$32</f>
        <v>39.683875</v>
      </c>
      <c r="AB1170" s="695">
        <f>$B$39</f>
        <v>500</v>
      </c>
      <c r="AC1170" s="439"/>
    </row>
    <row r="1171" spans="5:29">
      <c r="E1171" s="598"/>
      <c r="F1171" s="699"/>
      <c r="G1171" s="700"/>
      <c r="H1171" s="598"/>
      <c r="I1171" s="598"/>
      <c r="J1171" s="598"/>
      <c r="K1171" s="598"/>
      <c r="L1171" s="598"/>
      <c r="Q1171" s="438"/>
      <c r="R1171" s="439" t="s">
        <v>222</v>
      </c>
      <c r="S1171" s="440"/>
      <c r="T1171" s="441"/>
      <c r="U1171" s="441"/>
      <c r="V1171" s="442"/>
      <c r="W1171" s="284">
        <f t="shared" ref="W1171:AB1171" si="616">W1169-W1170</f>
        <v>-284.43392857142862</v>
      </c>
      <c r="X1171" s="284">
        <f t="shared" si="616"/>
        <v>5.5295238095237949</v>
      </c>
      <c r="Y1171" s="284">
        <f t="shared" si="616"/>
        <v>-11.360476190476184</v>
      </c>
      <c r="Z1171" s="284">
        <f t="shared" si="616"/>
        <v>-72.499315476190475</v>
      </c>
      <c r="AA1171" s="690">
        <f t="shared" si="616"/>
        <v>-2.1333988095238112</v>
      </c>
      <c r="AB1171" s="689">
        <f t="shared" si="616"/>
        <v>-500</v>
      </c>
      <c r="AC1171" s="439"/>
    </row>
    <row r="1172" spans="5:29">
      <c r="E1172" s="598"/>
      <c r="F1172" s="699"/>
      <c r="G1172" s="700"/>
      <c r="H1172" s="598"/>
      <c r="I1172" s="598"/>
      <c r="J1172" s="598"/>
      <c r="K1172" s="598"/>
      <c r="L1172" s="598"/>
      <c r="Q1172" s="432">
        <v>46106</v>
      </c>
      <c r="R1172" s="433">
        <v>0.33333333333333331</v>
      </c>
      <c r="S1172" s="434" t="s">
        <v>178</v>
      </c>
      <c r="T1172" s="434" t="s">
        <v>295</v>
      </c>
      <c r="U1172" s="435">
        <v>1</v>
      </c>
      <c r="V1172" s="436" t="str">
        <f t="shared" ref="V1172:V1175" si="617">IFERROR(VLOOKUP(T1172, $E$5:$L$818, 3, FALSE), "")</f>
        <v>bottle</v>
      </c>
      <c r="W1172" s="437">
        <f t="shared" ref="W1172:W1175" si="618">IFERROR(VLOOKUP(T1172, $E$5:$L$818, 4, FALSE) * (U1172 / VLOOKUP(T1172, $E$5:$L$818, 2, FALSE)), "")</f>
        <v>200</v>
      </c>
      <c r="X1172" s="437">
        <f t="shared" ref="X1172:X1175" si="619">IFERROR(VLOOKUP(T1172, $E$5:$L$818, 5, FALSE) * (U1172 / VLOOKUP(T1172, $E$5:$L$818, 2, FALSE)), "")</f>
        <v>35</v>
      </c>
      <c r="Y1172" s="437">
        <f t="shared" ref="Y1172:Y1175" si="620">IFERROR(VLOOKUP(T1172, $E$5:$L$818, 6, FALSE) * (U1172 / VLOOKUP(T1172, $E$5:$L$818, 2, FALSE)), "")</f>
        <v>2.5</v>
      </c>
      <c r="Z1172" s="437">
        <f t="shared" ref="Z1172:Z1175" si="621">IFERROR(VLOOKUP(T1172, $E$5:$L$818, 7, FALSE) * (U1172 / VLOOKUP(T1172, $E$5:$L$818, 2, FALSE)), "")</f>
        <v>9</v>
      </c>
      <c r="AA1172" s="437">
        <f t="shared" ref="AA1172:AA1175" si="622">IFERROR(VLOOKUP(T1172, $E$5:$L$818, 8, FALSE) * (U1172 / VLOOKUP(T1172, $E$5:$L$818, 2, FALSE)), "")</f>
        <v>0</v>
      </c>
      <c r="AB1172" s="674">
        <f t="shared" ref="AB1172:AB1184" si="623">IFERROR(VLOOKUP(T1172, $E$5:$O$818, 9, FALSE) * (U1172 / VLOOKUP(T1172, $E$5:$O$818, 2, FALSE)), "")</f>
        <v>0</v>
      </c>
      <c r="AC1172" s="434"/>
    </row>
    <row r="1173" spans="5:29">
      <c r="E1173" s="598"/>
      <c r="F1173" s="699"/>
      <c r="G1173" s="700"/>
      <c r="H1173" s="598"/>
      <c r="I1173" s="598"/>
      <c r="J1173" s="598"/>
      <c r="K1173" s="598"/>
      <c r="L1173" s="598"/>
      <c r="Q1173" s="432">
        <v>46106</v>
      </c>
      <c r="R1173" s="433">
        <v>0.33333333333333298</v>
      </c>
      <c r="S1173" s="434" t="s">
        <v>178</v>
      </c>
      <c r="T1173" s="434" t="s">
        <v>181</v>
      </c>
      <c r="U1173" s="435">
        <v>2</v>
      </c>
      <c r="V1173" s="436" t="str">
        <f t="shared" si="617"/>
        <v>slice</v>
      </c>
      <c r="W1173" s="437">
        <f t="shared" si="618"/>
        <v>140</v>
      </c>
      <c r="X1173" s="437">
        <f t="shared" si="619"/>
        <v>5</v>
      </c>
      <c r="Y1173" s="437">
        <f t="shared" si="620"/>
        <v>2.5</v>
      </c>
      <c r="Z1173" s="437">
        <f t="shared" si="621"/>
        <v>24</v>
      </c>
      <c r="AA1173" s="437">
        <f t="shared" si="622"/>
        <v>2</v>
      </c>
      <c r="AB1173" s="584">
        <f t="shared" si="623"/>
        <v>0</v>
      </c>
      <c r="AC1173" s="434"/>
    </row>
    <row r="1174" spans="5:29">
      <c r="E1174" s="598"/>
      <c r="F1174" s="699"/>
      <c r="G1174" s="700"/>
      <c r="H1174" s="598"/>
      <c r="I1174" s="598"/>
      <c r="J1174" s="598"/>
      <c r="K1174" s="598"/>
      <c r="L1174" s="598"/>
      <c r="Q1174" s="432">
        <v>46106</v>
      </c>
      <c r="R1174" s="433">
        <v>0.54166666666666663</v>
      </c>
      <c r="S1174" s="434" t="s">
        <v>185</v>
      </c>
      <c r="T1174" s="434" t="s">
        <v>176</v>
      </c>
      <c r="U1174" s="435">
        <v>260</v>
      </c>
      <c r="V1174" s="436" t="str">
        <f t="shared" si="617"/>
        <v>g</v>
      </c>
      <c r="W1174" s="437">
        <f t="shared" si="618"/>
        <v>429</v>
      </c>
      <c r="X1174" s="437">
        <f t="shared" si="619"/>
        <v>65</v>
      </c>
      <c r="Y1174" s="437">
        <f t="shared" si="620"/>
        <v>9.3600000000000012</v>
      </c>
      <c r="Z1174" s="437">
        <f t="shared" si="621"/>
        <v>0</v>
      </c>
      <c r="AA1174" s="437">
        <f t="shared" si="622"/>
        <v>0</v>
      </c>
      <c r="AB1174" s="584">
        <f t="shared" si="623"/>
        <v>0</v>
      </c>
      <c r="AC1174" s="434"/>
    </row>
    <row r="1175" spans="5:29">
      <c r="E1175" s="598"/>
      <c r="F1175" s="699"/>
      <c r="G1175" s="700"/>
      <c r="H1175" s="598"/>
      <c r="I1175" s="598"/>
      <c r="J1175" s="598"/>
      <c r="K1175" s="598"/>
      <c r="L1175" s="598"/>
      <c r="Q1175" s="432">
        <v>46106</v>
      </c>
      <c r="R1175" s="433">
        <v>0.54166666666666696</v>
      </c>
      <c r="S1175" s="434" t="s">
        <v>185</v>
      </c>
      <c r="T1175" s="434" t="s">
        <v>754</v>
      </c>
      <c r="U1175" s="435">
        <v>160</v>
      </c>
      <c r="V1175" s="436" t="str">
        <f t="shared" si="617"/>
        <v>g</v>
      </c>
      <c r="W1175" s="437">
        <f t="shared" si="618"/>
        <v>176</v>
      </c>
      <c r="X1175" s="437">
        <f t="shared" si="619"/>
        <v>4.2666666666666666</v>
      </c>
      <c r="Y1175" s="437">
        <f t="shared" si="620"/>
        <v>1.0666666666666667</v>
      </c>
      <c r="Z1175" s="437">
        <f t="shared" si="621"/>
        <v>36.266666666666666</v>
      </c>
      <c r="AA1175" s="437">
        <f t="shared" si="622"/>
        <v>2.1333333333333333</v>
      </c>
      <c r="AB1175" s="584">
        <f t="shared" si="623"/>
        <v>0</v>
      </c>
      <c r="AC1175" s="434"/>
    </row>
    <row r="1176" spans="5:29">
      <c r="E1176" s="598"/>
      <c r="F1176" s="699"/>
      <c r="G1176" s="700"/>
      <c r="H1176" s="598"/>
      <c r="I1176" s="598"/>
      <c r="J1176" s="598"/>
      <c r="K1176" s="598"/>
      <c r="L1176" s="598"/>
      <c r="Q1176" s="432">
        <v>46106</v>
      </c>
      <c r="R1176" s="433">
        <v>0.54166666666666696</v>
      </c>
      <c r="S1176" s="434" t="s">
        <v>289</v>
      </c>
      <c r="T1176" s="434" t="s">
        <v>268</v>
      </c>
      <c r="U1176" s="435">
        <v>1</v>
      </c>
      <c r="V1176" s="436" t="str">
        <f t="shared" ref="V1176:V1184" si="624">IFERROR(VLOOKUP(T1176, $E$5:$L$818, 3, FALSE), "")</f>
        <v>scoop</v>
      </c>
      <c r="W1176" s="437">
        <f t="shared" ref="W1176:W1184" si="625">IFERROR(VLOOKUP(T1176, $E$5:$L$818, 4, FALSE) * (U1176 / VLOOKUP(T1176, $E$5:$L$818, 2, FALSE)), "")</f>
        <v>160</v>
      </c>
      <c r="X1176" s="437">
        <f t="shared" ref="X1176:X1184" si="626">IFERROR(VLOOKUP(T1176, $E$5:$L$818, 5, FALSE) * (U1176 / VLOOKUP(T1176, $E$5:$L$818, 2, FALSE)), "")</f>
        <v>2.5</v>
      </c>
      <c r="Y1176" s="437">
        <f t="shared" ref="Y1176:Y1184" si="627">IFERROR(VLOOKUP(T1176, $E$5:$L$818, 6, FALSE) * (U1176 / VLOOKUP(T1176, $E$5:$L$818, 2, FALSE)), "")</f>
        <v>8.5</v>
      </c>
      <c r="Z1176" s="437">
        <f t="shared" ref="Z1176:Z1184" si="628">IFERROR(VLOOKUP(T1176, $E$5:$L$818, 7, FALSE) * (U1176 / VLOOKUP(T1176, $E$5:$L$818, 2, FALSE)), "")</f>
        <v>19.5</v>
      </c>
      <c r="AA1176" s="437">
        <f t="shared" ref="AA1176:AA1184" si="629">IFERROR(VLOOKUP(T1176, $E$5:$L$818, 8, FALSE) * (U1176 / VLOOKUP(T1176, $E$5:$L$818, 2, FALSE)), "")</f>
        <v>0</v>
      </c>
      <c r="AB1176" s="584">
        <f t="shared" si="623"/>
        <v>0</v>
      </c>
      <c r="AC1176" s="434"/>
    </row>
    <row r="1177" spans="5:29">
      <c r="E1177" s="598"/>
      <c r="F1177" s="699"/>
      <c r="G1177" s="700"/>
      <c r="H1177" s="598"/>
      <c r="I1177" s="598"/>
      <c r="J1177" s="598"/>
      <c r="K1177" s="598"/>
      <c r="L1177" s="598"/>
      <c r="Q1177" s="432">
        <v>46106</v>
      </c>
      <c r="R1177" s="433">
        <v>0.54166666666666696</v>
      </c>
      <c r="S1177" s="434" t="s">
        <v>289</v>
      </c>
      <c r="T1177" s="434" t="s">
        <v>461</v>
      </c>
      <c r="U1177" s="435">
        <v>1</v>
      </c>
      <c r="V1177" s="436" t="str">
        <f t="shared" si="624"/>
        <v>chunks</v>
      </c>
      <c r="W1177" s="437">
        <f t="shared" si="625"/>
        <v>24.285714285714285</v>
      </c>
      <c r="X1177" s="437">
        <f t="shared" si="626"/>
        <v>0.42857142857142855</v>
      </c>
      <c r="Y1177" s="437">
        <f t="shared" si="627"/>
        <v>1.4285714285714284</v>
      </c>
      <c r="Z1177" s="437">
        <f t="shared" si="628"/>
        <v>2.5714285714285712</v>
      </c>
      <c r="AA1177" s="437">
        <f t="shared" si="629"/>
        <v>7.1428571428571425E-2</v>
      </c>
      <c r="AB1177" s="584">
        <f t="shared" si="623"/>
        <v>0</v>
      </c>
      <c r="AC1177" s="434"/>
    </row>
    <row r="1178" spans="5:29">
      <c r="E1178" s="598"/>
      <c r="F1178" s="699"/>
      <c r="G1178" s="700"/>
      <c r="H1178" s="598"/>
      <c r="I1178" s="598"/>
      <c r="J1178" s="598"/>
      <c r="K1178" s="598"/>
      <c r="L1178" s="598"/>
      <c r="Q1178" s="432">
        <v>46106</v>
      </c>
      <c r="R1178" s="433">
        <v>0.54166666666666696</v>
      </c>
      <c r="S1178" s="434" t="s">
        <v>289</v>
      </c>
      <c r="T1178" s="434" t="s">
        <v>854</v>
      </c>
      <c r="U1178" s="435">
        <v>0.5</v>
      </c>
      <c r="V1178" s="436" t="str">
        <f t="shared" si="624"/>
        <v>bag</v>
      </c>
      <c r="W1178" s="437">
        <f t="shared" si="625"/>
        <v>120</v>
      </c>
      <c r="X1178" s="437">
        <f t="shared" si="626"/>
        <v>2</v>
      </c>
      <c r="Y1178" s="437">
        <f t="shared" si="627"/>
        <v>4.5</v>
      </c>
      <c r="Z1178" s="437">
        <f t="shared" si="628"/>
        <v>17</v>
      </c>
      <c r="AA1178" s="437">
        <f t="shared" si="629"/>
        <v>0</v>
      </c>
      <c r="AB1178" s="584">
        <f t="shared" si="623"/>
        <v>0</v>
      </c>
      <c r="AC1178" s="434"/>
    </row>
    <row r="1179" spans="5:29">
      <c r="E1179" s="598"/>
      <c r="F1179" s="699"/>
      <c r="G1179" s="700"/>
      <c r="H1179" s="598"/>
      <c r="I1179" s="598"/>
      <c r="J1179" s="598"/>
      <c r="K1179" s="598"/>
      <c r="L1179" s="598"/>
      <c r="Q1179" s="432">
        <v>46106</v>
      </c>
      <c r="R1179" s="433">
        <v>0.54166666666666696</v>
      </c>
      <c r="S1179" s="434" t="s">
        <v>289</v>
      </c>
      <c r="T1179" s="434" t="s">
        <v>423</v>
      </c>
      <c r="U1179" s="435">
        <v>2</v>
      </c>
      <c r="V1179" s="436" t="str">
        <f t="shared" si="624"/>
        <v>pieces</v>
      </c>
      <c r="W1179" s="437">
        <f t="shared" si="625"/>
        <v>15</v>
      </c>
      <c r="X1179" s="437">
        <f t="shared" si="626"/>
        <v>0</v>
      </c>
      <c r="Y1179" s="437">
        <f t="shared" si="627"/>
        <v>0</v>
      </c>
      <c r="Z1179" s="437">
        <f t="shared" si="628"/>
        <v>3</v>
      </c>
      <c r="AA1179" s="437">
        <f t="shared" si="629"/>
        <v>0</v>
      </c>
      <c r="AB1179" s="584">
        <f t="shared" si="623"/>
        <v>0</v>
      </c>
      <c r="AC1179" s="434"/>
    </row>
    <row r="1180" spans="5:29">
      <c r="E1180" s="598"/>
      <c r="F1180" s="699"/>
      <c r="G1180" s="700"/>
      <c r="H1180" s="598"/>
      <c r="I1180" s="598"/>
      <c r="J1180" s="598"/>
      <c r="K1180" s="598"/>
      <c r="L1180" s="598"/>
      <c r="Q1180" s="432">
        <v>46106</v>
      </c>
      <c r="R1180" s="433">
        <v>0.54166666666666696</v>
      </c>
      <c r="S1180" s="434" t="s">
        <v>289</v>
      </c>
      <c r="T1180" s="434" t="s">
        <v>827</v>
      </c>
      <c r="U1180" s="435">
        <v>1</v>
      </c>
      <c r="V1180" s="436" t="str">
        <f t="shared" si="624"/>
        <v>pack</v>
      </c>
      <c r="W1180" s="437">
        <f t="shared" si="625"/>
        <v>20</v>
      </c>
      <c r="X1180" s="437">
        <f t="shared" si="626"/>
        <v>0</v>
      </c>
      <c r="Y1180" s="437">
        <f t="shared" si="627"/>
        <v>0.5</v>
      </c>
      <c r="Z1180" s="437">
        <f t="shared" si="628"/>
        <v>3</v>
      </c>
      <c r="AA1180" s="437">
        <f t="shared" si="629"/>
        <v>0</v>
      </c>
      <c r="AB1180" s="584">
        <f t="shared" si="623"/>
        <v>0</v>
      </c>
      <c r="AC1180" s="434"/>
    </row>
    <row r="1181" spans="5:29">
      <c r="E1181" s="598"/>
      <c r="F1181" s="699"/>
      <c r="G1181" s="700"/>
      <c r="H1181" s="598"/>
      <c r="I1181" s="598"/>
      <c r="J1181" s="598"/>
      <c r="K1181" s="598"/>
      <c r="L1181" s="598"/>
      <c r="Q1181" s="432">
        <v>46106</v>
      </c>
      <c r="R1181" s="433">
        <v>0.79166666666666663</v>
      </c>
      <c r="S1181" s="434" t="s">
        <v>199</v>
      </c>
      <c r="T1181" s="434" t="s">
        <v>323</v>
      </c>
      <c r="U1181" s="435">
        <v>1</v>
      </c>
      <c r="V1181" s="436" t="str">
        <f t="shared" si="624"/>
        <v>double bars</v>
      </c>
      <c r="W1181" s="437">
        <f t="shared" si="625"/>
        <v>180</v>
      </c>
      <c r="X1181" s="437">
        <f t="shared" si="626"/>
        <v>2</v>
      </c>
      <c r="Y1181" s="437">
        <f t="shared" si="627"/>
        <v>9</v>
      </c>
      <c r="Z1181" s="437">
        <f t="shared" si="628"/>
        <v>24</v>
      </c>
      <c r="AA1181" s="437">
        <f t="shared" si="629"/>
        <v>0</v>
      </c>
      <c r="AB1181" s="584">
        <f t="shared" si="623"/>
        <v>0</v>
      </c>
      <c r="AC1181" s="434"/>
    </row>
    <row r="1182" spans="5:29">
      <c r="E1182" s="598"/>
      <c r="F1182" s="699"/>
      <c r="G1182" s="700"/>
      <c r="H1182" s="598"/>
      <c r="I1182" s="598"/>
      <c r="J1182" s="598"/>
      <c r="K1182" s="598"/>
      <c r="L1182" s="598"/>
      <c r="Q1182" s="432">
        <v>46106</v>
      </c>
      <c r="R1182" s="433">
        <v>0.83333333333333337</v>
      </c>
      <c r="S1182" s="434" t="s">
        <v>199</v>
      </c>
      <c r="T1182" s="434" t="s">
        <v>176</v>
      </c>
      <c r="U1182" s="435">
        <v>250</v>
      </c>
      <c r="V1182" s="436" t="str">
        <f t="shared" si="624"/>
        <v>g</v>
      </c>
      <c r="W1182" s="437">
        <f t="shared" si="625"/>
        <v>412.5</v>
      </c>
      <c r="X1182" s="437">
        <f t="shared" si="626"/>
        <v>62.5</v>
      </c>
      <c r="Y1182" s="437">
        <f t="shared" si="627"/>
        <v>9</v>
      </c>
      <c r="Z1182" s="437">
        <f t="shared" si="628"/>
        <v>0</v>
      </c>
      <c r="AA1182" s="437">
        <f t="shared" si="629"/>
        <v>0</v>
      </c>
      <c r="AB1182" s="584">
        <f t="shared" si="623"/>
        <v>0</v>
      </c>
      <c r="AC1182" s="434"/>
    </row>
    <row r="1183" spans="5:29">
      <c r="E1183" s="598"/>
      <c r="F1183" s="699"/>
      <c r="G1183" s="700"/>
      <c r="H1183" s="598"/>
      <c r="I1183" s="598"/>
      <c r="J1183" s="598"/>
      <c r="K1183" s="598"/>
      <c r="L1183" s="598"/>
      <c r="Q1183" s="432">
        <v>46106</v>
      </c>
      <c r="R1183" s="433">
        <v>0.83333333333333337</v>
      </c>
      <c r="S1183" s="434" t="s">
        <v>199</v>
      </c>
      <c r="T1183" s="434" t="s">
        <v>219</v>
      </c>
      <c r="U1183" s="435">
        <v>1</v>
      </c>
      <c r="V1183" s="436" t="str">
        <f t="shared" si="624"/>
        <v>bottle</v>
      </c>
      <c r="W1183" s="437">
        <f t="shared" si="625"/>
        <v>0</v>
      </c>
      <c r="X1183" s="437">
        <f t="shared" si="626"/>
        <v>0</v>
      </c>
      <c r="Y1183" s="437">
        <f t="shared" si="627"/>
        <v>0</v>
      </c>
      <c r="Z1183" s="437">
        <f t="shared" si="628"/>
        <v>0</v>
      </c>
      <c r="AA1183" s="437">
        <f t="shared" si="629"/>
        <v>0</v>
      </c>
      <c r="AB1183" s="584">
        <f t="shared" si="623"/>
        <v>0</v>
      </c>
      <c r="AC1183" s="434"/>
    </row>
    <row r="1184" spans="5:29">
      <c r="E1184" s="598"/>
      <c r="F1184" s="699"/>
      <c r="G1184" s="700"/>
      <c r="H1184" s="598"/>
      <c r="I1184" s="598"/>
      <c r="J1184" s="598"/>
      <c r="K1184" s="598"/>
      <c r="L1184" s="598"/>
      <c r="Q1184" s="432">
        <v>46106</v>
      </c>
      <c r="R1184" s="433">
        <v>0.83333333333333337</v>
      </c>
      <c r="S1184" s="434" t="s">
        <v>199</v>
      </c>
      <c r="T1184" s="434" t="s">
        <v>484</v>
      </c>
      <c r="U1184" s="435">
        <v>337</v>
      </c>
      <c r="V1184" s="436" t="str">
        <f t="shared" si="624"/>
        <v>g</v>
      </c>
      <c r="W1184" s="437">
        <f t="shared" si="625"/>
        <v>313.41000000000003</v>
      </c>
      <c r="X1184" s="437">
        <f t="shared" si="626"/>
        <v>8.4250000000000007</v>
      </c>
      <c r="Y1184" s="437">
        <f t="shared" si="627"/>
        <v>0.67400000000000004</v>
      </c>
      <c r="Z1184" s="437">
        <f t="shared" si="628"/>
        <v>70.77</v>
      </c>
      <c r="AA1184" s="437">
        <f t="shared" si="629"/>
        <v>8.7620000000000005</v>
      </c>
      <c r="AB1184" s="684">
        <f t="shared" si="623"/>
        <v>0</v>
      </c>
      <c r="AC1184" s="434"/>
    </row>
    <row r="1185" spans="5:29">
      <c r="E1185" s="598"/>
      <c r="F1185" s="699"/>
      <c r="G1185" s="700"/>
      <c r="H1185" s="598"/>
      <c r="I1185" s="598"/>
      <c r="J1185" s="598"/>
      <c r="K1185" s="598"/>
      <c r="L1185" s="598"/>
      <c r="Q1185" s="438"/>
      <c r="R1185" s="439" t="s">
        <v>217</v>
      </c>
      <c r="S1185" s="440"/>
      <c r="T1185" s="441"/>
      <c r="U1185" s="441"/>
      <c r="V1185" s="442"/>
      <c r="W1185" s="443">
        <f t="shared" ref="W1185:AB1185" si="630">SUM(W1172:W1184)</f>
        <v>2190.1957142857141</v>
      </c>
      <c r="X1185" s="443">
        <f t="shared" si="630"/>
        <v>187.12023809523811</v>
      </c>
      <c r="Y1185" s="443">
        <f t="shared" si="630"/>
        <v>49.029238095238092</v>
      </c>
      <c r="Z1185" s="443">
        <f t="shared" si="630"/>
        <v>209.10809523809525</v>
      </c>
      <c r="AA1185" s="685">
        <f t="shared" si="630"/>
        <v>12.966761904761904</v>
      </c>
      <c r="AB1185" s="691">
        <f t="shared" si="630"/>
        <v>0</v>
      </c>
      <c r="AC1185" s="439"/>
    </row>
    <row r="1186" spans="5:29">
      <c r="E1186" s="598"/>
      <c r="F1186" s="699"/>
      <c r="G1186" s="700"/>
      <c r="H1186" s="598"/>
      <c r="I1186" s="598"/>
      <c r="J1186" s="598"/>
      <c r="K1186" s="598"/>
      <c r="L1186" s="598"/>
      <c r="Q1186" s="438"/>
      <c r="R1186" s="439" t="s">
        <v>220</v>
      </c>
      <c r="S1186" s="440"/>
      <c r="T1186" s="441"/>
      <c r="U1186" s="441"/>
      <c r="V1186" s="442"/>
      <c r="W1186" s="444">
        <f>$B$27</f>
        <v>2834.5625</v>
      </c>
      <c r="X1186" s="444">
        <f>$B$29</f>
        <v>154</v>
      </c>
      <c r="Y1186" s="444">
        <f>$B$30</f>
        <v>63.91</v>
      </c>
      <c r="Z1186" s="444">
        <f>$B$31</f>
        <v>410.84312499999999</v>
      </c>
      <c r="AA1186" s="692">
        <f>$B$32</f>
        <v>39.683875</v>
      </c>
      <c r="AB1186" s="695">
        <f>$B$39</f>
        <v>500</v>
      </c>
      <c r="AC1186" s="439"/>
    </row>
    <row r="1187" spans="5:29">
      <c r="E1187" s="598"/>
      <c r="F1187" s="699"/>
      <c r="G1187" s="700"/>
      <c r="H1187" s="598"/>
      <c r="I1187" s="598"/>
      <c r="J1187" s="598"/>
      <c r="K1187" s="598"/>
      <c r="L1187" s="598"/>
      <c r="Q1187" s="438"/>
      <c r="R1187" s="439" t="s">
        <v>222</v>
      </c>
      <c r="S1187" s="440"/>
      <c r="T1187" s="441"/>
      <c r="U1187" s="441"/>
      <c r="V1187" s="442"/>
      <c r="W1187" s="284">
        <f t="shared" ref="W1187:AB1187" si="631">W1185-W1186</f>
        <v>-644.36678571428592</v>
      </c>
      <c r="X1187" s="284">
        <f t="shared" si="631"/>
        <v>33.120238095238108</v>
      </c>
      <c r="Y1187" s="284">
        <f t="shared" si="631"/>
        <v>-14.880761904761904</v>
      </c>
      <c r="Z1187" s="284">
        <f t="shared" si="631"/>
        <v>-201.73502976190474</v>
      </c>
      <c r="AA1187" s="690">
        <f t="shared" si="631"/>
        <v>-26.717113095238098</v>
      </c>
      <c r="AB1187" s="689">
        <f t="shared" si="631"/>
        <v>-500</v>
      </c>
      <c r="AC1187" s="439"/>
    </row>
    <row r="1188" spans="5:29">
      <c r="E1188" s="598"/>
      <c r="F1188" s="699"/>
      <c r="G1188" s="700"/>
      <c r="H1188" s="598"/>
      <c r="I1188" s="598"/>
      <c r="J1188" s="598"/>
      <c r="K1188" s="598"/>
      <c r="L1188" s="598"/>
      <c r="Q1188" s="432">
        <v>46107</v>
      </c>
      <c r="R1188" s="433">
        <v>0.33333333333333331</v>
      </c>
      <c r="S1188" s="434" t="s">
        <v>178</v>
      </c>
      <c r="T1188" s="434" t="s">
        <v>295</v>
      </c>
      <c r="U1188" s="435">
        <v>1</v>
      </c>
      <c r="V1188" s="436" t="str">
        <f t="shared" ref="V1188:V1197" si="632">IFERROR(VLOOKUP(T1188, $E$5:$L$818, 3, FALSE), "")</f>
        <v>bottle</v>
      </c>
      <c r="W1188" s="437">
        <f t="shared" ref="W1188:W1197" si="633">IFERROR(VLOOKUP(T1188, $E$5:$L$818, 4, FALSE) * (U1188 / VLOOKUP(T1188, $E$5:$L$818, 2, FALSE)), "")</f>
        <v>200</v>
      </c>
      <c r="X1188" s="437">
        <f t="shared" ref="X1188:X1197" si="634">IFERROR(VLOOKUP(T1188, $E$5:$L$818, 5, FALSE) * (U1188 / VLOOKUP(T1188, $E$5:$L$818, 2, FALSE)), "")</f>
        <v>35</v>
      </c>
      <c r="Y1188" s="437">
        <f t="shared" ref="Y1188:Y1197" si="635">IFERROR(VLOOKUP(T1188, $E$5:$L$818, 6, FALSE) * (U1188 / VLOOKUP(T1188, $E$5:$L$818, 2, FALSE)), "")</f>
        <v>2.5</v>
      </c>
      <c r="Z1188" s="437">
        <f t="shared" ref="Z1188:Z1197" si="636">IFERROR(VLOOKUP(T1188, $E$5:$L$818, 7, FALSE) * (U1188 / VLOOKUP(T1188, $E$5:$L$818, 2, FALSE)), "")</f>
        <v>9</v>
      </c>
      <c r="AA1188" s="437">
        <f t="shared" ref="AA1188:AA1197" si="637">IFERROR(VLOOKUP(T1188, $E$5:$L$818, 8, FALSE) * (U1188 / VLOOKUP(T1188, $E$5:$L$818, 2, FALSE)), "")</f>
        <v>0</v>
      </c>
      <c r="AB1188" s="674">
        <f t="shared" ref="AB1188:AB1197" si="638">IFERROR(VLOOKUP(T1188, $E$5:$O$818, 9, FALSE) * (U1188 / VLOOKUP(T1188, $E$5:$O$818, 2, FALSE)), "")</f>
        <v>0</v>
      </c>
      <c r="AC1188" s="434"/>
    </row>
    <row r="1189" spans="5:29">
      <c r="E1189" s="598"/>
      <c r="F1189" s="699"/>
      <c r="G1189" s="700"/>
      <c r="H1189" s="598"/>
      <c r="I1189" s="598"/>
      <c r="J1189" s="598"/>
      <c r="K1189" s="598"/>
      <c r="L1189" s="598"/>
      <c r="Q1189" s="432">
        <v>46107</v>
      </c>
      <c r="R1189" s="433">
        <v>0.54166666666666663</v>
      </c>
      <c r="S1189" s="434" t="s">
        <v>185</v>
      </c>
      <c r="T1189" s="434" t="s">
        <v>861</v>
      </c>
      <c r="U1189" s="435">
        <v>150</v>
      </c>
      <c r="V1189" s="436" t="str">
        <f t="shared" si="632"/>
        <v>g</v>
      </c>
      <c r="W1189" s="437">
        <f t="shared" si="633"/>
        <v>320</v>
      </c>
      <c r="X1189" s="437">
        <f t="shared" si="634"/>
        <v>25</v>
      </c>
      <c r="Y1189" s="437">
        <f t="shared" si="635"/>
        <v>22</v>
      </c>
      <c r="Z1189" s="437">
        <f t="shared" si="636"/>
        <v>8</v>
      </c>
      <c r="AA1189" s="437">
        <f t="shared" si="637"/>
        <v>1</v>
      </c>
      <c r="AB1189" s="584">
        <f t="shared" si="638"/>
        <v>250</v>
      </c>
      <c r="AC1189" s="434"/>
    </row>
    <row r="1190" spans="5:29">
      <c r="E1190" s="598"/>
      <c r="F1190" s="699"/>
      <c r="G1190" s="700"/>
      <c r="H1190" s="598"/>
      <c r="I1190" s="598"/>
      <c r="J1190" s="598"/>
      <c r="K1190" s="598"/>
      <c r="L1190" s="598"/>
      <c r="Q1190" s="432">
        <v>46107</v>
      </c>
      <c r="R1190" s="433">
        <v>0.54166666666666663</v>
      </c>
      <c r="S1190" s="434" t="s">
        <v>185</v>
      </c>
      <c r="T1190" s="434" t="s">
        <v>180</v>
      </c>
      <c r="U1190" s="435">
        <v>200</v>
      </c>
      <c r="V1190" s="436" t="str">
        <f t="shared" si="632"/>
        <v>g</v>
      </c>
      <c r="W1190" s="437">
        <f t="shared" si="633"/>
        <v>260</v>
      </c>
      <c r="X1190" s="437">
        <f t="shared" si="634"/>
        <v>5.4</v>
      </c>
      <c r="Y1190" s="437">
        <f t="shared" si="635"/>
        <v>0.6</v>
      </c>
      <c r="Z1190" s="437">
        <f t="shared" si="636"/>
        <v>56</v>
      </c>
      <c r="AA1190" s="437">
        <f t="shared" si="637"/>
        <v>0.8</v>
      </c>
      <c r="AB1190" s="584">
        <f t="shared" si="638"/>
        <v>0</v>
      </c>
      <c r="AC1190" s="434"/>
    </row>
    <row r="1191" spans="5:29">
      <c r="E1191" s="598"/>
      <c r="F1191" s="699"/>
      <c r="G1191" s="700"/>
      <c r="H1191" s="598"/>
      <c r="I1191" s="598"/>
      <c r="J1191" s="598"/>
      <c r="K1191" s="598"/>
      <c r="L1191" s="598"/>
      <c r="Q1191" s="432">
        <v>46107</v>
      </c>
      <c r="R1191" s="433">
        <v>0.54166666666666663</v>
      </c>
      <c r="S1191" s="434" t="s">
        <v>185</v>
      </c>
      <c r="T1191" s="434" t="s">
        <v>229</v>
      </c>
      <c r="U1191" s="435">
        <v>1</v>
      </c>
      <c r="V1191" s="436" t="str">
        <f t="shared" si="632"/>
        <v>large plate</v>
      </c>
      <c r="W1191" s="437">
        <f t="shared" si="633"/>
        <v>500</v>
      </c>
      <c r="X1191" s="437">
        <f t="shared" si="634"/>
        <v>20</v>
      </c>
      <c r="Y1191" s="437">
        <f t="shared" si="635"/>
        <v>30</v>
      </c>
      <c r="Z1191" s="437">
        <f t="shared" si="636"/>
        <v>40</v>
      </c>
      <c r="AA1191" s="437">
        <f t="shared" si="637"/>
        <v>3</v>
      </c>
      <c r="AB1191" s="584">
        <f t="shared" si="638"/>
        <v>0</v>
      </c>
      <c r="AC1191" s="434"/>
    </row>
    <row r="1192" spans="5:29">
      <c r="E1192" s="598"/>
      <c r="F1192" s="699"/>
      <c r="G1192" s="700"/>
      <c r="H1192" s="598"/>
      <c r="I1192" s="598"/>
      <c r="J1192" s="598"/>
      <c r="K1192" s="598"/>
      <c r="L1192" s="598"/>
      <c r="Q1192" s="432">
        <v>46107</v>
      </c>
      <c r="R1192" s="433">
        <v>0.58333333333333337</v>
      </c>
      <c r="S1192" s="434" t="s">
        <v>289</v>
      </c>
      <c r="T1192" s="434" t="s">
        <v>461</v>
      </c>
      <c r="U1192" s="435">
        <v>3</v>
      </c>
      <c r="V1192" s="436" t="str">
        <f t="shared" si="632"/>
        <v>chunks</v>
      </c>
      <c r="W1192" s="437">
        <f t="shared" si="633"/>
        <v>72.857142857142847</v>
      </c>
      <c r="X1192" s="437">
        <f t="shared" si="634"/>
        <v>1.2857142857142856</v>
      </c>
      <c r="Y1192" s="437">
        <f t="shared" si="635"/>
        <v>4.2857142857142856</v>
      </c>
      <c r="Z1192" s="437">
        <f t="shared" si="636"/>
        <v>7.7142857142857135</v>
      </c>
      <c r="AA1192" s="437">
        <f t="shared" si="637"/>
        <v>0.21428571428571427</v>
      </c>
      <c r="AB1192" s="584">
        <f t="shared" si="638"/>
        <v>0</v>
      </c>
      <c r="AC1192" s="434"/>
    </row>
    <row r="1193" spans="5:29">
      <c r="E1193" s="598"/>
      <c r="F1193" s="699"/>
      <c r="G1193" s="700"/>
      <c r="H1193" s="598"/>
      <c r="I1193" s="598"/>
      <c r="J1193" s="598"/>
      <c r="K1193" s="598"/>
      <c r="L1193" s="598"/>
      <c r="Q1193" s="432">
        <v>46107</v>
      </c>
      <c r="R1193" s="433">
        <v>0.83333333333333337</v>
      </c>
      <c r="S1193" s="434" t="s">
        <v>199</v>
      </c>
      <c r="T1193" s="434" t="s">
        <v>484</v>
      </c>
      <c r="U1193" s="435">
        <v>287</v>
      </c>
      <c r="V1193" s="436" t="str">
        <f t="shared" si="632"/>
        <v>g</v>
      </c>
      <c r="W1193" s="437">
        <f t="shared" si="633"/>
        <v>266.91000000000003</v>
      </c>
      <c r="X1193" s="437">
        <f t="shared" si="634"/>
        <v>7.1750000000000007</v>
      </c>
      <c r="Y1193" s="437">
        <f t="shared" si="635"/>
        <v>0.57400000000000007</v>
      </c>
      <c r="Z1193" s="437">
        <f t="shared" si="636"/>
        <v>60.27</v>
      </c>
      <c r="AA1193" s="437">
        <f t="shared" si="637"/>
        <v>7.4620000000000006</v>
      </c>
      <c r="AB1193" s="584">
        <f t="shared" si="638"/>
        <v>0</v>
      </c>
      <c r="AC1193" s="434"/>
    </row>
    <row r="1194" spans="5:29">
      <c r="E1194" s="598"/>
      <c r="F1194" s="699"/>
      <c r="G1194" s="700"/>
      <c r="H1194" s="598"/>
      <c r="I1194" s="598"/>
      <c r="J1194" s="598"/>
      <c r="K1194" s="598"/>
      <c r="L1194" s="598"/>
      <c r="Q1194" s="432">
        <v>46107</v>
      </c>
      <c r="R1194" s="433">
        <v>0.83333333333333337</v>
      </c>
      <c r="S1194" s="434" t="s">
        <v>199</v>
      </c>
      <c r="T1194" s="434" t="s">
        <v>176</v>
      </c>
      <c r="U1194" s="435">
        <v>260</v>
      </c>
      <c r="V1194" s="436" t="str">
        <f t="shared" si="632"/>
        <v>g</v>
      </c>
      <c r="W1194" s="437">
        <f t="shared" si="633"/>
        <v>429</v>
      </c>
      <c r="X1194" s="437">
        <f t="shared" si="634"/>
        <v>65</v>
      </c>
      <c r="Y1194" s="437">
        <f t="shared" si="635"/>
        <v>9.3600000000000012</v>
      </c>
      <c r="Z1194" s="437">
        <f t="shared" si="636"/>
        <v>0</v>
      </c>
      <c r="AA1194" s="437">
        <f t="shared" si="637"/>
        <v>0</v>
      </c>
      <c r="AB1194" s="584">
        <f t="shared" si="638"/>
        <v>0</v>
      </c>
      <c r="AC1194" s="434"/>
    </row>
    <row r="1195" spans="5:29">
      <c r="E1195" s="598"/>
      <c r="F1195" s="699"/>
      <c r="G1195" s="700"/>
      <c r="H1195" s="598"/>
      <c r="I1195" s="598"/>
      <c r="J1195" s="598"/>
      <c r="K1195" s="598"/>
      <c r="L1195" s="598"/>
      <c r="Q1195" s="432">
        <v>46107</v>
      </c>
      <c r="R1195" s="433">
        <v>0.875</v>
      </c>
      <c r="S1195" s="434" t="s">
        <v>289</v>
      </c>
      <c r="T1195" s="434" t="s">
        <v>214</v>
      </c>
      <c r="U1195" s="435">
        <v>1</v>
      </c>
      <c r="V1195" s="436" t="str">
        <f t="shared" si="632"/>
        <v>bar</v>
      </c>
      <c r="W1195" s="437">
        <f t="shared" si="633"/>
        <v>67</v>
      </c>
      <c r="X1195" s="437">
        <f t="shared" si="634"/>
        <v>1</v>
      </c>
      <c r="Y1195" s="437">
        <f t="shared" si="635"/>
        <v>3.5</v>
      </c>
      <c r="Z1195" s="437">
        <f t="shared" si="636"/>
        <v>22</v>
      </c>
      <c r="AA1195" s="437">
        <f t="shared" si="637"/>
        <v>0.3</v>
      </c>
      <c r="AB1195" s="584">
        <f t="shared" si="638"/>
        <v>0</v>
      </c>
      <c r="AC1195" s="434"/>
    </row>
    <row r="1196" spans="5:29">
      <c r="E1196" s="598"/>
      <c r="F1196" s="699"/>
      <c r="G1196" s="700"/>
      <c r="H1196" s="598"/>
      <c r="I1196" s="598"/>
      <c r="J1196" s="598"/>
      <c r="K1196" s="598"/>
      <c r="L1196" s="598"/>
      <c r="Q1196" s="432">
        <v>46107</v>
      </c>
      <c r="R1196" s="433">
        <v>0.91666666666666663</v>
      </c>
      <c r="S1196" s="434" t="s">
        <v>289</v>
      </c>
      <c r="T1196" s="434" t="s">
        <v>209</v>
      </c>
      <c r="U1196" s="435">
        <v>3</v>
      </c>
      <c r="V1196" s="436" t="str">
        <f t="shared" si="632"/>
        <v>tbsp</v>
      </c>
      <c r="W1196" s="437">
        <f t="shared" si="633"/>
        <v>60</v>
      </c>
      <c r="X1196" s="437">
        <f t="shared" si="634"/>
        <v>0</v>
      </c>
      <c r="Y1196" s="437">
        <f t="shared" si="635"/>
        <v>0</v>
      </c>
      <c r="Z1196" s="437">
        <f t="shared" si="636"/>
        <v>15</v>
      </c>
      <c r="AA1196" s="437">
        <f t="shared" si="637"/>
        <v>13.5</v>
      </c>
      <c r="AB1196" s="584">
        <f t="shared" si="638"/>
        <v>0</v>
      </c>
      <c r="AC1196" s="434"/>
    </row>
    <row r="1197" spans="5:29">
      <c r="E1197" s="598"/>
      <c r="F1197" s="699"/>
      <c r="G1197" s="700"/>
      <c r="H1197" s="598"/>
      <c r="I1197" s="598"/>
      <c r="J1197" s="598"/>
      <c r="K1197" s="598"/>
      <c r="L1197" s="598"/>
      <c r="Q1197" s="432">
        <v>46107</v>
      </c>
      <c r="R1197" s="433">
        <v>0.91666666666666663</v>
      </c>
      <c r="S1197" s="434" t="s">
        <v>289</v>
      </c>
      <c r="T1197" s="434" t="s">
        <v>212</v>
      </c>
      <c r="U1197" s="435">
        <v>1</v>
      </c>
      <c r="V1197" s="436" t="str">
        <f t="shared" si="632"/>
        <v>bottle</v>
      </c>
      <c r="W1197" s="437">
        <f t="shared" si="633"/>
        <v>70</v>
      </c>
      <c r="X1197" s="437">
        <f t="shared" si="634"/>
        <v>0</v>
      </c>
      <c r="Y1197" s="437">
        <f t="shared" si="635"/>
        <v>0</v>
      </c>
      <c r="Z1197" s="437">
        <f t="shared" si="636"/>
        <v>17</v>
      </c>
      <c r="AA1197" s="437">
        <f t="shared" si="637"/>
        <v>1</v>
      </c>
      <c r="AB1197" s="684">
        <f t="shared" si="638"/>
        <v>0</v>
      </c>
      <c r="AC1197" s="434"/>
    </row>
    <row r="1198" spans="5:29">
      <c r="E1198" s="598"/>
      <c r="F1198" s="699"/>
      <c r="G1198" s="700"/>
      <c r="H1198" s="598"/>
      <c r="I1198" s="598"/>
      <c r="J1198" s="598"/>
      <c r="K1198" s="598"/>
      <c r="L1198" s="598"/>
      <c r="Q1198" s="438"/>
      <c r="R1198" s="439" t="s">
        <v>217</v>
      </c>
      <c r="S1198" s="440"/>
      <c r="T1198" s="441"/>
      <c r="U1198" s="441"/>
      <c r="V1198" s="442"/>
      <c r="W1198" s="443">
        <f t="shared" ref="W1198:AB1198" si="639">SUM(W1188:W1197)</f>
        <v>2245.767142857143</v>
      </c>
      <c r="X1198" s="443">
        <f t="shared" si="639"/>
        <v>159.86071428571429</v>
      </c>
      <c r="Y1198" s="443">
        <f t="shared" si="639"/>
        <v>72.819714285714284</v>
      </c>
      <c r="Z1198" s="443">
        <f t="shared" si="639"/>
        <v>234.9842857142857</v>
      </c>
      <c r="AA1198" s="685">
        <f t="shared" si="639"/>
        <v>27.276285714285716</v>
      </c>
      <c r="AB1198" s="691">
        <f t="shared" si="639"/>
        <v>250</v>
      </c>
      <c r="AC1198" s="439"/>
    </row>
    <row r="1199" spans="5:29">
      <c r="E1199" s="598"/>
      <c r="F1199" s="699"/>
      <c r="G1199" s="700"/>
      <c r="H1199" s="598"/>
      <c r="I1199" s="598"/>
      <c r="J1199" s="598"/>
      <c r="K1199" s="598"/>
      <c r="L1199" s="598"/>
      <c r="Q1199" s="438"/>
      <c r="R1199" s="439" t="s">
        <v>220</v>
      </c>
      <c r="S1199" s="440"/>
      <c r="T1199" s="441"/>
      <c r="U1199" s="441"/>
      <c r="V1199" s="442"/>
      <c r="W1199" s="444">
        <f>$B$27</f>
        <v>2834.5625</v>
      </c>
      <c r="X1199" s="444">
        <f>$B$29</f>
        <v>154</v>
      </c>
      <c r="Y1199" s="444">
        <f>$B$30</f>
        <v>63.91</v>
      </c>
      <c r="Z1199" s="444">
        <f>$B$31</f>
        <v>410.84312499999999</v>
      </c>
      <c r="AA1199" s="692">
        <f>$B$32</f>
        <v>39.683875</v>
      </c>
      <c r="AB1199" s="695">
        <f>$B$39</f>
        <v>500</v>
      </c>
      <c r="AC1199" s="439"/>
    </row>
    <row r="1200" spans="5:29">
      <c r="E1200" s="598"/>
      <c r="F1200" s="699"/>
      <c r="G1200" s="700"/>
      <c r="H1200" s="598"/>
      <c r="I1200" s="598"/>
      <c r="J1200" s="598"/>
      <c r="K1200" s="598"/>
      <c r="L1200" s="598"/>
      <c r="Q1200" s="438"/>
      <c r="R1200" s="439" t="s">
        <v>222</v>
      </c>
      <c r="S1200" s="440"/>
      <c r="T1200" s="441"/>
      <c r="U1200" s="441"/>
      <c r="V1200" s="442"/>
      <c r="W1200" s="284">
        <f t="shared" ref="W1200:AB1200" si="640">W1198-W1199</f>
        <v>-588.79535714285703</v>
      </c>
      <c r="X1200" s="284">
        <f t="shared" si="640"/>
        <v>5.8607142857142946</v>
      </c>
      <c r="Y1200" s="284">
        <f t="shared" si="640"/>
        <v>8.909714285714287</v>
      </c>
      <c r="Z1200" s="284">
        <f t="shared" si="640"/>
        <v>-175.85883928571428</v>
      </c>
      <c r="AA1200" s="690">
        <f t="shared" si="640"/>
        <v>-12.407589285714284</v>
      </c>
      <c r="AB1200" s="689">
        <f t="shared" si="640"/>
        <v>-250</v>
      </c>
      <c r="AC1200" s="439"/>
    </row>
    <row r="1201" spans="5:29">
      <c r="E1201" s="598"/>
      <c r="F1201" s="699"/>
      <c r="G1201" s="700"/>
      <c r="H1201" s="598"/>
      <c r="I1201" s="598"/>
      <c r="J1201" s="598"/>
      <c r="K1201" s="598"/>
      <c r="L1201" s="598"/>
      <c r="Q1201" s="432">
        <v>46108</v>
      </c>
      <c r="R1201" s="433">
        <v>0.25</v>
      </c>
      <c r="S1201" s="434" t="s">
        <v>178</v>
      </c>
      <c r="T1201" s="434" t="s">
        <v>285</v>
      </c>
      <c r="U1201" s="435">
        <v>1</v>
      </c>
      <c r="V1201" s="436" t="str">
        <f t="shared" ref="V1201:V1212" si="641">IFERROR(VLOOKUP(T1201, $E$5:$L$818, 3, FALSE), "")</f>
        <v>bar</v>
      </c>
      <c r="W1201" s="437">
        <f t="shared" ref="W1201:W1212" si="642">IFERROR(VLOOKUP(T1201, $E$5:$L$818, 4, FALSE) * (U1201 / VLOOKUP(T1201, $E$5:$L$818, 2, FALSE)), "")</f>
        <v>240</v>
      </c>
      <c r="X1201" s="437">
        <f t="shared" ref="X1201:X1212" si="643">IFERROR(VLOOKUP(T1201, $E$5:$L$818, 5, FALSE) * (U1201 / VLOOKUP(T1201, $E$5:$L$818, 2, FALSE)), "")</f>
        <v>4</v>
      </c>
      <c r="Y1201" s="437">
        <f t="shared" ref="Y1201:Y1212" si="644">IFERROR(VLOOKUP(T1201, $E$5:$L$818, 6, FALSE) * (U1201 / VLOOKUP(T1201, $E$5:$L$818, 2, FALSE)), "")</f>
        <v>12</v>
      </c>
      <c r="Z1201" s="437">
        <f t="shared" ref="Z1201:Z1212" si="645">IFERROR(VLOOKUP(T1201, $E$5:$L$818, 7, FALSE) * (U1201 / VLOOKUP(T1201, $E$5:$L$818, 2, FALSE)), "")</f>
        <v>30</v>
      </c>
      <c r="AA1201" s="437">
        <f t="shared" ref="AA1201:AA1212" si="646">IFERROR(VLOOKUP(T1201, $E$5:$L$818, 8, FALSE) * (U1201 / VLOOKUP(T1201, $E$5:$L$818, 2, FALSE)), "")</f>
        <v>1.4</v>
      </c>
      <c r="AB1201" s="674">
        <f t="shared" ref="AB1201:AB1212" si="647">IFERROR(VLOOKUP(T1201, $E$5:$O$818, 9, FALSE) * (U1201 / VLOOKUP(T1201, $E$5:$O$818, 2, FALSE)), "")</f>
        <v>0</v>
      </c>
      <c r="AC1201" s="434"/>
    </row>
    <row r="1202" spans="5:29">
      <c r="E1202" s="598"/>
      <c r="F1202" s="699"/>
      <c r="G1202" s="700"/>
      <c r="H1202" s="598"/>
      <c r="I1202" s="598"/>
      <c r="J1202" s="598"/>
      <c r="K1202" s="598"/>
      <c r="L1202" s="598"/>
      <c r="Q1202" s="432">
        <v>46108</v>
      </c>
      <c r="R1202" s="433">
        <v>0.33333333333333331</v>
      </c>
      <c r="S1202" s="434" t="s">
        <v>178</v>
      </c>
      <c r="T1202" s="434" t="s">
        <v>295</v>
      </c>
      <c r="U1202" s="435">
        <v>1</v>
      </c>
      <c r="V1202" s="436" t="str">
        <f t="shared" si="641"/>
        <v>bottle</v>
      </c>
      <c r="W1202" s="437">
        <f t="shared" si="642"/>
        <v>200</v>
      </c>
      <c r="X1202" s="437">
        <f t="shared" si="643"/>
        <v>35</v>
      </c>
      <c r="Y1202" s="437">
        <f t="shared" si="644"/>
        <v>2.5</v>
      </c>
      <c r="Z1202" s="437">
        <f t="shared" si="645"/>
        <v>9</v>
      </c>
      <c r="AA1202" s="437">
        <f t="shared" si="646"/>
        <v>0</v>
      </c>
      <c r="AB1202" s="584">
        <f t="shared" si="647"/>
        <v>0</v>
      </c>
      <c r="AC1202" s="434"/>
    </row>
    <row r="1203" spans="5:29">
      <c r="E1203" s="598"/>
      <c r="F1203" s="699"/>
      <c r="G1203" s="700"/>
      <c r="H1203" s="598"/>
      <c r="I1203" s="598"/>
      <c r="J1203" s="598"/>
      <c r="K1203" s="598"/>
      <c r="L1203" s="598"/>
      <c r="Q1203" s="432">
        <v>46108</v>
      </c>
      <c r="R1203" s="433">
        <v>0.33333333333333331</v>
      </c>
      <c r="S1203" s="434" t="s">
        <v>178</v>
      </c>
      <c r="T1203" s="434" t="s">
        <v>181</v>
      </c>
      <c r="U1203" s="435">
        <v>2</v>
      </c>
      <c r="V1203" s="436" t="str">
        <f t="shared" si="641"/>
        <v>slice</v>
      </c>
      <c r="W1203" s="437">
        <f t="shared" si="642"/>
        <v>140</v>
      </c>
      <c r="X1203" s="437">
        <f t="shared" si="643"/>
        <v>5</v>
      </c>
      <c r="Y1203" s="437">
        <f t="shared" si="644"/>
        <v>2.5</v>
      </c>
      <c r="Z1203" s="437">
        <f t="shared" si="645"/>
        <v>24</v>
      </c>
      <c r="AA1203" s="437">
        <f t="shared" si="646"/>
        <v>2</v>
      </c>
      <c r="AB1203" s="584">
        <f t="shared" si="647"/>
        <v>0</v>
      </c>
      <c r="AC1203" s="434"/>
    </row>
    <row r="1204" spans="5:29">
      <c r="E1204" s="598"/>
      <c r="F1204" s="699"/>
      <c r="G1204" s="700"/>
      <c r="H1204" s="598"/>
      <c r="I1204" s="598"/>
      <c r="J1204" s="598"/>
      <c r="K1204" s="598"/>
      <c r="L1204" s="598"/>
      <c r="Q1204" s="432">
        <v>46108</v>
      </c>
      <c r="R1204" s="433">
        <v>0.33333333333333331</v>
      </c>
      <c r="S1204" s="434" t="s">
        <v>289</v>
      </c>
      <c r="T1204" s="434" t="s">
        <v>461</v>
      </c>
      <c r="U1204" s="435">
        <v>2</v>
      </c>
      <c r="V1204" s="436" t="str">
        <f t="shared" si="641"/>
        <v>chunks</v>
      </c>
      <c r="W1204" s="437">
        <f t="shared" si="642"/>
        <v>48.571428571428569</v>
      </c>
      <c r="X1204" s="437">
        <f t="shared" si="643"/>
        <v>0.8571428571428571</v>
      </c>
      <c r="Y1204" s="437">
        <f t="shared" si="644"/>
        <v>2.8571428571428568</v>
      </c>
      <c r="Z1204" s="437">
        <f t="shared" si="645"/>
        <v>5.1428571428571423</v>
      </c>
      <c r="AA1204" s="437">
        <f t="shared" si="646"/>
        <v>0.14285714285714285</v>
      </c>
      <c r="AB1204" s="584">
        <f t="shared" si="647"/>
        <v>0</v>
      </c>
      <c r="AC1204" s="434"/>
    </row>
    <row r="1205" spans="5:29">
      <c r="E1205" s="598"/>
      <c r="F1205" s="699"/>
      <c r="G1205" s="700"/>
      <c r="H1205" s="598"/>
      <c r="I1205" s="598"/>
      <c r="J1205" s="598"/>
      <c r="K1205" s="598"/>
      <c r="L1205" s="598"/>
      <c r="Q1205" s="432">
        <v>46108</v>
      </c>
      <c r="R1205" s="433">
        <v>0.33333333333333331</v>
      </c>
      <c r="S1205" s="434" t="s">
        <v>289</v>
      </c>
      <c r="T1205" s="434" t="s">
        <v>464</v>
      </c>
      <c r="U1205" s="435">
        <v>1</v>
      </c>
      <c r="V1205" s="436" t="str">
        <f t="shared" si="641"/>
        <v>lozenge</v>
      </c>
      <c r="W1205" s="437">
        <f t="shared" si="642"/>
        <v>10</v>
      </c>
      <c r="X1205" s="437">
        <f t="shared" si="643"/>
        <v>0</v>
      </c>
      <c r="Y1205" s="437">
        <f t="shared" si="644"/>
        <v>0</v>
      </c>
      <c r="Z1205" s="437">
        <f t="shared" si="645"/>
        <v>3</v>
      </c>
      <c r="AA1205" s="437">
        <f t="shared" si="646"/>
        <v>0</v>
      </c>
      <c r="AB1205" s="584">
        <f t="shared" si="647"/>
        <v>0</v>
      </c>
      <c r="AC1205" s="434"/>
    </row>
    <row r="1206" spans="5:29">
      <c r="E1206" s="598"/>
      <c r="F1206" s="699"/>
      <c r="G1206" s="700"/>
      <c r="H1206" s="598"/>
      <c r="I1206" s="598"/>
      <c r="J1206" s="598"/>
      <c r="K1206" s="598"/>
      <c r="L1206" s="598"/>
      <c r="Q1206" s="432">
        <v>46108</v>
      </c>
      <c r="R1206" s="433">
        <v>0.54166666666666663</v>
      </c>
      <c r="S1206" s="434" t="s">
        <v>185</v>
      </c>
      <c r="T1206" s="434" t="s">
        <v>176</v>
      </c>
      <c r="U1206" s="435">
        <v>260</v>
      </c>
      <c r="V1206" s="436" t="str">
        <f t="shared" si="641"/>
        <v>g</v>
      </c>
      <c r="W1206" s="437">
        <f t="shared" si="642"/>
        <v>429</v>
      </c>
      <c r="X1206" s="437">
        <f t="shared" si="643"/>
        <v>65</v>
      </c>
      <c r="Y1206" s="437">
        <f t="shared" si="644"/>
        <v>9.3600000000000012</v>
      </c>
      <c r="Z1206" s="437">
        <f t="shared" si="645"/>
        <v>0</v>
      </c>
      <c r="AA1206" s="437">
        <f t="shared" si="646"/>
        <v>0</v>
      </c>
      <c r="AB1206" s="584">
        <f t="shared" si="647"/>
        <v>0</v>
      </c>
      <c r="AC1206" s="434"/>
    </row>
    <row r="1207" spans="5:29">
      <c r="E1207" s="598"/>
      <c r="F1207" s="699"/>
      <c r="G1207" s="700"/>
      <c r="H1207" s="598"/>
      <c r="I1207" s="598"/>
      <c r="J1207" s="598"/>
      <c r="K1207" s="598"/>
      <c r="L1207" s="598"/>
      <c r="Q1207" s="432">
        <v>46108</v>
      </c>
      <c r="R1207" s="433">
        <v>0.54166666666666663</v>
      </c>
      <c r="S1207" s="434" t="s">
        <v>185</v>
      </c>
      <c r="T1207" s="434" t="s">
        <v>754</v>
      </c>
      <c r="U1207" s="435">
        <v>200</v>
      </c>
      <c r="V1207" s="436" t="str">
        <f t="shared" si="641"/>
        <v>g</v>
      </c>
      <c r="W1207" s="437">
        <f t="shared" si="642"/>
        <v>220</v>
      </c>
      <c r="X1207" s="437">
        <f t="shared" si="643"/>
        <v>5.333333333333333</v>
      </c>
      <c r="Y1207" s="437">
        <f t="shared" si="644"/>
        <v>1.3333333333333333</v>
      </c>
      <c r="Z1207" s="437">
        <f t="shared" si="645"/>
        <v>45.333333333333329</v>
      </c>
      <c r="AA1207" s="437">
        <f t="shared" si="646"/>
        <v>2.6666666666666665</v>
      </c>
      <c r="AB1207" s="584">
        <f t="shared" si="647"/>
        <v>0</v>
      </c>
      <c r="AC1207" s="434"/>
    </row>
    <row r="1208" spans="5:29">
      <c r="E1208" s="598"/>
      <c r="F1208" s="699"/>
      <c r="G1208" s="700"/>
      <c r="H1208" s="598"/>
      <c r="I1208" s="598"/>
      <c r="J1208" s="598"/>
      <c r="K1208" s="598"/>
      <c r="L1208" s="598"/>
      <c r="Q1208" s="432">
        <v>46108</v>
      </c>
      <c r="R1208" s="433">
        <v>0.79166666666666663</v>
      </c>
      <c r="S1208" s="434" t="s">
        <v>289</v>
      </c>
      <c r="T1208" s="434" t="s">
        <v>875</v>
      </c>
      <c r="U1208" s="435">
        <v>1</v>
      </c>
      <c r="V1208" s="436" t="str">
        <f t="shared" si="641"/>
        <v>bag</v>
      </c>
      <c r="W1208" s="437">
        <f t="shared" si="642"/>
        <v>80</v>
      </c>
      <c r="X1208" s="437">
        <f t="shared" si="643"/>
        <v>1</v>
      </c>
      <c r="Y1208" s="437">
        <f t="shared" si="644"/>
        <v>4</v>
      </c>
      <c r="Z1208" s="437">
        <f t="shared" si="645"/>
        <v>11</v>
      </c>
      <c r="AA1208" s="437">
        <f t="shared" si="646"/>
        <v>0</v>
      </c>
      <c r="AB1208" s="584">
        <f t="shared" si="647"/>
        <v>5</v>
      </c>
      <c r="AC1208" s="434"/>
    </row>
    <row r="1209" spans="5:29">
      <c r="E1209" s="598"/>
      <c r="F1209" s="699"/>
      <c r="G1209" s="700"/>
      <c r="H1209" s="598"/>
      <c r="I1209" s="598"/>
      <c r="J1209" s="598"/>
      <c r="K1209" s="598"/>
      <c r="L1209" s="598"/>
      <c r="Q1209" s="432">
        <v>46108</v>
      </c>
      <c r="R1209" s="433">
        <v>0.875</v>
      </c>
      <c r="S1209" s="434" t="s">
        <v>289</v>
      </c>
      <c r="T1209" s="434" t="s">
        <v>876</v>
      </c>
      <c r="U1209" s="435">
        <v>1</v>
      </c>
      <c r="V1209" s="436" t="str">
        <f t="shared" si="641"/>
        <v>package</v>
      </c>
      <c r="W1209" s="437">
        <f t="shared" si="642"/>
        <v>140</v>
      </c>
      <c r="X1209" s="437">
        <f t="shared" si="643"/>
        <v>0</v>
      </c>
      <c r="Y1209" s="437">
        <f t="shared" si="644"/>
        <v>0</v>
      </c>
      <c r="Z1209" s="437">
        <f t="shared" si="645"/>
        <v>33</v>
      </c>
      <c r="AA1209" s="437">
        <f t="shared" si="646"/>
        <v>2</v>
      </c>
      <c r="AB1209" s="584">
        <f t="shared" si="647"/>
        <v>0</v>
      </c>
      <c r="AC1209" s="434"/>
    </row>
    <row r="1210" spans="5:29">
      <c r="E1210" s="598"/>
      <c r="F1210" s="699"/>
      <c r="G1210" s="700"/>
      <c r="H1210" s="598"/>
      <c r="I1210" s="598"/>
      <c r="J1210" s="598"/>
      <c r="K1210" s="598"/>
      <c r="L1210" s="598"/>
      <c r="Q1210" s="432">
        <v>46108</v>
      </c>
      <c r="R1210" s="433">
        <v>0.875</v>
      </c>
      <c r="S1210" s="434" t="s">
        <v>289</v>
      </c>
      <c r="T1210" s="434" t="s">
        <v>870</v>
      </c>
      <c r="U1210" s="435">
        <v>1</v>
      </c>
      <c r="V1210" s="436" t="str">
        <f t="shared" si="641"/>
        <v>bag</v>
      </c>
      <c r="W1210" s="437">
        <f t="shared" si="642"/>
        <v>70</v>
      </c>
      <c r="X1210" s="437">
        <f t="shared" si="643"/>
        <v>0</v>
      </c>
      <c r="Y1210" s="437">
        <f t="shared" si="644"/>
        <v>0</v>
      </c>
      <c r="Z1210" s="437">
        <f t="shared" si="645"/>
        <v>17</v>
      </c>
      <c r="AA1210" s="437">
        <f t="shared" si="646"/>
        <v>0</v>
      </c>
      <c r="AB1210" s="584">
        <f t="shared" si="647"/>
        <v>0</v>
      </c>
      <c r="AC1210" s="434"/>
    </row>
    <row r="1211" spans="5:29">
      <c r="E1211" s="598"/>
      <c r="F1211" s="699"/>
      <c r="G1211" s="700"/>
      <c r="H1211" s="598"/>
      <c r="I1211" s="598"/>
      <c r="J1211" s="598"/>
      <c r="K1211" s="598"/>
      <c r="L1211" s="598"/>
      <c r="Q1211" s="432">
        <v>46108</v>
      </c>
      <c r="R1211" s="433">
        <v>0.91666666666666663</v>
      </c>
      <c r="S1211" s="434" t="s">
        <v>289</v>
      </c>
      <c r="T1211" s="434" t="s">
        <v>869</v>
      </c>
      <c r="U1211" s="435">
        <v>1</v>
      </c>
      <c r="V1211" s="436" t="str">
        <f t="shared" si="641"/>
        <v>bag</v>
      </c>
      <c r="W1211" s="437">
        <f t="shared" si="642"/>
        <v>170</v>
      </c>
      <c r="X1211" s="437">
        <f t="shared" si="643"/>
        <v>1</v>
      </c>
      <c r="Y1211" s="437">
        <f t="shared" si="644"/>
        <v>10</v>
      </c>
      <c r="Z1211" s="437">
        <f t="shared" si="645"/>
        <v>18</v>
      </c>
      <c r="AA1211" s="437">
        <f t="shared" si="646"/>
        <v>0</v>
      </c>
      <c r="AB1211" s="584">
        <f t="shared" si="647"/>
        <v>0</v>
      </c>
      <c r="AC1211" s="434"/>
    </row>
    <row r="1212" spans="5:29">
      <c r="E1212" s="598"/>
      <c r="F1212" s="699"/>
      <c r="G1212" s="700"/>
      <c r="H1212" s="598"/>
      <c r="I1212" s="598"/>
      <c r="J1212" s="598"/>
      <c r="K1212" s="598"/>
      <c r="L1212" s="598"/>
      <c r="Q1212" s="432">
        <v>46108</v>
      </c>
      <c r="R1212" s="433">
        <v>0.91666666666666663</v>
      </c>
      <c r="S1212" s="434" t="s">
        <v>199</v>
      </c>
      <c r="T1212" s="434" t="s">
        <v>868</v>
      </c>
      <c r="U1212" s="435">
        <v>1</v>
      </c>
      <c r="V1212" s="436" t="str">
        <f t="shared" si="641"/>
        <v>bowl</v>
      </c>
      <c r="W1212" s="437">
        <f t="shared" si="642"/>
        <v>120</v>
      </c>
      <c r="X1212" s="437">
        <f t="shared" si="643"/>
        <v>8</v>
      </c>
      <c r="Y1212" s="437">
        <f t="shared" si="644"/>
        <v>3</v>
      </c>
      <c r="Z1212" s="437">
        <f t="shared" si="645"/>
        <v>16</v>
      </c>
      <c r="AA1212" s="437">
        <f t="shared" si="646"/>
        <v>3</v>
      </c>
      <c r="AB1212" s="684">
        <f t="shared" si="647"/>
        <v>0</v>
      </c>
      <c r="AC1212" s="434"/>
    </row>
    <row r="1213" spans="5:29">
      <c r="E1213" s="598"/>
      <c r="F1213" s="699"/>
      <c r="G1213" s="700"/>
      <c r="H1213" s="598"/>
      <c r="I1213" s="598"/>
      <c r="J1213" s="598"/>
      <c r="K1213" s="598"/>
      <c r="L1213" s="598"/>
      <c r="Q1213" s="438"/>
      <c r="R1213" s="439" t="s">
        <v>217</v>
      </c>
      <c r="S1213" s="440"/>
      <c r="T1213" s="441"/>
      <c r="U1213" s="441"/>
      <c r="V1213" s="442"/>
      <c r="W1213" s="443">
        <f t="shared" ref="W1213:AB1213" si="648">SUM(W1201:W1212)</f>
        <v>1867.5714285714284</v>
      </c>
      <c r="X1213" s="443">
        <f t="shared" si="648"/>
        <v>125.19047619047619</v>
      </c>
      <c r="Y1213" s="443">
        <f t="shared" si="648"/>
        <v>47.550476190476189</v>
      </c>
      <c r="Z1213" s="443">
        <f t="shared" si="648"/>
        <v>211.47619047619048</v>
      </c>
      <c r="AA1213" s="685">
        <f t="shared" si="648"/>
        <v>11.209523809523809</v>
      </c>
      <c r="AB1213" s="691">
        <f t="shared" si="648"/>
        <v>5</v>
      </c>
      <c r="AC1213" s="439"/>
    </row>
    <row r="1214" spans="5:29">
      <c r="E1214" s="598"/>
      <c r="F1214" s="699"/>
      <c r="G1214" s="700"/>
      <c r="H1214" s="598"/>
      <c r="I1214" s="598"/>
      <c r="J1214" s="598"/>
      <c r="K1214" s="598"/>
      <c r="L1214" s="598"/>
      <c r="Q1214" s="438"/>
      <c r="R1214" s="439" t="s">
        <v>220</v>
      </c>
      <c r="S1214" s="440"/>
      <c r="T1214" s="441"/>
      <c r="U1214" s="441"/>
      <c r="V1214" s="442"/>
      <c r="W1214" s="444">
        <f>$B$27</f>
        <v>2834.5625</v>
      </c>
      <c r="X1214" s="444">
        <f>$B$29</f>
        <v>154</v>
      </c>
      <c r="Y1214" s="444">
        <f>$B$30</f>
        <v>63.91</v>
      </c>
      <c r="Z1214" s="444">
        <f>$B$31</f>
        <v>410.84312499999999</v>
      </c>
      <c r="AA1214" s="692">
        <f>$B$32</f>
        <v>39.683875</v>
      </c>
      <c r="AB1214" s="695">
        <f>$B$39</f>
        <v>500</v>
      </c>
      <c r="AC1214" s="439"/>
    </row>
    <row r="1215" spans="5:29">
      <c r="E1215" s="598"/>
      <c r="F1215" s="699"/>
      <c r="G1215" s="700"/>
      <c r="H1215" s="598"/>
      <c r="I1215" s="598"/>
      <c r="J1215" s="598"/>
      <c r="K1215" s="598"/>
      <c r="L1215" s="598"/>
      <c r="Q1215" s="438"/>
      <c r="R1215" s="439" t="s">
        <v>222</v>
      </c>
      <c r="S1215" s="440"/>
      <c r="T1215" s="441"/>
      <c r="U1215" s="441"/>
      <c r="V1215" s="442"/>
      <c r="W1215" s="284">
        <f t="shared" ref="W1215:AB1215" si="649">W1213-W1214</f>
        <v>-966.99107142857156</v>
      </c>
      <c r="X1215" s="284">
        <f t="shared" si="649"/>
        <v>-28.80952380952381</v>
      </c>
      <c r="Y1215" s="284">
        <f t="shared" si="649"/>
        <v>-16.359523809523807</v>
      </c>
      <c r="Z1215" s="284">
        <f t="shared" si="649"/>
        <v>-199.3669345238095</v>
      </c>
      <c r="AA1215" s="690">
        <f t="shared" si="649"/>
        <v>-28.474351190476192</v>
      </c>
      <c r="AB1215" s="689">
        <f t="shared" si="649"/>
        <v>-495</v>
      </c>
      <c r="AC1215" s="439"/>
    </row>
    <row r="1216" spans="5:29">
      <c r="E1216" s="598"/>
      <c r="F1216" s="699"/>
      <c r="G1216" s="700"/>
      <c r="H1216" s="598"/>
      <c r="I1216" s="598"/>
      <c r="J1216" s="598"/>
      <c r="K1216" s="598"/>
      <c r="L1216" s="598"/>
      <c r="Q1216" s="541">
        <v>46109</v>
      </c>
      <c r="R1216" s="542">
        <v>0.33333333333333331</v>
      </c>
      <c r="S1216" s="543" t="s">
        <v>178</v>
      </c>
      <c r="T1216" s="543" t="s">
        <v>291</v>
      </c>
      <c r="U1216" s="544">
        <v>1</v>
      </c>
      <c r="V1216" s="545" t="str">
        <f t="shared" ref="V1216:V1234" si="650">IFERROR(VLOOKUP(T1216, $E$5:$L$818, 3, FALSE), "")</f>
        <v>piece</v>
      </c>
      <c r="W1216" s="546">
        <f t="shared" ref="W1216:W1234" si="651">IFERROR(VLOOKUP(T1216, $E$5:$L$818, 4, FALSE) * (U1216 / VLOOKUP(T1216, $E$5:$L$818, 2, FALSE)), "")</f>
        <v>340</v>
      </c>
      <c r="X1216" s="546">
        <f t="shared" ref="X1216:X1234" si="652">IFERROR(VLOOKUP(T1216, $E$5:$L$818, 5, FALSE) * (U1216 / VLOOKUP(T1216, $E$5:$L$818, 2, FALSE)), "")</f>
        <v>7</v>
      </c>
      <c r="Y1216" s="546">
        <f t="shared" ref="Y1216:Y1234" si="653">IFERROR(VLOOKUP(T1216, $E$5:$L$818, 6, FALSE) * (U1216 / VLOOKUP(T1216, $E$5:$L$818, 2, FALSE)), "")</f>
        <v>4.9000000000000004</v>
      </c>
      <c r="Z1216" s="546">
        <f t="shared" ref="Z1216:Z1234" si="654">IFERROR(VLOOKUP(T1216, $E$5:$L$818, 7, FALSE) * (U1216 / VLOOKUP(T1216, $E$5:$L$818, 2, FALSE)), "")</f>
        <v>64</v>
      </c>
      <c r="AA1216" s="546">
        <f t="shared" ref="AA1216:AA1234" si="655">IFERROR(VLOOKUP(T1216, $E$5:$L$818, 8, FALSE) * (U1216 / VLOOKUP(T1216, $E$5:$L$818, 2, FALSE)), "")</f>
        <v>0</v>
      </c>
      <c r="AB1216" s="674">
        <f t="shared" ref="AB1216:AB1234" si="656">IFERROR(VLOOKUP(T1216, $E$5:$O$818, 9, FALSE) * (U1216 / VLOOKUP(T1216, $E$5:$O$818, 2, FALSE)), "")</f>
        <v>0</v>
      </c>
      <c r="AC1216" s="543"/>
    </row>
    <row r="1217" spans="5:29">
      <c r="E1217" s="598"/>
      <c r="F1217" s="699"/>
      <c r="G1217" s="700"/>
      <c r="H1217" s="598"/>
      <c r="I1217" s="598"/>
      <c r="J1217" s="598"/>
      <c r="K1217" s="598"/>
      <c r="L1217" s="598"/>
      <c r="Q1217" s="541">
        <v>46109</v>
      </c>
      <c r="R1217" s="542">
        <v>0.33333333333333331</v>
      </c>
      <c r="S1217" s="543" t="s">
        <v>289</v>
      </c>
      <c r="T1217" s="543" t="s">
        <v>855</v>
      </c>
      <c r="U1217" s="544">
        <v>75</v>
      </c>
      <c r="V1217" s="545" t="str">
        <f t="shared" si="650"/>
        <v>g</v>
      </c>
      <c r="W1217" s="546">
        <f t="shared" si="651"/>
        <v>45</v>
      </c>
      <c r="X1217" s="546">
        <f t="shared" si="652"/>
        <v>0.75</v>
      </c>
      <c r="Y1217" s="546">
        <f t="shared" si="653"/>
        <v>0</v>
      </c>
      <c r="Z1217" s="546">
        <f t="shared" si="654"/>
        <v>11.25</v>
      </c>
      <c r="AA1217" s="546">
        <f t="shared" si="655"/>
        <v>1.5</v>
      </c>
      <c r="AB1217" s="584">
        <f t="shared" si="656"/>
        <v>0</v>
      </c>
      <c r="AC1217" s="543"/>
    </row>
    <row r="1218" spans="5:29">
      <c r="E1218" s="598"/>
      <c r="F1218" s="699"/>
      <c r="G1218" s="700"/>
      <c r="H1218" s="598"/>
      <c r="I1218" s="598"/>
      <c r="J1218" s="598"/>
      <c r="K1218" s="598"/>
      <c r="L1218" s="598"/>
      <c r="Q1218" s="541">
        <v>46109</v>
      </c>
      <c r="R1218" s="542">
        <v>0.33333333333333331</v>
      </c>
      <c r="S1218" s="543" t="s">
        <v>178</v>
      </c>
      <c r="T1218" s="543" t="s">
        <v>877</v>
      </c>
      <c r="U1218" s="544">
        <v>1</v>
      </c>
      <c r="V1218" s="545" t="str">
        <f t="shared" si="650"/>
        <v>bottle</v>
      </c>
      <c r="W1218" s="546">
        <f t="shared" si="651"/>
        <v>230</v>
      </c>
      <c r="X1218" s="546">
        <f t="shared" si="652"/>
        <v>40</v>
      </c>
      <c r="Y1218" s="546">
        <f t="shared" si="653"/>
        <v>2.5</v>
      </c>
      <c r="Z1218" s="546">
        <f t="shared" si="654"/>
        <v>13</v>
      </c>
      <c r="AA1218" s="546">
        <f t="shared" si="655"/>
        <v>0</v>
      </c>
      <c r="AB1218" s="584">
        <f t="shared" si="656"/>
        <v>0</v>
      </c>
      <c r="AC1218" s="543"/>
    </row>
    <row r="1219" spans="5:29">
      <c r="E1219" s="598"/>
      <c r="F1219" s="699"/>
      <c r="G1219" s="700"/>
      <c r="H1219" s="598"/>
      <c r="I1219" s="598"/>
      <c r="J1219" s="598"/>
      <c r="K1219" s="598"/>
      <c r="L1219" s="598"/>
      <c r="Q1219" s="541">
        <v>46109</v>
      </c>
      <c r="R1219" s="542">
        <v>0.375</v>
      </c>
      <c r="S1219" s="543" t="s">
        <v>289</v>
      </c>
      <c r="T1219" s="543" t="s">
        <v>873</v>
      </c>
      <c r="U1219" s="544">
        <v>1</v>
      </c>
      <c r="V1219" s="545" t="str">
        <f t="shared" si="650"/>
        <v>bag</v>
      </c>
      <c r="W1219" s="546">
        <f t="shared" si="651"/>
        <v>70</v>
      </c>
      <c r="X1219" s="546">
        <f t="shared" si="652"/>
        <v>1</v>
      </c>
      <c r="Y1219" s="546">
        <f t="shared" si="653"/>
        <v>3</v>
      </c>
      <c r="Z1219" s="546">
        <f t="shared" si="654"/>
        <v>10</v>
      </c>
      <c r="AA1219" s="546">
        <f t="shared" si="655"/>
        <v>0</v>
      </c>
      <c r="AB1219" s="584">
        <f t="shared" si="656"/>
        <v>0</v>
      </c>
      <c r="AC1219" s="543"/>
    </row>
    <row r="1220" spans="5:29">
      <c r="E1220" s="598"/>
      <c r="F1220" s="699"/>
      <c r="G1220" s="700"/>
      <c r="H1220" s="598"/>
      <c r="I1220" s="598"/>
      <c r="J1220" s="598"/>
      <c r="K1220" s="598"/>
      <c r="L1220" s="598"/>
      <c r="Q1220" s="541">
        <v>46109</v>
      </c>
      <c r="R1220" s="542">
        <v>0.41666666666666669</v>
      </c>
      <c r="S1220" s="543" t="s">
        <v>289</v>
      </c>
      <c r="T1220" s="543" t="s">
        <v>874</v>
      </c>
      <c r="U1220" s="544">
        <v>1</v>
      </c>
      <c r="V1220" s="545" t="str">
        <f t="shared" si="650"/>
        <v>bag</v>
      </c>
      <c r="W1220" s="546">
        <f t="shared" si="651"/>
        <v>80</v>
      </c>
      <c r="X1220" s="546">
        <f t="shared" si="652"/>
        <v>1</v>
      </c>
      <c r="Y1220" s="546">
        <f t="shared" si="653"/>
        <v>4</v>
      </c>
      <c r="Z1220" s="546">
        <f t="shared" si="654"/>
        <v>10</v>
      </c>
      <c r="AA1220" s="546">
        <f t="shared" si="655"/>
        <v>0</v>
      </c>
      <c r="AB1220" s="584">
        <f t="shared" si="656"/>
        <v>10</v>
      </c>
      <c r="AC1220" s="543"/>
    </row>
    <row r="1221" spans="5:29">
      <c r="E1221" s="598"/>
      <c r="F1221" s="699"/>
      <c r="G1221" s="700"/>
      <c r="H1221" s="598"/>
      <c r="I1221" s="598"/>
      <c r="J1221" s="598"/>
      <c r="K1221" s="598"/>
      <c r="L1221" s="598"/>
      <c r="Q1221" s="541">
        <v>46109</v>
      </c>
      <c r="R1221" s="542">
        <v>0.5</v>
      </c>
      <c r="S1221" s="543" t="s">
        <v>289</v>
      </c>
      <c r="T1221" s="543" t="s">
        <v>478</v>
      </c>
      <c r="U1221" s="544">
        <v>1</v>
      </c>
      <c r="V1221" s="545" t="str">
        <f t="shared" si="650"/>
        <v>cone</v>
      </c>
      <c r="W1221" s="546">
        <f t="shared" si="651"/>
        <v>480</v>
      </c>
      <c r="X1221" s="546">
        <f t="shared" si="652"/>
        <v>8</v>
      </c>
      <c r="Y1221" s="546">
        <f t="shared" si="653"/>
        <v>22</v>
      </c>
      <c r="Z1221" s="546">
        <f t="shared" si="654"/>
        <v>62</v>
      </c>
      <c r="AA1221" s="546">
        <f t="shared" si="655"/>
        <v>3</v>
      </c>
      <c r="AB1221" s="584">
        <f t="shared" si="656"/>
        <v>0</v>
      </c>
      <c r="AC1221" s="543"/>
    </row>
    <row r="1222" spans="5:29">
      <c r="E1222" s="598"/>
      <c r="F1222" s="699"/>
      <c r="G1222" s="700"/>
      <c r="H1222" s="598"/>
      <c r="I1222" s="598"/>
      <c r="J1222" s="598"/>
      <c r="K1222" s="598"/>
      <c r="L1222" s="598"/>
      <c r="Q1222" s="541">
        <v>46109</v>
      </c>
      <c r="R1222" s="542">
        <v>0.58333333333333337</v>
      </c>
      <c r="S1222" s="543" t="s">
        <v>289</v>
      </c>
      <c r="T1222" s="543" t="s">
        <v>866</v>
      </c>
      <c r="U1222" s="544">
        <v>1</v>
      </c>
      <c r="V1222" s="545" t="str">
        <f t="shared" si="650"/>
        <v>plate</v>
      </c>
      <c r="W1222" s="546">
        <f t="shared" si="651"/>
        <v>380</v>
      </c>
      <c r="X1222" s="546">
        <f t="shared" si="652"/>
        <v>18</v>
      </c>
      <c r="Y1222" s="546">
        <f t="shared" si="653"/>
        <v>12</v>
      </c>
      <c r="Z1222" s="546">
        <f t="shared" si="654"/>
        <v>52</v>
      </c>
      <c r="AA1222" s="546">
        <f t="shared" si="655"/>
        <v>3</v>
      </c>
      <c r="AB1222" s="584">
        <f t="shared" si="656"/>
        <v>0</v>
      </c>
      <c r="AC1222" s="543"/>
    </row>
    <row r="1223" spans="5:29">
      <c r="E1223" s="598"/>
      <c r="F1223" s="699"/>
      <c r="G1223" s="700"/>
      <c r="H1223" s="598"/>
      <c r="I1223" s="598"/>
      <c r="J1223" s="598"/>
      <c r="K1223" s="598"/>
      <c r="L1223" s="598"/>
      <c r="Q1223" s="541">
        <v>46109</v>
      </c>
      <c r="R1223" s="542">
        <v>0.58333333333333337</v>
      </c>
      <c r="S1223" s="543" t="s">
        <v>289</v>
      </c>
      <c r="T1223" s="543" t="s">
        <v>878</v>
      </c>
      <c r="U1223" s="544">
        <v>1</v>
      </c>
      <c r="V1223" s="545" t="str">
        <f t="shared" si="650"/>
        <v>bottle</v>
      </c>
      <c r="W1223" s="546">
        <f t="shared" si="651"/>
        <v>60</v>
      </c>
      <c r="X1223" s="546">
        <f t="shared" si="652"/>
        <v>0</v>
      </c>
      <c r="Y1223" s="546">
        <f t="shared" si="653"/>
        <v>0</v>
      </c>
      <c r="Z1223" s="546">
        <f t="shared" si="654"/>
        <v>16</v>
      </c>
      <c r="AA1223" s="546">
        <f t="shared" si="655"/>
        <v>0</v>
      </c>
      <c r="AB1223" s="584">
        <f t="shared" si="656"/>
        <v>0</v>
      </c>
      <c r="AC1223" s="543"/>
    </row>
    <row r="1224" spans="5:29">
      <c r="E1224" s="598"/>
      <c r="F1224" s="699"/>
      <c r="G1224" s="700"/>
      <c r="H1224" s="598"/>
      <c r="I1224" s="598"/>
      <c r="J1224" s="598"/>
      <c r="K1224" s="598"/>
      <c r="L1224" s="598"/>
      <c r="Q1224" s="541">
        <v>46109</v>
      </c>
      <c r="R1224" s="542">
        <v>0.79166666666666663</v>
      </c>
      <c r="S1224" s="543" t="s">
        <v>199</v>
      </c>
      <c r="T1224" s="543" t="s">
        <v>868</v>
      </c>
      <c r="U1224" s="544">
        <v>1</v>
      </c>
      <c r="V1224" s="545" t="str">
        <f t="shared" si="650"/>
        <v>bowl</v>
      </c>
      <c r="W1224" s="546">
        <f t="shared" si="651"/>
        <v>120</v>
      </c>
      <c r="X1224" s="546">
        <f t="shared" si="652"/>
        <v>8</v>
      </c>
      <c r="Y1224" s="546">
        <f t="shared" si="653"/>
        <v>3</v>
      </c>
      <c r="Z1224" s="546">
        <f t="shared" si="654"/>
        <v>16</v>
      </c>
      <c r="AA1224" s="546">
        <f t="shared" si="655"/>
        <v>3</v>
      </c>
      <c r="AB1224" s="584">
        <f t="shared" si="656"/>
        <v>0</v>
      </c>
      <c r="AC1224" s="543"/>
    </row>
    <row r="1225" spans="5:29">
      <c r="E1225" s="598"/>
      <c r="F1225" s="699"/>
      <c r="G1225" s="700"/>
      <c r="H1225" s="598"/>
      <c r="I1225" s="598"/>
      <c r="J1225" s="598"/>
      <c r="K1225" s="598"/>
      <c r="L1225" s="598"/>
      <c r="Q1225" s="541">
        <v>46109</v>
      </c>
      <c r="R1225" s="542">
        <v>0.79166666666666663</v>
      </c>
      <c r="S1225" s="543" t="s">
        <v>289</v>
      </c>
      <c r="T1225" s="543" t="s">
        <v>461</v>
      </c>
      <c r="U1225" s="544">
        <v>5</v>
      </c>
      <c r="V1225" s="545" t="str">
        <f t="shared" si="650"/>
        <v>chunks</v>
      </c>
      <c r="W1225" s="546">
        <f t="shared" si="651"/>
        <v>121.42857142857143</v>
      </c>
      <c r="X1225" s="546">
        <f t="shared" si="652"/>
        <v>2.1428571428571428</v>
      </c>
      <c r="Y1225" s="546">
        <f t="shared" si="653"/>
        <v>7.1428571428571432</v>
      </c>
      <c r="Z1225" s="546">
        <f t="shared" si="654"/>
        <v>12.857142857142858</v>
      </c>
      <c r="AA1225" s="546">
        <f t="shared" si="655"/>
        <v>0.35714285714285715</v>
      </c>
      <c r="AB1225" s="584">
        <f t="shared" si="656"/>
        <v>0</v>
      </c>
      <c r="AC1225" s="543"/>
    </row>
    <row r="1226" spans="5:29">
      <c r="E1226" s="598"/>
      <c r="F1226" s="699"/>
      <c r="G1226" s="700"/>
      <c r="H1226" s="598"/>
      <c r="I1226" s="598"/>
      <c r="J1226" s="598"/>
      <c r="K1226" s="598"/>
      <c r="L1226" s="598"/>
      <c r="Q1226" s="541">
        <v>46109</v>
      </c>
      <c r="R1226" s="542">
        <v>0.79166666666666663</v>
      </c>
      <c r="S1226" s="543" t="s">
        <v>289</v>
      </c>
      <c r="T1226" s="543" t="s">
        <v>181</v>
      </c>
      <c r="U1226" s="544">
        <v>4</v>
      </c>
      <c r="V1226" s="545" t="str">
        <f t="shared" si="650"/>
        <v>slice</v>
      </c>
      <c r="W1226" s="546">
        <f t="shared" si="651"/>
        <v>280</v>
      </c>
      <c r="X1226" s="546">
        <f t="shared" si="652"/>
        <v>10</v>
      </c>
      <c r="Y1226" s="546">
        <f t="shared" si="653"/>
        <v>5</v>
      </c>
      <c r="Z1226" s="546">
        <f t="shared" si="654"/>
        <v>48</v>
      </c>
      <c r="AA1226" s="546">
        <f t="shared" si="655"/>
        <v>4</v>
      </c>
      <c r="AB1226" s="584">
        <f t="shared" si="656"/>
        <v>0</v>
      </c>
      <c r="AC1226" s="543"/>
    </row>
    <row r="1227" spans="5:29">
      <c r="E1227" s="598"/>
      <c r="F1227" s="699"/>
      <c r="G1227" s="700"/>
      <c r="H1227" s="598"/>
      <c r="I1227" s="598"/>
      <c r="J1227" s="598"/>
      <c r="K1227" s="598"/>
      <c r="L1227" s="598"/>
      <c r="Q1227" s="541">
        <v>46109</v>
      </c>
      <c r="R1227" s="542">
        <v>0.79166666666666663</v>
      </c>
      <c r="S1227" s="543" t="s">
        <v>289</v>
      </c>
      <c r="T1227" s="543" t="s">
        <v>423</v>
      </c>
      <c r="U1227" s="544">
        <v>4</v>
      </c>
      <c r="V1227" s="545" t="str">
        <f t="shared" si="650"/>
        <v>pieces</v>
      </c>
      <c r="W1227" s="546">
        <f t="shared" si="651"/>
        <v>30</v>
      </c>
      <c r="X1227" s="546">
        <f t="shared" si="652"/>
        <v>0</v>
      </c>
      <c r="Y1227" s="546">
        <f t="shared" si="653"/>
        <v>0</v>
      </c>
      <c r="Z1227" s="546">
        <f t="shared" si="654"/>
        <v>6</v>
      </c>
      <c r="AA1227" s="546">
        <f t="shared" si="655"/>
        <v>0</v>
      </c>
      <c r="AB1227" s="584">
        <f t="shared" si="656"/>
        <v>0</v>
      </c>
      <c r="AC1227" s="543"/>
    </row>
    <row r="1228" spans="5:29">
      <c r="E1228" s="598"/>
      <c r="F1228" s="699"/>
      <c r="G1228" s="700"/>
      <c r="H1228" s="598"/>
      <c r="I1228" s="598"/>
      <c r="J1228" s="598"/>
      <c r="K1228" s="598"/>
      <c r="L1228" s="598"/>
      <c r="Q1228" s="541">
        <v>46109</v>
      </c>
      <c r="R1228" s="542">
        <v>0.79166666666666663</v>
      </c>
      <c r="S1228" s="543" t="s">
        <v>289</v>
      </c>
      <c r="T1228" s="543" t="s">
        <v>468</v>
      </c>
      <c r="U1228" s="544">
        <v>1</v>
      </c>
      <c r="V1228" s="545" t="str">
        <f t="shared" si="650"/>
        <v>apple</v>
      </c>
      <c r="W1228" s="546">
        <f t="shared" si="651"/>
        <v>95</v>
      </c>
      <c r="X1228" s="546">
        <f t="shared" si="652"/>
        <v>0.5</v>
      </c>
      <c r="Y1228" s="546">
        <f t="shared" si="653"/>
        <v>0.3</v>
      </c>
      <c r="Z1228" s="546">
        <f t="shared" si="654"/>
        <v>25</v>
      </c>
      <c r="AA1228" s="546">
        <f t="shared" si="655"/>
        <v>4</v>
      </c>
      <c r="AB1228" s="584">
        <f t="shared" si="656"/>
        <v>0</v>
      </c>
      <c r="AC1228" s="543"/>
    </row>
    <row r="1229" spans="5:29">
      <c r="E1229" s="598"/>
      <c r="F1229" s="699"/>
      <c r="G1229" s="700"/>
      <c r="H1229" s="598"/>
      <c r="I1229" s="598"/>
      <c r="J1229" s="598"/>
      <c r="K1229" s="598"/>
      <c r="L1229" s="598"/>
      <c r="Q1229" s="541">
        <v>46109</v>
      </c>
      <c r="R1229" s="542">
        <v>0.79166666666666663</v>
      </c>
      <c r="S1229" s="543" t="s">
        <v>289</v>
      </c>
      <c r="T1229" s="543" t="s">
        <v>847</v>
      </c>
      <c r="U1229" s="544">
        <v>2</v>
      </c>
      <c r="V1229" s="545" t="str">
        <f t="shared" si="650"/>
        <v>can</v>
      </c>
      <c r="W1229" s="546">
        <f t="shared" si="651"/>
        <v>0</v>
      </c>
      <c r="X1229" s="546">
        <f t="shared" si="652"/>
        <v>0</v>
      </c>
      <c r="Y1229" s="546">
        <f t="shared" si="653"/>
        <v>0</v>
      </c>
      <c r="Z1229" s="546">
        <f t="shared" si="654"/>
        <v>0</v>
      </c>
      <c r="AA1229" s="546">
        <f t="shared" si="655"/>
        <v>0</v>
      </c>
      <c r="AB1229" s="584">
        <f t="shared" si="656"/>
        <v>0</v>
      </c>
      <c r="AC1229" s="543"/>
    </row>
    <row r="1230" spans="5:29">
      <c r="E1230" s="598"/>
      <c r="F1230" s="699"/>
      <c r="G1230" s="700"/>
      <c r="H1230" s="598"/>
      <c r="I1230" s="598"/>
      <c r="J1230" s="598"/>
      <c r="K1230" s="598"/>
      <c r="L1230" s="598"/>
      <c r="Q1230" s="541">
        <v>46109</v>
      </c>
      <c r="R1230" s="542">
        <v>0.79166666666666663</v>
      </c>
      <c r="S1230" s="543" t="s">
        <v>199</v>
      </c>
      <c r="T1230" s="543" t="s">
        <v>176</v>
      </c>
      <c r="U1230" s="544">
        <v>100</v>
      </c>
      <c r="V1230" s="545" t="str">
        <f t="shared" si="650"/>
        <v>g</v>
      </c>
      <c r="W1230" s="546">
        <f t="shared" si="651"/>
        <v>165</v>
      </c>
      <c r="X1230" s="546">
        <f t="shared" si="652"/>
        <v>25</v>
      </c>
      <c r="Y1230" s="546">
        <f t="shared" si="653"/>
        <v>3.6</v>
      </c>
      <c r="Z1230" s="546">
        <f t="shared" si="654"/>
        <v>0</v>
      </c>
      <c r="AA1230" s="546">
        <f t="shared" si="655"/>
        <v>0</v>
      </c>
      <c r="AB1230" s="584">
        <f t="shared" si="656"/>
        <v>0</v>
      </c>
      <c r="AC1230" s="543"/>
    </row>
    <row r="1231" spans="5:29">
      <c r="E1231" s="598"/>
      <c r="F1231" s="699"/>
      <c r="G1231" s="700"/>
      <c r="H1231" s="598"/>
      <c r="I1231" s="598"/>
      <c r="J1231" s="598"/>
      <c r="K1231" s="598"/>
      <c r="L1231" s="598"/>
      <c r="Q1231" s="541">
        <v>46109</v>
      </c>
      <c r="R1231" s="542">
        <v>0.79166666666666663</v>
      </c>
      <c r="S1231" s="543" t="s">
        <v>289</v>
      </c>
      <c r="T1231" s="543" t="s">
        <v>181</v>
      </c>
      <c r="U1231" s="544">
        <v>2</v>
      </c>
      <c r="V1231" s="545" t="str">
        <f t="shared" si="650"/>
        <v>slice</v>
      </c>
      <c r="W1231" s="546">
        <f t="shared" si="651"/>
        <v>140</v>
      </c>
      <c r="X1231" s="546">
        <f t="shared" si="652"/>
        <v>5</v>
      </c>
      <c r="Y1231" s="546">
        <f t="shared" si="653"/>
        <v>2.5</v>
      </c>
      <c r="Z1231" s="546">
        <f t="shared" si="654"/>
        <v>24</v>
      </c>
      <c r="AA1231" s="546">
        <f t="shared" si="655"/>
        <v>2</v>
      </c>
      <c r="AB1231" s="584">
        <f t="shared" si="656"/>
        <v>0</v>
      </c>
      <c r="AC1231" s="543"/>
    </row>
    <row r="1232" spans="5:29">
      <c r="E1232" s="598"/>
      <c r="F1232" s="699"/>
      <c r="G1232" s="700"/>
      <c r="H1232" s="598"/>
      <c r="I1232" s="598"/>
      <c r="J1232" s="598"/>
      <c r="K1232" s="598"/>
      <c r="L1232" s="598"/>
      <c r="Q1232" s="541">
        <v>46109</v>
      </c>
      <c r="R1232" s="542">
        <v>0.79166666666666663</v>
      </c>
      <c r="S1232" s="543" t="s">
        <v>199</v>
      </c>
      <c r="T1232" s="543" t="s">
        <v>295</v>
      </c>
      <c r="U1232" s="544">
        <v>1</v>
      </c>
      <c r="V1232" s="545" t="str">
        <f t="shared" si="650"/>
        <v>bottle</v>
      </c>
      <c r="W1232" s="546">
        <f t="shared" si="651"/>
        <v>200</v>
      </c>
      <c r="X1232" s="546">
        <f t="shared" si="652"/>
        <v>35</v>
      </c>
      <c r="Y1232" s="546">
        <f t="shared" si="653"/>
        <v>2.5</v>
      </c>
      <c r="Z1232" s="546">
        <f t="shared" si="654"/>
        <v>9</v>
      </c>
      <c r="AA1232" s="546">
        <f t="shared" si="655"/>
        <v>0</v>
      </c>
      <c r="AB1232" s="584">
        <f t="shared" si="656"/>
        <v>0</v>
      </c>
      <c r="AC1232" s="543"/>
    </row>
    <row r="1233" spans="5:29">
      <c r="E1233" s="598"/>
      <c r="F1233" s="699"/>
      <c r="G1233" s="700"/>
      <c r="H1233" s="598"/>
      <c r="I1233" s="598"/>
      <c r="J1233" s="598"/>
      <c r="K1233" s="598"/>
      <c r="L1233" s="598"/>
      <c r="Q1233" s="541">
        <v>46109</v>
      </c>
      <c r="R1233" s="542">
        <v>0.79166666666666663</v>
      </c>
      <c r="S1233" s="543" t="s">
        <v>289</v>
      </c>
      <c r="T1233" s="543" t="s">
        <v>209</v>
      </c>
      <c r="U1233" s="544">
        <v>3</v>
      </c>
      <c r="V1233" s="545" t="str">
        <f t="shared" si="650"/>
        <v>tbsp</v>
      </c>
      <c r="W1233" s="546">
        <f t="shared" si="651"/>
        <v>60</v>
      </c>
      <c r="X1233" s="546">
        <f t="shared" si="652"/>
        <v>0</v>
      </c>
      <c r="Y1233" s="546">
        <f t="shared" si="653"/>
        <v>0</v>
      </c>
      <c r="Z1233" s="546">
        <f t="shared" si="654"/>
        <v>15</v>
      </c>
      <c r="AA1233" s="546">
        <f t="shared" si="655"/>
        <v>13.5</v>
      </c>
      <c r="AB1233" s="584">
        <f t="shared" si="656"/>
        <v>0</v>
      </c>
      <c r="AC1233" s="543"/>
    </row>
    <row r="1234" spans="5:29">
      <c r="E1234" s="598"/>
      <c r="F1234" s="699"/>
      <c r="G1234" s="700"/>
      <c r="H1234" s="598"/>
      <c r="I1234" s="598"/>
      <c r="J1234" s="598"/>
      <c r="K1234" s="598"/>
      <c r="L1234" s="598"/>
      <c r="Q1234" s="541">
        <v>46109</v>
      </c>
      <c r="R1234" s="542">
        <v>0.79166666666666663</v>
      </c>
      <c r="S1234" s="543" t="s">
        <v>289</v>
      </c>
      <c r="T1234" s="543" t="s">
        <v>212</v>
      </c>
      <c r="U1234" s="544">
        <v>1</v>
      </c>
      <c r="V1234" s="545" t="str">
        <f t="shared" si="650"/>
        <v>bottle</v>
      </c>
      <c r="W1234" s="546">
        <f t="shared" si="651"/>
        <v>70</v>
      </c>
      <c r="X1234" s="546">
        <f t="shared" si="652"/>
        <v>0</v>
      </c>
      <c r="Y1234" s="546">
        <f t="shared" si="653"/>
        <v>0</v>
      </c>
      <c r="Z1234" s="546">
        <f t="shared" si="654"/>
        <v>17</v>
      </c>
      <c r="AA1234" s="546">
        <f t="shared" si="655"/>
        <v>1</v>
      </c>
      <c r="AB1234" s="684">
        <f t="shared" si="656"/>
        <v>0</v>
      </c>
      <c r="AC1234" s="543"/>
    </row>
    <row r="1235" spans="5:29">
      <c r="E1235" s="598"/>
      <c r="F1235" s="699"/>
      <c r="G1235" s="700"/>
      <c r="H1235" s="598"/>
      <c r="I1235" s="598"/>
      <c r="J1235" s="598"/>
      <c r="K1235" s="598"/>
      <c r="L1235" s="598"/>
      <c r="Q1235" s="547"/>
      <c r="R1235" s="548" t="s">
        <v>217</v>
      </c>
      <c r="S1235" s="549"/>
      <c r="T1235" s="550"/>
      <c r="U1235" s="550"/>
      <c r="V1235" s="551"/>
      <c r="W1235" s="552">
        <f t="shared" ref="W1235:AB1235" si="657">SUM(W1216:W1234)</f>
        <v>2966.4285714285716</v>
      </c>
      <c r="X1235" s="552">
        <f t="shared" si="657"/>
        <v>161.39285714285714</v>
      </c>
      <c r="Y1235" s="552">
        <f t="shared" si="657"/>
        <v>72.442857142857136</v>
      </c>
      <c r="Z1235" s="552">
        <f t="shared" si="657"/>
        <v>411.10714285714283</v>
      </c>
      <c r="AA1235" s="686">
        <f t="shared" si="657"/>
        <v>35.357142857142861</v>
      </c>
      <c r="AB1235" s="691">
        <f t="shared" si="657"/>
        <v>10</v>
      </c>
      <c r="AC1235" s="548"/>
    </row>
    <row r="1236" spans="5:29">
      <c r="E1236" s="598"/>
      <c r="F1236" s="699"/>
      <c r="G1236" s="700"/>
      <c r="H1236" s="598"/>
      <c r="I1236" s="598"/>
      <c r="J1236" s="598"/>
      <c r="K1236" s="598"/>
      <c r="L1236" s="598"/>
      <c r="Q1236" s="547"/>
      <c r="R1236" s="548" t="s">
        <v>220</v>
      </c>
      <c r="S1236" s="549"/>
      <c r="T1236" s="550"/>
      <c r="U1236" s="550"/>
      <c r="V1236" s="551"/>
      <c r="W1236" s="553">
        <f>$B$27</f>
        <v>2834.5625</v>
      </c>
      <c r="X1236" s="553">
        <f>$B$29</f>
        <v>154</v>
      </c>
      <c r="Y1236" s="553">
        <f>$B$30</f>
        <v>63.91</v>
      </c>
      <c r="Z1236" s="553">
        <f>$B$31</f>
        <v>410.84312499999999</v>
      </c>
      <c r="AA1236" s="693">
        <f>$B$32</f>
        <v>39.683875</v>
      </c>
      <c r="AB1236" s="695">
        <f>$B$39</f>
        <v>500</v>
      </c>
      <c r="AC1236" s="548"/>
    </row>
    <row r="1237" spans="5:29">
      <c r="E1237" s="598"/>
      <c r="F1237" s="699"/>
      <c r="G1237" s="700"/>
      <c r="H1237" s="598"/>
      <c r="I1237" s="598"/>
      <c r="J1237" s="598"/>
      <c r="K1237" s="598"/>
      <c r="L1237" s="598"/>
      <c r="Q1237" s="547"/>
      <c r="R1237" s="548" t="s">
        <v>222</v>
      </c>
      <c r="S1237" s="549"/>
      <c r="T1237" s="550"/>
      <c r="U1237" s="550"/>
      <c r="V1237" s="551"/>
      <c r="W1237" s="284">
        <f t="shared" ref="W1237:AB1237" si="658">W1235-W1236</f>
        <v>131.86607142857156</v>
      </c>
      <c r="X1237" s="284">
        <f t="shared" si="658"/>
        <v>7.3928571428571388</v>
      </c>
      <c r="Y1237" s="284">
        <f t="shared" si="658"/>
        <v>8.5328571428571394</v>
      </c>
      <c r="Z1237" s="284">
        <f t="shared" si="658"/>
        <v>0.26401785714284642</v>
      </c>
      <c r="AA1237" s="690">
        <f t="shared" si="658"/>
        <v>-4.3267321428571393</v>
      </c>
      <c r="AB1237" s="689">
        <f t="shared" si="658"/>
        <v>-490</v>
      </c>
      <c r="AC1237" s="548"/>
    </row>
    <row r="1238" spans="5:29">
      <c r="E1238" s="598"/>
      <c r="F1238" s="699"/>
      <c r="G1238" s="700"/>
      <c r="H1238" s="598"/>
      <c r="I1238" s="598"/>
      <c r="J1238" s="598"/>
      <c r="K1238" s="598"/>
      <c r="L1238" s="598"/>
      <c r="Q1238" s="541">
        <v>46110</v>
      </c>
      <c r="R1238" s="542">
        <v>0.41666666666666669</v>
      </c>
      <c r="S1238" s="543" t="s">
        <v>178</v>
      </c>
      <c r="T1238" s="543" t="s">
        <v>285</v>
      </c>
      <c r="U1238" s="544">
        <v>1</v>
      </c>
      <c r="V1238" s="545" t="str">
        <f t="shared" ref="V1238:V1253" si="659">IFERROR(VLOOKUP(T1238, $E$5:$L$818, 3, FALSE), "")</f>
        <v>bar</v>
      </c>
      <c r="W1238" s="546">
        <f t="shared" ref="W1238:W1253" si="660">IFERROR(VLOOKUP(T1238, $E$5:$L$818, 4, FALSE) * (U1238 / VLOOKUP(T1238, $E$5:$L$818, 2, FALSE)), "")</f>
        <v>240</v>
      </c>
      <c r="X1238" s="546">
        <f t="shared" ref="X1238:X1253" si="661">IFERROR(VLOOKUP(T1238, $E$5:$L$818, 5, FALSE) * (U1238 / VLOOKUP(T1238, $E$5:$L$818, 2, FALSE)), "")</f>
        <v>4</v>
      </c>
      <c r="Y1238" s="546">
        <f t="shared" ref="Y1238:Y1253" si="662">IFERROR(VLOOKUP(T1238, $E$5:$L$818, 6, FALSE) * (U1238 / VLOOKUP(T1238, $E$5:$L$818, 2, FALSE)), "")</f>
        <v>12</v>
      </c>
      <c r="Z1238" s="546">
        <f t="shared" ref="Z1238:Z1253" si="663">IFERROR(VLOOKUP(T1238, $E$5:$L$818, 7, FALSE) * (U1238 / VLOOKUP(T1238, $E$5:$L$818, 2, FALSE)), "")</f>
        <v>30</v>
      </c>
      <c r="AA1238" s="546">
        <f t="shared" ref="AA1238:AA1253" si="664">IFERROR(VLOOKUP(T1238, $E$5:$L$818, 8, FALSE) * (U1238 / VLOOKUP(T1238, $E$5:$L$818, 2, FALSE)), "")</f>
        <v>1.4</v>
      </c>
      <c r="AB1238" s="674">
        <f t="shared" ref="AB1238:AB1253" si="665">IFERROR(VLOOKUP(T1238, $E$5:$O$818, 9, FALSE) * (U1238 / VLOOKUP(T1238, $E$5:$O$818, 2, FALSE)), "")</f>
        <v>0</v>
      </c>
      <c r="AC1238" s="543"/>
    </row>
    <row r="1239" spans="5:29">
      <c r="E1239" s="598"/>
      <c r="F1239" s="699"/>
      <c r="G1239" s="700"/>
      <c r="H1239" s="598"/>
      <c r="I1239" s="598"/>
      <c r="J1239" s="598"/>
      <c r="K1239" s="598"/>
      <c r="L1239" s="598"/>
      <c r="Q1239" s="541">
        <v>46110</v>
      </c>
      <c r="R1239" s="542">
        <v>0.41666666666666669</v>
      </c>
      <c r="S1239" s="543" t="s">
        <v>178</v>
      </c>
      <c r="T1239" s="543" t="s">
        <v>295</v>
      </c>
      <c r="U1239" s="544">
        <v>1</v>
      </c>
      <c r="V1239" s="545" t="str">
        <f t="shared" si="659"/>
        <v>bottle</v>
      </c>
      <c r="W1239" s="546">
        <f t="shared" si="660"/>
        <v>200</v>
      </c>
      <c r="X1239" s="546">
        <f t="shared" si="661"/>
        <v>35</v>
      </c>
      <c r="Y1239" s="546">
        <f t="shared" si="662"/>
        <v>2.5</v>
      </c>
      <c r="Z1239" s="546">
        <f t="shared" si="663"/>
        <v>9</v>
      </c>
      <c r="AA1239" s="546">
        <f t="shared" si="664"/>
        <v>0</v>
      </c>
      <c r="AB1239" s="584">
        <f t="shared" si="665"/>
        <v>0</v>
      </c>
      <c r="AC1239" s="543"/>
    </row>
    <row r="1240" spans="5:29">
      <c r="E1240" s="598"/>
      <c r="F1240" s="699"/>
      <c r="G1240" s="700"/>
      <c r="H1240" s="598"/>
      <c r="I1240" s="598"/>
      <c r="J1240" s="598"/>
      <c r="K1240" s="598"/>
      <c r="L1240" s="598"/>
      <c r="Q1240" s="541">
        <v>46110</v>
      </c>
      <c r="R1240" s="542">
        <v>0.45833333333333331</v>
      </c>
      <c r="S1240" s="543" t="s">
        <v>289</v>
      </c>
      <c r="T1240" s="543" t="s">
        <v>181</v>
      </c>
      <c r="U1240" s="544">
        <v>2</v>
      </c>
      <c r="V1240" s="545" t="str">
        <f t="shared" si="659"/>
        <v>slice</v>
      </c>
      <c r="W1240" s="546">
        <f t="shared" si="660"/>
        <v>140</v>
      </c>
      <c r="X1240" s="546">
        <f t="shared" si="661"/>
        <v>5</v>
      </c>
      <c r="Y1240" s="546">
        <f t="shared" si="662"/>
        <v>2.5</v>
      </c>
      <c r="Z1240" s="546">
        <f t="shared" si="663"/>
        <v>24</v>
      </c>
      <c r="AA1240" s="546">
        <f t="shared" si="664"/>
        <v>2</v>
      </c>
      <c r="AB1240" s="584">
        <f t="shared" si="665"/>
        <v>0</v>
      </c>
      <c r="AC1240" s="543"/>
    </row>
    <row r="1241" spans="5:29">
      <c r="E1241" s="598"/>
      <c r="F1241" s="699"/>
      <c r="G1241" s="700"/>
      <c r="H1241" s="598"/>
      <c r="I1241" s="598"/>
      <c r="J1241" s="598"/>
      <c r="K1241" s="598"/>
      <c r="L1241" s="598"/>
      <c r="Q1241" s="541">
        <v>46110</v>
      </c>
      <c r="R1241" s="542">
        <v>0.45833333333333331</v>
      </c>
      <c r="S1241" s="543" t="s">
        <v>289</v>
      </c>
      <c r="T1241" s="543" t="s">
        <v>461</v>
      </c>
      <c r="U1241" s="544">
        <v>2</v>
      </c>
      <c r="V1241" s="545" t="str">
        <f t="shared" si="659"/>
        <v>chunks</v>
      </c>
      <c r="W1241" s="546">
        <f t="shared" si="660"/>
        <v>48.571428571428569</v>
      </c>
      <c r="X1241" s="546">
        <f t="shared" si="661"/>
        <v>0.8571428571428571</v>
      </c>
      <c r="Y1241" s="546">
        <f t="shared" si="662"/>
        <v>2.8571428571428568</v>
      </c>
      <c r="Z1241" s="546">
        <f t="shared" si="663"/>
        <v>5.1428571428571423</v>
      </c>
      <c r="AA1241" s="546">
        <f t="shared" si="664"/>
        <v>0.14285714285714285</v>
      </c>
      <c r="AB1241" s="584">
        <f t="shared" si="665"/>
        <v>0</v>
      </c>
      <c r="AC1241" s="543"/>
    </row>
    <row r="1242" spans="5:29">
      <c r="E1242" s="598"/>
      <c r="F1242" s="699"/>
      <c r="G1242" s="700"/>
      <c r="H1242" s="598"/>
      <c r="I1242" s="598"/>
      <c r="J1242" s="598"/>
      <c r="K1242" s="598"/>
      <c r="L1242" s="598"/>
      <c r="Q1242" s="541">
        <v>46110</v>
      </c>
      <c r="R1242" s="542">
        <v>0.54166666666666663</v>
      </c>
      <c r="S1242" s="543" t="s">
        <v>185</v>
      </c>
      <c r="T1242" s="543" t="s">
        <v>176</v>
      </c>
      <c r="U1242" s="544">
        <v>300</v>
      </c>
      <c r="V1242" s="545" t="str">
        <f t="shared" si="659"/>
        <v>g</v>
      </c>
      <c r="W1242" s="546">
        <f t="shared" si="660"/>
        <v>495</v>
      </c>
      <c r="X1242" s="546">
        <f t="shared" si="661"/>
        <v>75</v>
      </c>
      <c r="Y1242" s="546">
        <f t="shared" si="662"/>
        <v>10.8</v>
      </c>
      <c r="Z1242" s="546">
        <f t="shared" si="663"/>
        <v>0</v>
      </c>
      <c r="AA1242" s="546">
        <f t="shared" si="664"/>
        <v>0</v>
      </c>
      <c r="AB1242" s="584">
        <f t="shared" si="665"/>
        <v>0</v>
      </c>
      <c r="AC1242" s="543"/>
    </row>
    <row r="1243" spans="5:29">
      <c r="E1243" s="598"/>
      <c r="F1243" s="699"/>
      <c r="G1243" s="700"/>
      <c r="H1243" s="598"/>
      <c r="I1243" s="598"/>
      <c r="J1243" s="598"/>
      <c r="K1243" s="598"/>
      <c r="L1243" s="598"/>
      <c r="Q1243" s="541">
        <v>46110</v>
      </c>
      <c r="R1243" s="542">
        <v>0.54166666666666663</v>
      </c>
      <c r="S1243" s="543" t="s">
        <v>289</v>
      </c>
      <c r="T1243" s="543" t="s">
        <v>181</v>
      </c>
      <c r="U1243" s="544">
        <v>2</v>
      </c>
      <c r="V1243" s="545" t="str">
        <f t="shared" si="659"/>
        <v>slice</v>
      </c>
      <c r="W1243" s="546">
        <f t="shared" si="660"/>
        <v>140</v>
      </c>
      <c r="X1243" s="546">
        <f t="shared" si="661"/>
        <v>5</v>
      </c>
      <c r="Y1243" s="546">
        <f t="shared" si="662"/>
        <v>2.5</v>
      </c>
      <c r="Z1243" s="546">
        <f t="shared" si="663"/>
        <v>24</v>
      </c>
      <c r="AA1243" s="546">
        <f t="shared" si="664"/>
        <v>2</v>
      </c>
      <c r="AB1243" s="584">
        <f t="shared" si="665"/>
        <v>0</v>
      </c>
      <c r="AC1243" s="543"/>
    </row>
    <row r="1244" spans="5:29">
      <c r="E1244" s="598"/>
      <c r="F1244" s="699"/>
      <c r="G1244" s="700"/>
      <c r="H1244" s="598"/>
      <c r="I1244" s="598"/>
      <c r="J1244" s="598"/>
      <c r="K1244" s="598"/>
      <c r="L1244" s="598"/>
      <c r="Q1244" s="541">
        <v>46110</v>
      </c>
      <c r="R1244" s="542">
        <v>0.58333333333333337</v>
      </c>
      <c r="S1244" s="543" t="s">
        <v>289</v>
      </c>
      <c r="T1244" s="543" t="s">
        <v>323</v>
      </c>
      <c r="U1244" s="544">
        <v>1</v>
      </c>
      <c r="V1244" s="545" t="str">
        <f t="shared" si="659"/>
        <v>double bars</v>
      </c>
      <c r="W1244" s="546">
        <f t="shared" si="660"/>
        <v>180</v>
      </c>
      <c r="X1244" s="546">
        <f t="shared" si="661"/>
        <v>2</v>
      </c>
      <c r="Y1244" s="546">
        <f t="shared" si="662"/>
        <v>9</v>
      </c>
      <c r="Z1244" s="546">
        <f t="shared" si="663"/>
        <v>24</v>
      </c>
      <c r="AA1244" s="546">
        <f t="shared" si="664"/>
        <v>0</v>
      </c>
      <c r="AB1244" s="584">
        <f t="shared" si="665"/>
        <v>0</v>
      </c>
      <c r="AC1244" s="543"/>
    </row>
    <row r="1245" spans="5:29">
      <c r="E1245" s="598"/>
      <c r="F1245" s="699"/>
      <c r="G1245" s="700"/>
      <c r="H1245" s="598"/>
      <c r="I1245" s="598"/>
      <c r="J1245" s="598"/>
      <c r="K1245" s="598"/>
      <c r="L1245" s="598"/>
      <c r="Q1245" s="541">
        <v>46110</v>
      </c>
      <c r="R1245" s="542">
        <v>0.58333333333333337</v>
      </c>
      <c r="S1245" s="543" t="s">
        <v>289</v>
      </c>
      <c r="T1245" s="543" t="s">
        <v>468</v>
      </c>
      <c r="U1245" s="544">
        <v>1.5</v>
      </c>
      <c r="V1245" s="545" t="str">
        <f t="shared" si="659"/>
        <v>apple</v>
      </c>
      <c r="W1245" s="546">
        <f t="shared" si="660"/>
        <v>142.5</v>
      </c>
      <c r="X1245" s="546">
        <f t="shared" si="661"/>
        <v>0.75</v>
      </c>
      <c r="Y1245" s="546">
        <f t="shared" si="662"/>
        <v>0.44999999999999996</v>
      </c>
      <c r="Z1245" s="546">
        <f t="shared" si="663"/>
        <v>37.5</v>
      </c>
      <c r="AA1245" s="546">
        <f t="shared" si="664"/>
        <v>6</v>
      </c>
      <c r="AB1245" s="584">
        <f t="shared" si="665"/>
        <v>0</v>
      </c>
      <c r="AC1245" s="543"/>
    </row>
    <row r="1246" spans="5:29">
      <c r="E1246" s="598"/>
      <c r="F1246" s="699"/>
      <c r="G1246" s="700"/>
      <c r="H1246" s="598"/>
      <c r="I1246" s="598"/>
      <c r="J1246" s="598"/>
      <c r="K1246" s="598"/>
      <c r="L1246" s="598"/>
      <c r="Q1246" s="541">
        <v>46110</v>
      </c>
      <c r="R1246" s="542">
        <v>0.79166666666666663</v>
      </c>
      <c r="S1246" s="543" t="s">
        <v>289</v>
      </c>
      <c r="T1246" s="543" t="s">
        <v>847</v>
      </c>
      <c r="U1246" s="544">
        <v>1</v>
      </c>
      <c r="V1246" s="545" t="str">
        <f t="shared" si="659"/>
        <v>can</v>
      </c>
      <c r="W1246" s="546">
        <f t="shared" si="660"/>
        <v>0</v>
      </c>
      <c r="X1246" s="546">
        <f t="shared" si="661"/>
        <v>0</v>
      </c>
      <c r="Y1246" s="546">
        <f t="shared" si="662"/>
        <v>0</v>
      </c>
      <c r="Z1246" s="546">
        <f t="shared" si="663"/>
        <v>0</v>
      </c>
      <c r="AA1246" s="546">
        <f t="shared" si="664"/>
        <v>0</v>
      </c>
      <c r="AB1246" s="584">
        <f t="shared" si="665"/>
        <v>0</v>
      </c>
      <c r="AC1246" s="543"/>
    </row>
    <row r="1247" spans="5:29">
      <c r="E1247" s="598"/>
      <c r="F1247" s="699"/>
      <c r="G1247" s="700"/>
      <c r="H1247" s="598"/>
      <c r="I1247" s="598"/>
      <c r="J1247" s="598"/>
      <c r="K1247" s="598"/>
      <c r="L1247" s="598"/>
      <c r="Q1247" s="541">
        <v>46110</v>
      </c>
      <c r="R1247" s="542">
        <v>0.83333333333333337</v>
      </c>
      <c r="S1247" s="543" t="s">
        <v>289</v>
      </c>
      <c r="T1247" s="543" t="s">
        <v>461</v>
      </c>
      <c r="U1247" s="544">
        <v>1</v>
      </c>
      <c r="V1247" s="545" t="str">
        <f t="shared" si="659"/>
        <v>chunks</v>
      </c>
      <c r="W1247" s="546">
        <f t="shared" si="660"/>
        <v>24.285714285714285</v>
      </c>
      <c r="X1247" s="546">
        <f t="shared" si="661"/>
        <v>0.42857142857142855</v>
      </c>
      <c r="Y1247" s="546">
        <f t="shared" si="662"/>
        <v>1.4285714285714284</v>
      </c>
      <c r="Z1247" s="546">
        <f t="shared" si="663"/>
        <v>2.5714285714285712</v>
      </c>
      <c r="AA1247" s="546">
        <f t="shared" si="664"/>
        <v>7.1428571428571425E-2</v>
      </c>
      <c r="AB1247" s="584">
        <f t="shared" si="665"/>
        <v>0</v>
      </c>
      <c r="AC1247" s="543"/>
    </row>
    <row r="1248" spans="5:29">
      <c r="E1248" s="598"/>
      <c r="F1248" s="699"/>
      <c r="G1248" s="700"/>
      <c r="H1248" s="598"/>
      <c r="I1248" s="598"/>
      <c r="J1248" s="598"/>
      <c r="K1248" s="598"/>
      <c r="L1248" s="598"/>
      <c r="Q1248" s="541">
        <v>46110</v>
      </c>
      <c r="R1248" s="542">
        <v>0.83333333333333337</v>
      </c>
      <c r="S1248" s="543" t="s">
        <v>199</v>
      </c>
      <c r="T1248" s="543" t="s">
        <v>176</v>
      </c>
      <c r="U1248" s="544">
        <v>200</v>
      </c>
      <c r="V1248" s="545" t="str">
        <f t="shared" si="659"/>
        <v>g</v>
      </c>
      <c r="W1248" s="546">
        <f t="shared" si="660"/>
        <v>330</v>
      </c>
      <c r="X1248" s="546">
        <f t="shared" si="661"/>
        <v>50</v>
      </c>
      <c r="Y1248" s="546">
        <f t="shared" si="662"/>
        <v>7.2</v>
      </c>
      <c r="Z1248" s="546">
        <f t="shared" si="663"/>
        <v>0</v>
      </c>
      <c r="AA1248" s="546">
        <f t="shared" si="664"/>
        <v>0</v>
      </c>
      <c r="AB1248" s="584">
        <f t="shared" si="665"/>
        <v>0</v>
      </c>
      <c r="AC1248" s="543"/>
    </row>
    <row r="1249" spans="5:41">
      <c r="E1249" s="598"/>
      <c r="F1249" s="699"/>
      <c r="G1249" s="700"/>
      <c r="H1249" s="598"/>
      <c r="I1249" s="598"/>
      <c r="J1249" s="598"/>
      <c r="K1249" s="598"/>
      <c r="L1249" s="598"/>
      <c r="Q1249" s="541">
        <v>46110</v>
      </c>
      <c r="R1249" s="542">
        <v>0.83333333333333337</v>
      </c>
      <c r="S1249" s="543" t="s">
        <v>199</v>
      </c>
      <c r="T1249" s="543" t="s">
        <v>484</v>
      </c>
      <c r="U1249" s="544">
        <v>200</v>
      </c>
      <c r="V1249" s="545" t="str">
        <f t="shared" si="659"/>
        <v>g</v>
      </c>
      <c r="W1249" s="546">
        <f t="shared" si="660"/>
        <v>186</v>
      </c>
      <c r="X1249" s="546">
        <f t="shared" si="661"/>
        <v>5</v>
      </c>
      <c r="Y1249" s="546">
        <f t="shared" si="662"/>
        <v>0.4</v>
      </c>
      <c r="Z1249" s="546">
        <f t="shared" si="663"/>
        <v>42</v>
      </c>
      <c r="AA1249" s="546">
        <f t="shared" si="664"/>
        <v>5.2</v>
      </c>
      <c r="AB1249" s="584">
        <f t="shared" si="665"/>
        <v>0</v>
      </c>
      <c r="AC1249" s="543"/>
    </row>
    <row r="1250" spans="5:41">
      <c r="E1250" s="598"/>
      <c r="F1250" s="699"/>
      <c r="G1250" s="700"/>
      <c r="H1250" s="598"/>
      <c r="I1250" s="598"/>
      <c r="J1250" s="598"/>
      <c r="K1250" s="598"/>
      <c r="L1250" s="598"/>
      <c r="Q1250" s="541">
        <v>46110</v>
      </c>
      <c r="R1250" s="542">
        <v>0.875</v>
      </c>
      <c r="S1250" s="543" t="s">
        <v>289</v>
      </c>
      <c r="T1250" s="543" t="s">
        <v>461</v>
      </c>
      <c r="U1250" s="544">
        <v>3</v>
      </c>
      <c r="V1250" s="545" t="str">
        <f t="shared" si="659"/>
        <v>chunks</v>
      </c>
      <c r="W1250" s="546">
        <f t="shared" si="660"/>
        <v>72.857142857142847</v>
      </c>
      <c r="X1250" s="546">
        <f t="shared" si="661"/>
        <v>1.2857142857142856</v>
      </c>
      <c r="Y1250" s="546">
        <f t="shared" si="662"/>
        <v>4.2857142857142856</v>
      </c>
      <c r="Z1250" s="546">
        <f t="shared" si="663"/>
        <v>7.7142857142857135</v>
      </c>
      <c r="AA1250" s="546">
        <f t="shared" si="664"/>
        <v>0.21428571428571427</v>
      </c>
      <c r="AB1250" s="584">
        <f t="shared" si="665"/>
        <v>0</v>
      </c>
      <c r="AC1250" s="543"/>
    </row>
    <row r="1251" spans="5:41">
      <c r="E1251" s="598"/>
      <c r="F1251" s="699"/>
      <c r="G1251" s="700"/>
      <c r="H1251" s="598"/>
      <c r="I1251" s="598"/>
      <c r="J1251" s="598"/>
      <c r="K1251" s="598"/>
      <c r="L1251" s="598"/>
      <c r="Q1251" s="541">
        <v>46110</v>
      </c>
      <c r="R1251" s="542">
        <v>0.91666666666666663</v>
      </c>
      <c r="S1251" s="543" t="s">
        <v>289</v>
      </c>
      <c r="T1251" s="543" t="s">
        <v>190</v>
      </c>
      <c r="U1251" s="544">
        <v>4</v>
      </c>
      <c r="V1251" s="545" t="str">
        <f t="shared" si="659"/>
        <v>medium</v>
      </c>
      <c r="W1251" s="546">
        <f t="shared" si="660"/>
        <v>248</v>
      </c>
      <c r="X1251" s="546">
        <f t="shared" si="661"/>
        <v>4.8</v>
      </c>
      <c r="Y1251" s="546">
        <f t="shared" si="662"/>
        <v>0.8</v>
      </c>
      <c r="Z1251" s="546">
        <f t="shared" si="663"/>
        <v>61.6</v>
      </c>
      <c r="AA1251" s="546">
        <f t="shared" si="664"/>
        <v>12.4</v>
      </c>
      <c r="AB1251" s="584">
        <f t="shared" si="665"/>
        <v>0</v>
      </c>
      <c r="AC1251" s="543"/>
    </row>
    <row r="1252" spans="5:41">
      <c r="E1252" s="598"/>
      <c r="F1252" s="699"/>
      <c r="G1252" s="700"/>
      <c r="H1252" s="598"/>
      <c r="I1252" s="598"/>
      <c r="J1252" s="598"/>
      <c r="K1252" s="598"/>
      <c r="L1252" s="598"/>
      <c r="Q1252" s="541">
        <v>46110</v>
      </c>
      <c r="R1252" s="542">
        <v>0.91666666666666663</v>
      </c>
      <c r="S1252" s="543" t="s">
        <v>289</v>
      </c>
      <c r="T1252" s="543" t="s">
        <v>209</v>
      </c>
      <c r="U1252" s="544">
        <v>3</v>
      </c>
      <c r="V1252" s="545" t="str">
        <f t="shared" si="659"/>
        <v>tbsp</v>
      </c>
      <c r="W1252" s="546">
        <f t="shared" si="660"/>
        <v>60</v>
      </c>
      <c r="X1252" s="546">
        <f t="shared" si="661"/>
        <v>0</v>
      </c>
      <c r="Y1252" s="546">
        <f t="shared" si="662"/>
        <v>0</v>
      </c>
      <c r="Z1252" s="546">
        <f t="shared" si="663"/>
        <v>15</v>
      </c>
      <c r="AA1252" s="546">
        <f t="shared" si="664"/>
        <v>13.5</v>
      </c>
      <c r="AB1252" s="584">
        <f t="shared" si="665"/>
        <v>0</v>
      </c>
      <c r="AC1252" s="543"/>
    </row>
    <row r="1253" spans="5:41">
      <c r="E1253" s="598"/>
      <c r="F1253" s="699"/>
      <c r="G1253" s="700"/>
      <c r="H1253" s="598"/>
      <c r="I1253" s="598"/>
      <c r="J1253" s="598"/>
      <c r="K1253" s="598"/>
      <c r="L1253" s="598"/>
      <c r="Q1253" s="541">
        <v>46110</v>
      </c>
      <c r="R1253" s="542">
        <v>0.91666666666666663</v>
      </c>
      <c r="S1253" s="543" t="s">
        <v>289</v>
      </c>
      <c r="T1253" s="543" t="s">
        <v>212</v>
      </c>
      <c r="U1253" s="544">
        <v>1</v>
      </c>
      <c r="V1253" s="545" t="str">
        <f t="shared" si="659"/>
        <v>bottle</v>
      </c>
      <c r="W1253" s="546">
        <f t="shared" si="660"/>
        <v>70</v>
      </c>
      <c r="X1253" s="546">
        <f t="shared" si="661"/>
        <v>0</v>
      </c>
      <c r="Y1253" s="546">
        <f t="shared" si="662"/>
        <v>0</v>
      </c>
      <c r="Z1253" s="546">
        <f t="shared" si="663"/>
        <v>17</v>
      </c>
      <c r="AA1253" s="546">
        <f t="shared" si="664"/>
        <v>1</v>
      </c>
      <c r="AB1253" s="684">
        <f t="shared" si="665"/>
        <v>0</v>
      </c>
      <c r="AC1253" s="543"/>
    </row>
    <row r="1254" spans="5:41">
      <c r="E1254" s="598"/>
      <c r="F1254" s="699"/>
      <c r="G1254" s="700"/>
      <c r="H1254" s="598"/>
      <c r="I1254" s="598"/>
      <c r="J1254" s="598"/>
      <c r="K1254" s="598"/>
      <c r="L1254" s="598"/>
      <c r="Q1254" s="547"/>
      <c r="R1254" s="548" t="s">
        <v>217</v>
      </c>
      <c r="S1254" s="549"/>
      <c r="T1254" s="550"/>
      <c r="U1254" s="550"/>
      <c r="V1254" s="551"/>
      <c r="W1254" s="552">
        <f t="shared" ref="W1254:AB1254" si="666">SUM(W1238:W1253)</f>
        <v>2577.2142857142853</v>
      </c>
      <c r="X1254" s="552">
        <f t="shared" si="666"/>
        <v>189.12142857142857</v>
      </c>
      <c r="Y1254" s="552">
        <f t="shared" si="666"/>
        <v>56.721428571428575</v>
      </c>
      <c r="Z1254" s="552">
        <f t="shared" si="666"/>
        <v>299.52857142857147</v>
      </c>
      <c r="AA1254" s="686">
        <f t="shared" si="666"/>
        <v>43.928571428571431</v>
      </c>
      <c r="AB1254" s="691">
        <f t="shared" si="666"/>
        <v>0</v>
      </c>
      <c r="AC1254" s="548"/>
    </row>
    <row r="1255" spans="5:41">
      <c r="E1255" s="598"/>
      <c r="F1255" s="699"/>
      <c r="G1255" s="700"/>
      <c r="H1255" s="598"/>
      <c r="I1255" s="598"/>
      <c r="J1255" s="598"/>
      <c r="K1255" s="598"/>
      <c r="L1255" s="598"/>
      <c r="Q1255" s="547"/>
      <c r="R1255" s="548" t="s">
        <v>220</v>
      </c>
      <c r="S1255" s="549"/>
      <c r="T1255" s="550"/>
      <c r="U1255" s="550"/>
      <c r="V1255" s="551"/>
      <c r="W1255" s="553">
        <f>$B$27</f>
        <v>2834.5625</v>
      </c>
      <c r="X1255" s="553">
        <f>$B$29</f>
        <v>154</v>
      </c>
      <c r="Y1255" s="553">
        <f>$B$30</f>
        <v>63.91</v>
      </c>
      <c r="Z1255" s="553">
        <f>$B$31</f>
        <v>410.84312499999999</v>
      </c>
      <c r="AA1255" s="693">
        <f>$B$32</f>
        <v>39.683875</v>
      </c>
      <c r="AB1255" s="695">
        <f>$B$39</f>
        <v>500</v>
      </c>
      <c r="AC1255" s="548"/>
    </row>
    <row r="1256" spans="5:41">
      <c r="E1256" s="598"/>
      <c r="F1256" s="699"/>
      <c r="G1256" s="700"/>
      <c r="H1256" s="598"/>
      <c r="I1256" s="598"/>
      <c r="J1256" s="598"/>
      <c r="K1256" s="598"/>
      <c r="L1256" s="598"/>
      <c r="Q1256" s="547"/>
      <c r="R1256" s="548" t="s">
        <v>222</v>
      </c>
      <c r="S1256" s="549"/>
      <c r="T1256" s="550"/>
      <c r="U1256" s="550"/>
      <c r="V1256" s="551"/>
      <c r="W1256" s="284">
        <f t="shared" ref="W1256:AB1256" si="667">W1254-W1255</f>
        <v>-257.34821428571468</v>
      </c>
      <c r="X1256" s="284">
        <f t="shared" si="667"/>
        <v>35.121428571428567</v>
      </c>
      <c r="Y1256" s="284">
        <f t="shared" si="667"/>
        <v>-7.1885714285714215</v>
      </c>
      <c r="Z1256" s="284">
        <f t="shared" si="667"/>
        <v>-111.31455357142852</v>
      </c>
      <c r="AA1256" s="690">
        <f t="shared" si="667"/>
        <v>4.2446964285714301</v>
      </c>
      <c r="AB1256" s="689">
        <f t="shared" si="667"/>
        <v>-500</v>
      </c>
      <c r="AC1256" s="548"/>
    </row>
    <row r="1257" spans="5:41">
      <c r="E1257" s="598"/>
      <c r="F1257" s="699"/>
      <c r="G1257" s="700"/>
      <c r="H1257" s="598"/>
      <c r="I1257" s="598"/>
      <c r="J1257" s="598"/>
      <c r="K1257" s="598"/>
      <c r="L1257" s="598"/>
      <c r="Q1257" s="541">
        <v>46111</v>
      </c>
      <c r="R1257" s="542">
        <v>0.25</v>
      </c>
      <c r="S1257" s="543" t="s">
        <v>178</v>
      </c>
      <c r="T1257" s="543" t="s">
        <v>323</v>
      </c>
      <c r="U1257" s="544">
        <v>1</v>
      </c>
      <c r="V1257" s="545" t="str">
        <f t="shared" ref="V1257:V1273" si="668">IFERROR(VLOOKUP(T1257, $E$5:$L$818, 3, FALSE), "")</f>
        <v>double bars</v>
      </c>
      <c r="W1257" s="546">
        <f t="shared" ref="W1257:W1273" si="669">IFERROR(VLOOKUP(T1257, $E$5:$L$818, 4, FALSE) * (U1257 / VLOOKUP(T1257, $E$5:$L$818, 2, FALSE)), "")</f>
        <v>180</v>
      </c>
      <c r="X1257" s="546">
        <f t="shared" ref="X1257:X1273" si="670">IFERROR(VLOOKUP(T1257, $E$5:$L$818, 5, FALSE) * (U1257 / VLOOKUP(T1257, $E$5:$L$818, 2, FALSE)), "")</f>
        <v>2</v>
      </c>
      <c r="Y1257" s="546">
        <f t="shared" ref="Y1257:Y1273" si="671">IFERROR(VLOOKUP(T1257, $E$5:$L$818, 6, FALSE) * (U1257 / VLOOKUP(T1257, $E$5:$L$818, 2, FALSE)), "")</f>
        <v>9</v>
      </c>
      <c r="Z1257" s="546">
        <f t="shared" ref="Z1257:Z1273" si="672">IFERROR(VLOOKUP(T1257, $E$5:$L$818, 7, FALSE) * (U1257 / VLOOKUP(T1257, $E$5:$L$818, 2, FALSE)), "")</f>
        <v>24</v>
      </c>
      <c r="AA1257" s="546">
        <f t="shared" ref="AA1257:AA1273" si="673">IFERROR(VLOOKUP(T1257, $E$5:$L$818, 8, FALSE) * (U1257 / VLOOKUP(T1257, $E$5:$L$818, 2, FALSE)), "")</f>
        <v>0</v>
      </c>
      <c r="AB1257" s="674">
        <f t="shared" ref="AB1257:AB1273" si="674">IFERROR(VLOOKUP(T1257, $E$5:$O$818, 9, FALSE) * (U1257 / VLOOKUP(T1257, $E$5:$O$818, 2, FALSE)), "")</f>
        <v>0</v>
      </c>
      <c r="AC1257" s="543"/>
    </row>
    <row r="1258" spans="5:41">
      <c r="E1258" s="598"/>
      <c r="F1258" s="699"/>
      <c r="G1258" s="700"/>
      <c r="H1258" s="598"/>
      <c r="I1258" s="598"/>
      <c r="J1258" s="598"/>
      <c r="K1258" s="598"/>
      <c r="L1258" s="598"/>
      <c r="Q1258" s="541">
        <v>46111</v>
      </c>
      <c r="R1258" s="542">
        <v>0.33333333333333331</v>
      </c>
      <c r="S1258" s="543" t="s">
        <v>289</v>
      </c>
      <c r="T1258" s="543" t="s">
        <v>295</v>
      </c>
      <c r="U1258" s="544">
        <v>1</v>
      </c>
      <c r="V1258" s="545" t="str">
        <f t="shared" si="668"/>
        <v>bottle</v>
      </c>
      <c r="W1258" s="546">
        <f t="shared" si="669"/>
        <v>200</v>
      </c>
      <c r="X1258" s="546">
        <f t="shared" si="670"/>
        <v>35</v>
      </c>
      <c r="Y1258" s="546">
        <f t="shared" si="671"/>
        <v>2.5</v>
      </c>
      <c r="Z1258" s="546">
        <f t="shared" si="672"/>
        <v>9</v>
      </c>
      <c r="AA1258" s="546">
        <f t="shared" si="673"/>
        <v>0</v>
      </c>
      <c r="AB1258" s="584">
        <f t="shared" si="674"/>
        <v>0</v>
      </c>
      <c r="AC1258" s="543"/>
    </row>
    <row r="1259" spans="5:41">
      <c r="E1259" s="598"/>
      <c r="F1259" s="699"/>
      <c r="G1259" s="700"/>
      <c r="H1259" s="598"/>
      <c r="I1259" s="598"/>
      <c r="J1259" s="598"/>
      <c r="K1259" s="598"/>
      <c r="L1259" s="598"/>
      <c r="Q1259" s="541">
        <v>46111</v>
      </c>
      <c r="R1259" s="542">
        <v>0.375</v>
      </c>
      <c r="S1259" s="543" t="s">
        <v>289</v>
      </c>
      <c r="T1259" s="543" t="s">
        <v>299</v>
      </c>
      <c r="U1259" s="544">
        <v>1</v>
      </c>
      <c r="V1259" s="545" t="str">
        <f t="shared" si="668"/>
        <v>pack</v>
      </c>
      <c r="W1259" s="546">
        <f t="shared" si="669"/>
        <v>45</v>
      </c>
      <c r="X1259" s="546">
        <f t="shared" si="670"/>
        <v>1</v>
      </c>
      <c r="Y1259" s="546">
        <f t="shared" si="671"/>
        <v>2</v>
      </c>
      <c r="Z1259" s="546">
        <f t="shared" si="672"/>
        <v>6</v>
      </c>
      <c r="AA1259" s="546">
        <f t="shared" si="673"/>
        <v>0</v>
      </c>
      <c r="AB1259" s="584">
        <f t="shared" si="674"/>
        <v>0</v>
      </c>
      <c r="AC1259" s="543"/>
      <c r="AE1259" s="562"/>
      <c r="AF1259" s="562"/>
      <c r="AG1259" s="562"/>
      <c r="AH1259" s="562"/>
      <c r="AI1259" s="562"/>
      <c r="AJ1259" s="562"/>
      <c r="AK1259" s="562"/>
      <c r="AL1259" s="562"/>
      <c r="AM1259" s="562"/>
      <c r="AN1259" s="562"/>
      <c r="AO1259" s="562"/>
    </row>
    <row r="1260" spans="5:41">
      <c r="E1260" s="598"/>
      <c r="F1260" s="699"/>
      <c r="G1260" s="700"/>
      <c r="H1260" s="598"/>
      <c r="I1260" s="598"/>
      <c r="J1260" s="598"/>
      <c r="K1260" s="598"/>
      <c r="L1260" s="598"/>
      <c r="Q1260" s="541">
        <v>46111</v>
      </c>
      <c r="R1260" s="542">
        <v>0.41666666666666669</v>
      </c>
      <c r="S1260" s="543" t="s">
        <v>289</v>
      </c>
      <c r="T1260" s="543" t="s">
        <v>875</v>
      </c>
      <c r="U1260" s="544">
        <v>1.5</v>
      </c>
      <c r="V1260" s="545" t="str">
        <f t="shared" si="668"/>
        <v>bag</v>
      </c>
      <c r="W1260" s="546">
        <f t="shared" si="669"/>
        <v>120</v>
      </c>
      <c r="X1260" s="546">
        <f t="shared" si="670"/>
        <v>1.5</v>
      </c>
      <c r="Y1260" s="546">
        <f t="shared" si="671"/>
        <v>6</v>
      </c>
      <c r="Z1260" s="546">
        <f t="shared" si="672"/>
        <v>16.5</v>
      </c>
      <c r="AA1260" s="546">
        <f t="shared" si="673"/>
        <v>0</v>
      </c>
      <c r="AB1260" s="584">
        <f t="shared" si="674"/>
        <v>7.5</v>
      </c>
      <c r="AC1260" s="543"/>
      <c r="AE1260" s="562"/>
      <c r="AF1260" s="562"/>
      <c r="AG1260" s="562"/>
      <c r="AH1260" s="562"/>
      <c r="AI1260" s="562"/>
      <c r="AJ1260" s="562"/>
      <c r="AK1260" s="562"/>
      <c r="AL1260" s="562"/>
      <c r="AM1260" s="562"/>
      <c r="AN1260" s="562"/>
      <c r="AO1260" s="562"/>
    </row>
    <row r="1261" spans="5:41">
      <c r="E1261" s="598"/>
      <c r="F1261" s="699"/>
      <c r="G1261" s="700"/>
      <c r="H1261" s="598"/>
      <c r="I1261" s="598"/>
      <c r="J1261" s="598"/>
      <c r="K1261" s="598"/>
      <c r="L1261" s="598"/>
      <c r="Q1261" s="541">
        <v>46111</v>
      </c>
      <c r="R1261" s="542">
        <v>0.41666666666666669</v>
      </c>
      <c r="S1261" s="543" t="s">
        <v>289</v>
      </c>
      <c r="T1261" s="543" t="s">
        <v>190</v>
      </c>
      <c r="U1261" s="544">
        <v>4</v>
      </c>
      <c r="V1261" s="545" t="str">
        <f t="shared" si="668"/>
        <v>medium</v>
      </c>
      <c r="W1261" s="546">
        <f t="shared" si="669"/>
        <v>248</v>
      </c>
      <c r="X1261" s="546">
        <f t="shared" si="670"/>
        <v>4.8</v>
      </c>
      <c r="Y1261" s="546">
        <f t="shared" si="671"/>
        <v>0.8</v>
      </c>
      <c r="Z1261" s="546">
        <f t="shared" si="672"/>
        <v>61.6</v>
      </c>
      <c r="AA1261" s="546">
        <f t="shared" si="673"/>
        <v>12.4</v>
      </c>
      <c r="AB1261" s="584">
        <f t="shared" si="674"/>
        <v>0</v>
      </c>
      <c r="AC1261" s="543"/>
      <c r="AE1261" s="562"/>
      <c r="AF1261" s="562"/>
      <c r="AG1261" s="562"/>
      <c r="AH1261" s="562"/>
      <c r="AI1261" s="562"/>
      <c r="AJ1261" s="562"/>
      <c r="AK1261" s="562"/>
      <c r="AL1261" s="562"/>
      <c r="AM1261" s="562"/>
      <c r="AN1261" s="562"/>
      <c r="AO1261" s="562"/>
    </row>
    <row r="1262" spans="5:41">
      <c r="E1262" s="598"/>
      <c r="F1262" s="699"/>
      <c r="G1262" s="700"/>
      <c r="H1262" s="598"/>
      <c r="I1262" s="598"/>
      <c r="J1262" s="598"/>
      <c r="K1262" s="598"/>
      <c r="L1262" s="598"/>
      <c r="Q1262" s="541">
        <v>46111</v>
      </c>
      <c r="R1262" s="542">
        <v>0.41666666666666669</v>
      </c>
      <c r="S1262" s="543" t="s">
        <v>289</v>
      </c>
      <c r="T1262" s="543" t="s">
        <v>461</v>
      </c>
      <c r="U1262" s="544">
        <v>1</v>
      </c>
      <c r="V1262" s="545" t="str">
        <f t="shared" si="668"/>
        <v>chunks</v>
      </c>
      <c r="W1262" s="546">
        <f t="shared" si="669"/>
        <v>24.285714285714285</v>
      </c>
      <c r="X1262" s="546">
        <f t="shared" si="670"/>
        <v>0.42857142857142855</v>
      </c>
      <c r="Y1262" s="546">
        <f t="shared" si="671"/>
        <v>1.4285714285714284</v>
      </c>
      <c r="Z1262" s="546">
        <f t="shared" si="672"/>
        <v>2.5714285714285712</v>
      </c>
      <c r="AA1262" s="546">
        <f t="shared" si="673"/>
        <v>7.1428571428571425E-2</v>
      </c>
      <c r="AB1262" s="584">
        <f t="shared" si="674"/>
        <v>0</v>
      </c>
      <c r="AC1262" s="543"/>
      <c r="AE1262" s="562"/>
      <c r="AF1262" s="562"/>
      <c r="AG1262" s="562"/>
      <c r="AH1262" s="562"/>
      <c r="AI1262" s="562"/>
      <c r="AJ1262" s="562"/>
      <c r="AK1262" s="562"/>
      <c r="AL1262" s="562"/>
      <c r="AM1262" s="562"/>
      <c r="AN1262" s="562"/>
      <c r="AO1262" s="562"/>
    </row>
    <row r="1263" spans="5:41">
      <c r="E1263" s="598"/>
      <c r="F1263" s="699"/>
      <c r="G1263" s="700"/>
      <c r="H1263" s="598"/>
      <c r="I1263" s="598"/>
      <c r="J1263" s="598"/>
      <c r="K1263" s="598"/>
      <c r="L1263" s="598"/>
      <c r="Q1263" s="541">
        <v>46111</v>
      </c>
      <c r="R1263" s="542">
        <v>0.41666666666666669</v>
      </c>
      <c r="S1263" s="543" t="s">
        <v>289</v>
      </c>
      <c r="T1263" s="543" t="s">
        <v>879</v>
      </c>
      <c r="U1263" s="544">
        <v>0.5</v>
      </c>
      <c r="V1263" s="545" t="str">
        <f t="shared" si="668"/>
        <v>piece</v>
      </c>
      <c r="W1263" s="546">
        <f t="shared" si="669"/>
        <v>54</v>
      </c>
      <c r="X1263" s="546">
        <f t="shared" si="670"/>
        <v>0.6</v>
      </c>
      <c r="Y1263" s="546">
        <f t="shared" si="671"/>
        <v>2.35</v>
      </c>
      <c r="Z1263" s="546">
        <f t="shared" si="672"/>
        <v>7.6</v>
      </c>
      <c r="AA1263" s="546">
        <f t="shared" si="673"/>
        <v>0</v>
      </c>
      <c r="AB1263" s="584">
        <f t="shared" si="674"/>
        <v>0</v>
      </c>
      <c r="AC1263" s="543"/>
      <c r="AE1263" s="562"/>
      <c r="AF1263" s="562"/>
      <c r="AG1263" s="562"/>
      <c r="AH1263" s="562"/>
      <c r="AI1263" s="562"/>
      <c r="AJ1263" s="562"/>
      <c r="AK1263" s="562"/>
      <c r="AL1263" s="562"/>
      <c r="AM1263" s="562"/>
      <c r="AN1263" s="562"/>
      <c r="AO1263" s="562"/>
    </row>
    <row r="1264" spans="5:41">
      <c r="E1264" s="598"/>
      <c r="F1264" s="699"/>
      <c r="G1264" s="700"/>
      <c r="H1264" s="598"/>
      <c r="I1264" s="598"/>
      <c r="J1264" s="598"/>
      <c r="K1264" s="598"/>
      <c r="L1264" s="598"/>
      <c r="Q1264" s="541">
        <v>46111</v>
      </c>
      <c r="R1264" s="542">
        <v>0.45833333333333331</v>
      </c>
      <c r="S1264" s="543" t="s">
        <v>289</v>
      </c>
      <c r="T1264" s="543" t="s">
        <v>461</v>
      </c>
      <c r="U1264" s="544">
        <v>1</v>
      </c>
      <c r="V1264" s="545" t="str">
        <f t="shared" si="668"/>
        <v>chunks</v>
      </c>
      <c r="W1264" s="546">
        <f t="shared" si="669"/>
        <v>24.285714285714285</v>
      </c>
      <c r="X1264" s="546">
        <f t="shared" si="670"/>
        <v>0.42857142857142855</v>
      </c>
      <c r="Y1264" s="546">
        <f t="shared" si="671"/>
        <v>1.4285714285714284</v>
      </c>
      <c r="Z1264" s="546">
        <f t="shared" si="672"/>
        <v>2.5714285714285712</v>
      </c>
      <c r="AA1264" s="546">
        <f t="shared" si="673"/>
        <v>7.1428571428571425E-2</v>
      </c>
      <c r="AB1264" s="584">
        <f t="shared" si="674"/>
        <v>0</v>
      </c>
      <c r="AC1264" s="543"/>
      <c r="AE1264" s="562"/>
      <c r="AF1264" s="562"/>
      <c r="AG1264" s="562"/>
      <c r="AH1264" s="562"/>
      <c r="AI1264" s="562"/>
      <c r="AJ1264" s="562"/>
      <c r="AK1264" s="562"/>
      <c r="AL1264" s="562"/>
      <c r="AM1264" s="562"/>
      <c r="AN1264" s="562"/>
      <c r="AO1264" s="562"/>
    </row>
    <row r="1265" spans="5:41">
      <c r="E1265" s="598"/>
      <c r="F1265" s="699"/>
      <c r="G1265" s="700"/>
      <c r="H1265" s="598"/>
      <c r="I1265" s="598"/>
      <c r="J1265" s="598"/>
      <c r="K1265" s="598"/>
      <c r="L1265" s="598"/>
      <c r="Q1265" s="541">
        <v>46111</v>
      </c>
      <c r="R1265" s="542">
        <v>0.54166666666666663</v>
      </c>
      <c r="S1265" s="543" t="s">
        <v>185</v>
      </c>
      <c r="T1265" s="543" t="s">
        <v>176</v>
      </c>
      <c r="U1265" s="544">
        <v>250</v>
      </c>
      <c r="V1265" s="545" t="str">
        <f t="shared" si="668"/>
        <v>g</v>
      </c>
      <c r="W1265" s="546">
        <f t="shared" si="669"/>
        <v>412.5</v>
      </c>
      <c r="X1265" s="546">
        <f t="shared" si="670"/>
        <v>62.5</v>
      </c>
      <c r="Y1265" s="546">
        <f t="shared" si="671"/>
        <v>9</v>
      </c>
      <c r="Z1265" s="546">
        <f t="shared" si="672"/>
        <v>0</v>
      </c>
      <c r="AA1265" s="546">
        <f t="shared" si="673"/>
        <v>0</v>
      </c>
      <c r="AB1265" s="584">
        <f t="shared" si="674"/>
        <v>0</v>
      </c>
      <c r="AC1265" s="543"/>
      <c r="AE1265" s="562"/>
      <c r="AF1265" s="562"/>
      <c r="AG1265" s="562"/>
      <c r="AH1265" s="562"/>
      <c r="AI1265" s="562"/>
      <c r="AJ1265" s="562"/>
      <c r="AK1265" s="562"/>
      <c r="AL1265" s="562"/>
      <c r="AM1265" s="562"/>
      <c r="AN1265" s="562"/>
      <c r="AO1265" s="562"/>
    </row>
    <row r="1266" spans="5:41" ht="19.5">
      <c r="E1266" s="598"/>
      <c r="F1266" s="699"/>
      <c r="G1266" s="700"/>
      <c r="H1266" s="598"/>
      <c r="I1266" s="598"/>
      <c r="J1266" s="598"/>
      <c r="K1266" s="598"/>
      <c r="L1266" s="598"/>
      <c r="Q1266" s="541">
        <v>46111</v>
      </c>
      <c r="R1266" s="542">
        <v>0.54166666666666663</v>
      </c>
      <c r="S1266" s="543" t="s">
        <v>185</v>
      </c>
      <c r="T1266" s="543" t="s">
        <v>180</v>
      </c>
      <c r="U1266" s="544">
        <v>300</v>
      </c>
      <c r="V1266" s="545" t="str">
        <f t="shared" si="668"/>
        <v>g</v>
      </c>
      <c r="W1266" s="546">
        <f t="shared" si="669"/>
        <v>390</v>
      </c>
      <c r="X1266" s="546">
        <f t="shared" si="670"/>
        <v>8.1000000000000014</v>
      </c>
      <c r="Y1266" s="546">
        <f t="shared" si="671"/>
        <v>0.89999999999999991</v>
      </c>
      <c r="Z1266" s="546">
        <f t="shared" si="672"/>
        <v>84</v>
      </c>
      <c r="AA1266" s="546">
        <f t="shared" si="673"/>
        <v>1.2000000000000002</v>
      </c>
      <c r="AB1266" s="584">
        <f t="shared" si="674"/>
        <v>0</v>
      </c>
      <c r="AC1266" s="543"/>
      <c r="AE1266" s="724" t="s">
        <v>880</v>
      </c>
      <c r="AF1266" s="724"/>
      <c r="AG1266" s="724"/>
      <c r="AH1266" s="724"/>
      <c r="AI1266" s="724"/>
      <c r="AJ1266" s="724"/>
      <c r="AK1266" s="724"/>
      <c r="AL1266" s="724"/>
      <c r="AM1266" s="724"/>
      <c r="AN1266" s="724"/>
      <c r="AO1266" s="724"/>
    </row>
    <row r="1267" spans="5:41">
      <c r="E1267" s="598"/>
      <c r="F1267" s="699"/>
      <c r="G1267" s="700"/>
      <c r="H1267" s="598"/>
      <c r="I1267" s="598"/>
      <c r="J1267" s="598"/>
      <c r="K1267" s="598"/>
      <c r="L1267" s="598"/>
      <c r="Q1267" s="541">
        <v>46111</v>
      </c>
      <c r="R1267" s="542">
        <v>0.58333333333333337</v>
      </c>
      <c r="S1267" s="543" t="s">
        <v>289</v>
      </c>
      <c r="T1267" s="543" t="s">
        <v>464</v>
      </c>
      <c r="U1267" s="544">
        <v>1</v>
      </c>
      <c r="V1267" s="545" t="str">
        <f t="shared" si="668"/>
        <v>lozenge</v>
      </c>
      <c r="W1267" s="546">
        <f t="shared" si="669"/>
        <v>10</v>
      </c>
      <c r="X1267" s="546">
        <f t="shared" si="670"/>
        <v>0</v>
      </c>
      <c r="Y1267" s="546">
        <f t="shared" si="671"/>
        <v>0</v>
      </c>
      <c r="Z1267" s="546">
        <f t="shared" si="672"/>
        <v>3</v>
      </c>
      <c r="AA1267" s="546">
        <f t="shared" si="673"/>
        <v>0</v>
      </c>
      <c r="AB1267" s="584">
        <f t="shared" si="674"/>
        <v>0</v>
      </c>
      <c r="AC1267" s="543"/>
      <c r="AE1267" s="302"/>
      <c r="AF1267" s="302"/>
      <c r="AG1267" s="302"/>
      <c r="AH1267" s="302"/>
      <c r="AI1267" s="302"/>
      <c r="AJ1267" s="365"/>
      <c r="AK1267" s="302"/>
      <c r="AL1267" s="302"/>
      <c r="AM1267" s="302"/>
      <c r="AN1267" s="302"/>
      <c r="AO1267" s="302"/>
    </row>
    <row r="1268" spans="5:41" ht="16.5" thickBot="1">
      <c r="E1268" s="598"/>
      <c r="F1268" s="699"/>
      <c r="G1268" s="700"/>
      <c r="H1268" s="598"/>
      <c r="I1268" s="598"/>
      <c r="J1268" s="598"/>
      <c r="K1268" s="598"/>
      <c r="L1268" s="598"/>
      <c r="Q1268" s="541">
        <v>46111</v>
      </c>
      <c r="R1268" s="542">
        <v>0.875</v>
      </c>
      <c r="S1268" s="543" t="s">
        <v>199</v>
      </c>
      <c r="T1268" s="543" t="s">
        <v>891</v>
      </c>
      <c r="U1268" s="544">
        <v>1</v>
      </c>
      <c r="V1268" s="545" t="str">
        <f t="shared" si="668"/>
        <v>bowl</v>
      </c>
      <c r="W1268" s="546">
        <f t="shared" si="669"/>
        <v>280</v>
      </c>
      <c r="X1268" s="546">
        <f t="shared" si="670"/>
        <v>22</v>
      </c>
      <c r="Y1268" s="546">
        <f t="shared" si="671"/>
        <v>8</v>
      </c>
      <c r="Z1268" s="546">
        <f t="shared" si="672"/>
        <v>32</v>
      </c>
      <c r="AA1268" s="546">
        <f t="shared" si="673"/>
        <v>2</v>
      </c>
      <c r="AB1268" s="584">
        <f t="shared" si="674"/>
        <v>0</v>
      </c>
      <c r="AC1268" s="543"/>
      <c r="AE1268" s="725"/>
      <c r="AF1268" s="726"/>
      <c r="AG1268" s="726"/>
      <c r="AH1268" s="726"/>
      <c r="AI1268" s="726"/>
      <c r="AJ1268" s="727"/>
      <c r="AK1268" s="554" t="s">
        <v>166</v>
      </c>
      <c r="AL1268" s="554" t="s">
        <v>167</v>
      </c>
      <c r="AM1268" s="554" t="s">
        <v>168</v>
      </c>
      <c r="AN1268" s="554" t="s">
        <v>169</v>
      </c>
      <c r="AO1268" s="554" t="s">
        <v>170</v>
      </c>
    </row>
    <row r="1269" spans="5:41" ht="16.5" thickBot="1">
      <c r="E1269" s="598"/>
      <c r="F1269" s="699"/>
      <c r="G1269" s="700"/>
      <c r="H1269" s="598"/>
      <c r="I1269" s="598"/>
      <c r="J1269" s="598"/>
      <c r="K1269" s="598"/>
      <c r="L1269" s="598"/>
      <c r="Q1269" s="541">
        <v>46111</v>
      </c>
      <c r="R1269" s="542">
        <v>0.875</v>
      </c>
      <c r="S1269" s="543" t="s">
        <v>199</v>
      </c>
      <c r="T1269" s="543" t="s">
        <v>180</v>
      </c>
      <c r="U1269" s="544">
        <v>255</v>
      </c>
      <c r="V1269" s="545" t="str">
        <f t="shared" si="668"/>
        <v>g</v>
      </c>
      <c r="W1269" s="546">
        <f t="shared" si="669"/>
        <v>331.5</v>
      </c>
      <c r="X1269" s="546">
        <f t="shared" si="670"/>
        <v>6.8849999999999998</v>
      </c>
      <c r="Y1269" s="546">
        <f t="shared" si="671"/>
        <v>0.7649999999999999</v>
      </c>
      <c r="Z1269" s="546">
        <f t="shared" si="672"/>
        <v>71.399999999999991</v>
      </c>
      <c r="AA1269" s="546">
        <f t="shared" si="673"/>
        <v>1.02</v>
      </c>
      <c r="AB1269" s="584">
        <f t="shared" si="674"/>
        <v>0</v>
      </c>
      <c r="AC1269" s="543"/>
      <c r="AE1269" s="730" t="s">
        <v>881</v>
      </c>
      <c r="AF1269" s="731"/>
      <c r="AG1269" s="731"/>
      <c r="AH1269" s="731"/>
      <c r="AI1269" s="731"/>
      <c r="AJ1269" s="732"/>
      <c r="AK1269" s="556">
        <f>AVERAGE(W20,W40,W59,W80,W99,W117,W138,W159,W177,W185,W201,W218,W232,W252,W269,W289,W304,W320,W338,W355,W374,W394,W410,W423,W437,W453,W472,W486,W506,W518,W531,W545,W561,W580,W601,W615,W626,W641,W657,W674,W695,W718,W735,W752,W765,W783,W798,W815,W835,W850,W869,W885,W901,W920,W939,W957,W977,W993,W1005,W1018,W1037,W1055,W1074,W1096,W1104,W1118,W1132,W1149,W1169,W1185,W1198,W1213,W1235,W1254,W1274)</f>
        <v>2622.9597698412686</v>
      </c>
      <c r="AL1269" s="556">
        <f>AVERAGE(X20,X40,X59,X80,X99,X117,X138,X159,X177,X185,X201,X218,X232,X252,X269,X289,X304,X320,X338,X355,X374,X394,X410,X423,X437,X453,X472,X486,X506,X518,X531,X545,X561,X580,X601,X615,X626,X641,X657,X674,X695,X718,X735,X752,X765,X783,X798,X815,X835,X850,X869,X885,X901,X920,X939,X957,X977,X993,X1005,X1018,X1037,X1055,X1074,X1096,X1104,X1118,X1132,X1149,X1169,X1185,X1198,X1213,X1235,X1254,X1274)</f>
        <v>178.23050133333336</v>
      </c>
      <c r="AM1269" s="556">
        <f>AVERAGE(Y20,Y40,Y59,Y80,Y99,Y117,Y138,Y159,Y177,Y185,Y201,Y218,Y232,Y252,Y269,Y289,Y304,Y320,Y338,Y355,Y374,Y394,Y410,Y423,Y437,Y453,Y472,Y486,Y506,Y518,Y531,Y545,Y561,Y580,Y601,Y615,Y626,Y641,Y657,Y674,Y695,Y718,Y735,Y752,Y765,Y783,Y798,Y815,Y835,Y850,Y869,Y885,Y901,Y920,Y939,Y957,Y977,Y993,Y1005,Y1018,Y1037,Y1055,Y1074,Y1096,Y1104,Y1118,Y1132,Y1149,Y1169,Y1185,Y1198,Y1213,Y1235,Y1254,Y1274)</f>
        <v>78.126356232804227</v>
      </c>
      <c r="AN1269" s="556">
        <f>AVERAGE(Z20,Z40,Z59,Z80,Z99,Z117,Z138,Z159,Z177,Z185,Z201,Z218,Z232,Z252,Z269,Z289,Z304,Z320,Z338,Z355,Z374,Z394,Z410,Z423,Z437,Z453,Z472,Z486,Z506,Z518,Z531,Z545,Z561,Z580,Z601,Z615,Z626,Z641,Z657,Z674,Z695,Z718,Z735,Z752,Z765,Z783,Z798,Z815,Z835,Z850,Z869,Z885,Z901,Z920,Z939,Z957,Z977,Z993,Z1005,Z1018,Z1037,Z1055,Z1074,Z1096,Z1104,Z1118,Z1132,Z1149,Z1169,Z1185,Z1198,Z1213,Z1235,Z1254,Z1274)</f>
        <v>298.67952701058198</v>
      </c>
      <c r="AO1269" s="556">
        <f>AVERAGE(AA20,AA40,AA59,AA80,AA99,AA117,AA138,AA159,AA177,AA185,AA201,AA218,AA232,AA252,AA269,AA289,AA304,AA320,AA338,AA355,AA374,AA394,AA410,AA423,AA437,AA453,AA472,AA486,AA506,AA518,AA531,AA545,AA561,AA580,AA601,AA615,AA626,AA641,AA657,AA674,AA695,AA718,AA735,AA752,AA765,AA783,AA798,AA815,AA835,AA850,AA869,AA885,AA901,AA920,AA939,AA957,AA977,AA993,AA1005,AA1018,AA1037,AA1055,AA1074,AA1096,AA1104,AA1118,AA1132,AA1149,AA1169,AA1185,AA1198,AA1213,AA1235,AA1254,AA1274)</f>
        <v>31.838525349206346</v>
      </c>
    </row>
    <row r="1270" spans="5:41" ht="16.5" thickBot="1">
      <c r="E1270" s="598"/>
      <c r="F1270" s="699"/>
      <c r="G1270" s="700"/>
      <c r="H1270" s="598"/>
      <c r="I1270" s="598"/>
      <c r="J1270" s="598"/>
      <c r="K1270" s="598"/>
      <c r="L1270" s="598"/>
      <c r="Q1270" s="541">
        <v>46111</v>
      </c>
      <c r="R1270" s="542">
        <v>0.875</v>
      </c>
      <c r="S1270" s="543" t="s">
        <v>199</v>
      </c>
      <c r="T1270" s="543" t="s">
        <v>176</v>
      </c>
      <c r="U1270" s="544">
        <v>100</v>
      </c>
      <c r="V1270" s="545" t="str">
        <f t="shared" si="668"/>
        <v>g</v>
      </c>
      <c r="W1270" s="546">
        <f t="shared" si="669"/>
        <v>165</v>
      </c>
      <c r="X1270" s="546">
        <f t="shared" si="670"/>
        <v>25</v>
      </c>
      <c r="Y1270" s="546">
        <f t="shared" si="671"/>
        <v>3.6</v>
      </c>
      <c r="Z1270" s="546">
        <f t="shared" si="672"/>
        <v>0</v>
      </c>
      <c r="AA1270" s="546">
        <f t="shared" si="673"/>
        <v>0</v>
      </c>
      <c r="AB1270" s="584">
        <f t="shared" si="674"/>
        <v>0</v>
      </c>
      <c r="AC1270" s="543"/>
      <c r="AE1270" s="733" t="s">
        <v>882</v>
      </c>
      <c r="AF1270" s="734"/>
      <c r="AG1270" s="734"/>
      <c r="AH1270" s="734"/>
      <c r="AI1270" s="734"/>
      <c r="AJ1270" s="735"/>
      <c r="AK1270" s="555">
        <f>$B$27</f>
        <v>2834.5625</v>
      </c>
      <c r="AL1270" s="555">
        <f>$B$29</f>
        <v>154</v>
      </c>
      <c r="AM1270" s="555">
        <f>$B$30</f>
        <v>63.91</v>
      </c>
      <c r="AN1270" s="555">
        <f>$B$31</f>
        <v>410.84312499999999</v>
      </c>
      <c r="AO1270" s="555">
        <f>$B$32</f>
        <v>39.683875</v>
      </c>
    </row>
    <row r="1271" spans="5:41" ht="16.5" thickBot="1">
      <c r="E1271" s="598"/>
      <c r="F1271" s="699"/>
      <c r="G1271" s="700"/>
      <c r="H1271" s="598"/>
      <c r="I1271" s="598"/>
      <c r="J1271" s="598"/>
      <c r="K1271" s="598"/>
      <c r="L1271" s="598"/>
      <c r="Q1271" s="541">
        <v>46111</v>
      </c>
      <c r="R1271" s="542">
        <v>0.95833333333333337</v>
      </c>
      <c r="S1271" s="543" t="s">
        <v>289</v>
      </c>
      <c r="T1271" s="543" t="s">
        <v>209</v>
      </c>
      <c r="U1271" s="544">
        <v>3</v>
      </c>
      <c r="V1271" s="545" t="str">
        <f t="shared" si="668"/>
        <v>tbsp</v>
      </c>
      <c r="W1271" s="546">
        <f t="shared" si="669"/>
        <v>60</v>
      </c>
      <c r="X1271" s="546">
        <f t="shared" si="670"/>
        <v>0</v>
      </c>
      <c r="Y1271" s="546">
        <f t="shared" si="671"/>
        <v>0</v>
      </c>
      <c r="Z1271" s="546">
        <f t="shared" si="672"/>
        <v>15</v>
      </c>
      <c r="AA1271" s="546">
        <f t="shared" si="673"/>
        <v>13.5</v>
      </c>
      <c r="AB1271" s="584">
        <f t="shared" si="674"/>
        <v>0</v>
      </c>
      <c r="AC1271" s="543"/>
      <c r="AE1271" s="733" t="s">
        <v>883</v>
      </c>
      <c r="AF1271" s="734"/>
      <c r="AG1271" s="734"/>
      <c r="AH1271" s="734"/>
      <c r="AI1271" s="734"/>
      <c r="AJ1271" s="735"/>
      <c r="AK1271" s="558">
        <f>AK1269-AK1270</f>
        <v>-211.60273015873145</v>
      </c>
      <c r="AL1271" s="560">
        <f>AL1269-AL1270</f>
        <v>24.230501333333365</v>
      </c>
      <c r="AM1271" s="560">
        <f>AM1269-AM1270</f>
        <v>14.21635623280423</v>
      </c>
      <c r="AN1271" s="558">
        <f>AN1269-AN1270</f>
        <v>-112.16359798941801</v>
      </c>
      <c r="AO1271" s="558">
        <f>AO1269-AO1270</f>
        <v>-7.8453496507936542</v>
      </c>
    </row>
    <row r="1272" spans="5:41" ht="16.5" thickBot="1">
      <c r="E1272" s="598"/>
      <c r="F1272" s="699"/>
      <c r="G1272" s="700"/>
      <c r="H1272" s="598"/>
      <c r="I1272" s="598"/>
      <c r="J1272" s="598"/>
      <c r="K1272" s="598"/>
      <c r="L1272" s="598"/>
      <c r="Q1272" s="541">
        <v>46111</v>
      </c>
      <c r="R1272" s="542">
        <v>0.95833333333333337</v>
      </c>
      <c r="S1272" s="543" t="s">
        <v>289</v>
      </c>
      <c r="T1272" s="543" t="s">
        <v>212</v>
      </c>
      <c r="U1272" s="544">
        <v>1</v>
      </c>
      <c r="V1272" s="545" t="str">
        <f t="shared" si="668"/>
        <v>bottle</v>
      </c>
      <c r="W1272" s="546">
        <f t="shared" si="669"/>
        <v>70</v>
      </c>
      <c r="X1272" s="546">
        <f t="shared" si="670"/>
        <v>0</v>
      </c>
      <c r="Y1272" s="546">
        <f t="shared" si="671"/>
        <v>0</v>
      </c>
      <c r="Z1272" s="546">
        <f t="shared" si="672"/>
        <v>17</v>
      </c>
      <c r="AA1272" s="546">
        <f t="shared" si="673"/>
        <v>1</v>
      </c>
      <c r="AB1272" s="584">
        <f t="shared" si="674"/>
        <v>0</v>
      </c>
      <c r="AC1272" s="543"/>
      <c r="AE1272" s="733" t="s">
        <v>884</v>
      </c>
      <c r="AF1272" s="734"/>
      <c r="AG1272" s="734"/>
      <c r="AH1272" s="734"/>
      <c r="AI1272" s="734"/>
      <c r="AJ1272" s="735"/>
      <c r="AK1272" s="557">
        <f>AK1269/AK1270</f>
        <v>0.92534906880383427</v>
      </c>
      <c r="AL1272" s="557">
        <f>AL1269/AL1270</f>
        <v>1.157340917748918</v>
      </c>
      <c r="AM1272" s="557">
        <f>AM1269/AM1270</f>
        <v>1.2224433771366645</v>
      </c>
      <c r="AN1272" s="557">
        <f>AN1269/AN1270</f>
        <v>0.72699166381470293</v>
      </c>
      <c r="AO1272" s="557">
        <f>AO1269/AO1270</f>
        <v>0.80230384127574095</v>
      </c>
    </row>
    <row r="1273" spans="5:41">
      <c r="E1273" s="598"/>
      <c r="F1273" s="699"/>
      <c r="G1273" s="700"/>
      <c r="H1273" s="598"/>
      <c r="I1273" s="598"/>
      <c r="J1273" s="598"/>
      <c r="K1273" s="598"/>
      <c r="L1273" s="598"/>
      <c r="Q1273" s="541">
        <v>46111</v>
      </c>
      <c r="R1273" s="542">
        <v>0.95833333333333337</v>
      </c>
      <c r="S1273" s="543" t="s">
        <v>289</v>
      </c>
      <c r="T1273" s="543" t="s">
        <v>461</v>
      </c>
      <c r="U1273" s="544">
        <v>1</v>
      </c>
      <c r="V1273" s="545" t="str">
        <f t="shared" si="668"/>
        <v>chunks</v>
      </c>
      <c r="W1273" s="546">
        <f t="shared" si="669"/>
        <v>24.285714285714285</v>
      </c>
      <c r="X1273" s="546">
        <f t="shared" si="670"/>
        <v>0.42857142857142855</v>
      </c>
      <c r="Y1273" s="546">
        <f t="shared" si="671"/>
        <v>1.4285714285714284</v>
      </c>
      <c r="Z1273" s="546">
        <f t="shared" si="672"/>
        <v>2.5714285714285712</v>
      </c>
      <c r="AA1273" s="546">
        <f t="shared" si="673"/>
        <v>7.1428571428571425E-2</v>
      </c>
      <c r="AB1273" s="684">
        <f t="shared" si="674"/>
        <v>0</v>
      </c>
      <c r="AC1273" s="543"/>
      <c r="AE1273" s="736" t="s">
        <v>885</v>
      </c>
      <c r="AF1273" s="737"/>
      <c r="AG1273" s="737"/>
      <c r="AH1273" s="737"/>
      <c r="AI1273" s="737"/>
      <c r="AJ1273" s="738"/>
      <c r="AK1273" s="559" t="str">
        <f>IF(ABS(AK1272)&lt;=0.1,"✅ YES","❌ NO")</f>
        <v>❌ NO</v>
      </c>
      <c r="AL1273" s="561" t="str">
        <f>IF(ABS(AL1272)&lt;=0.1,"✅ YES","❌ NO")</f>
        <v>❌ NO</v>
      </c>
      <c r="AM1273" s="561" t="str">
        <f>IF(ABS(AM1272)&lt;=0.1,"✅ YES","❌ NO")</f>
        <v>❌ NO</v>
      </c>
      <c r="AN1273" s="561" t="str">
        <f>IF(ABS(AN1272)&lt;=0.1,"✅ YES","❌ NO")</f>
        <v>❌ NO</v>
      </c>
      <c r="AO1273" s="561" t="str">
        <f>IF(ABS(AO1272)&lt;=0.1,"✅ YES","❌ NO")</f>
        <v>❌ NO</v>
      </c>
    </row>
    <row r="1274" spans="5:41">
      <c r="E1274" s="598"/>
      <c r="F1274" s="699"/>
      <c r="G1274" s="700"/>
      <c r="H1274" s="598"/>
      <c r="I1274" s="598"/>
      <c r="J1274" s="598"/>
      <c r="K1274" s="598"/>
      <c r="L1274" s="598"/>
      <c r="Q1274" s="547"/>
      <c r="R1274" s="548" t="s">
        <v>217</v>
      </c>
      <c r="S1274" s="549"/>
      <c r="T1274" s="550"/>
      <c r="U1274" s="550"/>
      <c r="V1274" s="551"/>
      <c r="W1274" s="552">
        <f t="shared" ref="W1274:AB1274" si="675">SUM(W1257:W1273)</f>
        <v>2638.8571428571427</v>
      </c>
      <c r="X1274" s="552">
        <f t="shared" si="675"/>
        <v>170.67071428571427</v>
      </c>
      <c r="Y1274" s="552">
        <f t="shared" si="675"/>
        <v>49.200714285714284</v>
      </c>
      <c r="Z1274" s="552">
        <f t="shared" si="675"/>
        <v>354.81428571428569</v>
      </c>
      <c r="AA1274" s="686">
        <f t="shared" si="675"/>
        <v>31.334285714285716</v>
      </c>
      <c r="AB1274" s="691">
        <f t="shared" si="675"/>
        <v>7.5</v>
      </c>
      <c r="AC1274" s="548"/>
      <c r="AE1274" s="302"/>
      <c r="AF1274" s="302"/>
      <c r="AG1274" s="302"/>
      <c r="AH1274" s="302"/>
      <c r="AI1274" s="302"/>
      <c r="AJ1274" s="365"/>
      <c r="AK1274" s="302"/>
      <c r="AL1274" s="302"/>
      <c r="AM1274" s="302"/>
      <c r="AN1274" s="302"/>
      <c r="AO1274" s="302"/>
    </row>
    <row r="1275" spans="5:41">
      <c r="E1275" s="598"/>
      <c r="F1275" s="699"/>
      <c r="G1275" s="700"/>
      <c r="H1275" s="598"/>
      <c r="I1275" s="598"/>
      <c r="J1275" s="598"/>
      <c r="K1275" s="598"/>
      <c r="L1275" s="598"/>
      <c r="Q1275" s="547"/>
      <c r="R1275" s="548" t="s">
        <v>220</v>
      </c>
      <c r="S1275" s="549"/>
      <c r="T1275" s="550"/>
      <c r="U1275" s="550"/>
      <c r="V1275" s="551"/>
      <c r="W1275" s="553">
        <f>$B$27</f>
        <v>2834.5625</v>
      </c>
      <c r="X1275" s="553">
        <f>$B$29</f>
        <v>154</v>
      </c>
      <c r="Y1275" s="553">
        <f>$B$30</f>
        <v>63.91</v>
      </c>
      <c r="Z1275" s="553">
        <f>$B$31</f>
        <v>410.84312499999999</v>
      </c>
      <c r="AA1275" s="693">
        <f>$B$32</f>
        <v>39.683875</v>
      </c>
      <c r="AB1275" s="695">
        <f>$B$39</f>
        <v>500</v>
      </c>
      <c r="AC1275" s="548"/>
      <c r="AE1275" s="728" t="s">
        <v>886</v>
      </c>
      <c r="AF1275" s="729"/>
      <c r="AG1275" s="729"/>
      <c r="AH1275" s="729"/>
      <c r="AI1275" s="729"/>
      <c r="AJ1275" s="729"/>
      <c r="AK1275" s="729"/>
      <c r="AL1275" s="729"/>
      <c r="AM1275" s="729"/>
      <c r="AN1275" s="729"/>
      <c r="AO1275" s="729"/>
    </row>
    <row r="1276" spans="5:41">
      <c r="E1276" s="598"/>
      <c r="F1276" s="699"/>
      <c r="G1276" s="700"/>
      <c r="H1276" s="598"/>
      <c r="I1276" s="598"/>
      <c r="J1276" s="598"/>
      <c r="K1276" s="598"/>
      <c r="L1276" s="598"/>
      <c r="Q1276" s="547"/>
      <c r="R1276" s="548" t="s">
        <v>222</v>
      </c>
      <c r="S1276" s="549"/>
      <c r="T1276" s="550"/>
      <c r="U1276" s="550"/>
      <c r="V1276" s="551"/>
      <c r="W1276" s="284">
        <f t="shared" ref="W1276:AB1276" si="676">W1274-W1275</f>
        <v>-195.70535714285734</v>
      </c>
      <c r="X1276" s="284">
        <f t="shared" si="676"/>
        <v>16.670714285714268</v>
      </c>
      <c r="Y1276" s="284">
        <f t="shared" si="676"/>
        <v>-14.709285714285713</v>
      </c>
      <c r="Z1276" s="284">
        <f t="shared" si="676"/>
        <v>-56.028839285714298</v>
      </c>
      <c r="AA1276" s="690">
        <f t="shared" si="676"/>
        <v>-8.3495892857142842</v>
      </c>
      <c r="AB1276" s="689">
        <f t="shared" si="676"/>
        <v>-492.5</v>
      </c>
      <c r="AC1276" s="548"/>
    </row>
    <row r="1277" spans="5:41">
      <c r="E1277" s="598"/>
      <c r="F1277" s="699"/>
      <c r="G1277" s="700"/>
      <c r="H1277" s="598"/>
      <c r="I1277" s="598"/>
      <c r="J1277" s="598"/>
      <c r="K1277" s="598"/>
      <c r="L1277" s="598"/>
      <c r="Q1277" s="563">
        <v>46112</v>
      </c>
      <c r="R1277" s="564">
        <v>0.33333333333333331</v>
      </c>
      <c r="S1277" s="565" t="s">
        <v>178</v>
      </c>
      <c r="T1277" s="565" t="s">
        <v>295</v>
      </c>
      <c r="U1277" s="566">
        <v>1</v>
      </c>
      <c r="V1277" s="567" t="str">
        <f t="shared" ref="V1277:V1291" si="677">IFERROR(VLOOKUP(T1277, $E$5:$L$818, 3, FALSE), "")</f>
        <v>bottle</v>
      </c>
      <c r="W1277" s="568">
        <f t="shared" ref="W1277:W1291" si="678">IFERROR(VLOOKUP(T1277, $E$5:$L$818, 4, FALSE) * (U1277 / VLOOKUP(T1277, $E$5:$L$818, 2, FALSE)), "")</f>
        <v>200</v>
      </c>
      <c r="X1277" s="568">
        <f t="shared" ref="X1277:X1291" si="679">IFERROR(VLOOKUP(T1277, $E$5:$L$818, 5, FALSE) * (U1277 / VLOOKUP(T1277, $E$5:$L$818, 2, FALSE)), "")</f>
        <v>35</v>
      </c>
      <c r="Y1277" s="568">
        <f t="shared" ref="Y1277:Y1291" si="680">IFERROR(VLOOKUP(T1277, $E$5:$L$818, 6, FALSE) * (U1277 / VLOOKUP(T1277, $E$5:$L$818, 2, FALSE)), "")</f>
        <v>2.5</v>
      </c>
      <c r="Z1277" s="568">
        <f t="shared" ref="Z1277:Z1291" si="681">IFERROR(VLOOKUP(T1277, $E$5:$L$818, 7, FALSE) * (U1277 / VLOOKUP(T1277, $E$5:$L$818, 2, FALSE)), "")</f>
        <v>9</v>
      </c>
      <c r="AA1277" s="568">
        <f t="shared" ref="AA1277:AA1291" si="682">IFERROR(VLOOKUP(T1277, $E$5:$L$818, 8, FALSE) * (U1277 / VLOOKUP(T1277, $E$5:$L$818, 2, FALSE)), "")</f>
        <v>0</v>
      </c>
      <c r="AB1277" s="674">
        <f t="shared" ref="AB1277:AB1294" si="683">IFERROR(VLOOKUP(T1277, $E$5:$O$818, 9, FALSE) * (U1277 / VLOOKUP(T1277, $E$5:$O$818, 2, FALSE)), "")</f>
        <v>0</v>
      </c>
      <c r="AC1277" s="565"/>
    </row>
    <row r="1278" spans="5:41">
      <c r="E1278" s="598"/>
      <c r="F1278" s="699"/>
      <c r="G1278" s="700"/>
      <c r="H1278" s="598"/>
      <c r="I1278" s="598"/>
      <c r="J1278" s="598"/>
      <c r="K1278" s="598"/>
      <c r="L1278" s="598"/>
      <c r="Q1278" s="563">
        <v>46112</v>
      </c>
      <c r="R1278" s="564">
        <v>0.33333333333333298</v>
      </c>
      <c r="S1278" s="565" t="s">
        <v>178</v>
      </c>
      <c r="T1278" s="565" t="s">
        <v>181</v>
      </c>
      <c r="U1278" s="566">
        <v>4</v>
      </c>
      <c r="V1278" s="567" t="str">
        <f t="shared" si="677"/>
        <v>slice</v>
      </c>
      <c r="W1278" s="568">
        <f t="shared" si="678"/>
        <v>280</v>
      </c>
      <c r="X1278" s="568">
        <f t="shared" si="679"/>
        <v>10</v>
      </c>
      <c r="Y1278" s="568">
        <f t="shared" si="680"/>
        <v>5</v>
      </c>
      <c r="Z1278" s="568">
        <f t="shared" si="681"/>
        <v>48</v>
      </c>
      <c r="AA1278" s="568">
        <f t="shared" si="682"/>
        <v>4</v>
      </c>
      <c r="AB1278" s="584">
        <f t="shared" si="683"/>
        <v>0</v>
      </c>
      <c r="AC1278" s="565"/>
    </row>
    <row r="1279" spans="5:41">
      <c r="E1279" s="598"/>
      <c r="F1279" s="699"/>
      <c r="G1279" s="700"/>
      <c r="H1279" s="598"/>
      <c r="I1279" s="598"/>
      <c r="J1279" s="598"/>
      <c r="K1279" s="598"/>
      <c r="L1279" s="598"/>
      <c r="Q1279" s="563">
        <v>46112</v>
      </c>
      <c r="R1279" s="564">
        <v>0.33333333333333298</v>
      </c>
      <c r="S1279" s="565" t="s">
        <v>178</v>
      </c>
      <c r="T1279" s="565" t="s">
        <v>893</v>
      </c>
      <c r="U1279" s="566">
        <v>50</v>
      </c>
      <c r="V1279" s="567" t="str">
        <f t="shared" si="677"/>
        <v>g</v>
      </c>
      <c r="W1279" s="568">
        <f t="shared" si="678"/>
        <v>10</v>
      </c>
      <c r="X1279" s="568">
        <f t="shared" si="679"/>
        <v>1</v>
      </c>
      <c r="Y1279" s="568">
        <f t="shared" si="680"/>
        <v>0</v>
      </c>
      <c r="Z1279" s="568">
        <f t="shared" si="681"/>
        <v>2</v>
      </c>
      <c r="AA1279" s="568">
        <f t="shared" si="682"/>
        <v>1</v>
      </c>
      <c r="AB1279" s="584">
        <f t="shared" si="683"/>
        <v>0</v>
      </c>
      <c r="AC1279" s="565"/>
    </row>
    <row r="1280" spans="5:41">
      <c r="E1280" s="598"/>
      <c r="F1280" s="699"/>
      <c r="G1280" s="700"/>
      <c r="H1280" s="598"/>
      <c r="I1280" s="598"/>
      <c r="J1280" s="598"/>
      <c r="K1280" s="598"/>
      <c r="L1280" s="598"/>
      <c r="Q1280" s="563">
        <v>46112</v>
      </c>
      <c r="R1280" s="564">
        <v>0.33333333333333298</v>
      </c>
      <c r="S1280" s="565" t="s">
        <v>178</v>
      </c>
      <c r="T1280" s="565" t="s">
        <v>894</v>
      </c>
      <c r="U1280" s="566">
        <v>3</v>
      </c>
      <c r="V1280" s="567" t="str">
        <f t="shared" si="677"/>
        <v>large</v>
      </c>
      <c r="W1280" s="568">
        <f t="shared" si="678"/>
        <v>51</v>
      </c>
      <c r="X1280" s="568">
        <f t="shared" si="679"/>
        <v>11</v>
      </c>
      <c r="Y1280" s="568">
        <f t="shared" si="680"/>
        <v>0</v>
      </c>
      <c r="Z1280" s="568">
        <f t="shared" si="681"/>
        <v>1</v>
      </c>
      <c r="AA1280" s="568">
        <f t="shared" si="682"/>
        <v>0</v>
      </c>
      <c r="AB1280" s="584">
        <f t="shared" si="683"/>
        <v>0</v>
      </c>
      <c r="AC1280" s="565"/>
    </row>
    <row r="1281" spans="5:29">
      <c r="E1281" s="598"/>
      <c r="F1281" s="699"/>
      <c r="G1281" s="700"/>
      <c r="H1281" s="598"/>
      <c r="I1281" s="598"/>
      <c r="J1281" s="598"/>
      <c r="K1281" s="598"/>
      <c r="L1281" s="598"/>
      <c r="Q1281" s="563">
        <v>46112</v>
      </c>
      <c r="R1281" s="564">
        <v>0.33333333333333298</v>
      </c>
      <c r="S1281" s="565" t="s">
        <v>178</v>
      </c>
      <c r="T1281" s="565" t="s">
        <v>896</v>
      </c>
      <c r="U1281" s="566">
        <v>10</v>
      </c>
      <c r="V1281" s="567" t="str">
        <f t="shared" si="677"/>
        <v>pieces</v>
      </c>
      <c r="W1281" s="568">
        <f t="shared" si="678"/>
        <v>30</v>
      </c>
      <c r="X1281" s="568">
        <f t="shared" si="679"/>
        <v>1</v>
      </c>
      <c r="Y1281" s="568">
        <f t="shared" si="680"/>
        <v>0</v>
      </c>
      <c r="Z1281" s="568">
        <f t="shared" si="681"/>
        <v>6</v>
      </c>
      <c r="AA1281" s="568">
        <f t="shared" si="682"/>
        <v>2</v>
      </c>
      <c r="AB1281" s="584">
        <f t="shared" si="683"/>
        <v>0</v>
      </c>
      <c r="AC1281" s="565"/>
    </row>
    <row r="1282" spans="5:29">
      <c r="E1282" s="598"/>
      <c r="F1282" s="699"/>
      <c r="G1282" s="700"/>
      <c r="H1282" s="598"/>
      <c r="I1282" s="598"/>
      <c r="J1282" s="598"/>
      <c r="K1282" s="598"/>
      <c r="L1282" s="598"/>
      <c r="Q1282" s="563">
        <v>46112</v>
      </c>
      <c r="R1282" s="564">
        <v>0.54166666666666663</v>
      </c>
      <c r="S1282" s="565" t="s">
        <v>185</v>
      </c>
      <c r="T1282" s="565" t="s">
        <v>891</v>
      </c>
      <c r="U1282" s="566">
        <v>1</v>
      </c>
      <c r="V1282" s="567" t="str">
        <f t="shared" si="677"/>
        <v>bowl</v>
      </c>
      <c r="W1282" s="568">
        <f t="shared" si="678"/>
        <v>280</v>
      </c>
      <c r="X1282" s="568">
        <f t="shared" si="679"/>
        <v>22</v>
      </c>
      <c r="Y1282" s="568">
        <f t="shared" si="680"/>
        <v>8</v>
      </c>
      <c r="Z1282" s="568">
        <f t="shared" si="681"/>
        <v>32</v>
      </c>
      <c r="AA1282" s="568">
        <f t="shared" si="682"/>
        <v>2</v>
      </c>
      <c r="AB1282" s="584">
        <f t="shared" si="683"/>
        <v>0</v>
      </c>
      <c r="AC1282" s="565"/>
    </row>
    <row r="1283" spans="5:29">
      <c r="E1283" s="598"/>
      <c r="F1283" s="699"/>
      <c r="G1283" s="700"/>
      <c r="H1283" s="598"/>
      <c r="I1283" s="598"/>
      <c r="J1283" s="598"/>
      <c r="K1283" s="598"/>
      <c r="L1283" s="598"/>
      <c r="Q1283" s="563">
        <v>46112</v>
      </c>
      <c r="R1283" s="564">
        <v>0.58333333333333337</v>
      </c>
      <c r="S1283" s="565" t="s">
        <v>185</v>
      </c>
      <c r="T1283" s="565" t="s">
        <v>181</v>
      </c>
      <c r="U1283" s="566">
        <v>2</v>
      </c>
      <c r="V1283" s="567" t="str">
        <f t="shared" si="677"/>
        <v>slice</v>
      </c>
      <c r="W1283" s="568">
        <f t="shared" si="678"/>
        <v>140</v>
      </c>
      <c r="X1283" s="568">
        <f t="shared" si="679"/>
        <v>5</v>
      </c>
      <c r="Y1283" s="568">
        <f t="shared" si="680"/>
        <v>2.5</v>
      </c>
      <c r="Z1283" s="568">
        <f t="shared" si="681"/>
        <v>24</v>
      </c>
      <c r="AA1283" s="568">
        <f t="shared" si="682"/>
        <v>2</v>
      </c>
      <c r="AB1283" s="584">
        <f t="shared" si="683"/>
        <v>0</v>
      </c>
      <c r="AC1283" s="565"/>
    </row>
    <row r="1284" spans="5:29">
      <c r="E1284" s="598"/>
      <c r="F1284" s="699"/>
      <c r="G1284" s="700"/>
      <c r="H1284" s="598"/>
      <c r="I1284" s="598"/>
      <c r="J1284" s="598"/>
      <c r="K1284" s="598"/>
      <c r="L1284" s="598"/>
      <c r="Q1284" s="563">
        <v>46112</v>
      </c>
      <c r="R1284" s="564">
        <v>0.58333333333333304</v>
      </c>
      <c r="S1284" s="565" t="s">
        <v>185</v>
      </c>
      <c r="T1284" s="565" t="s">
        <v>855</v>
      </c>
      <c r="U1284" s="566">
        <v>150</v>
      </c>
      <c r="V1284" s="567" t="str">
        <f t="shared" si="677"/>
        <v>g</v>
      </c>
      <c r="W1284" s="568">
        <f t="shared" si="678"/>
        <v>90</v>
      </c>
      <c r="X1284" s="568">
        <f t="shared" si="679"/>
        <v>1.5</v>
      </c>
      <c r="Y1284" s="568">
        <f t="shared" si="680"/>
        <v>0</v>
      </c>
      <c r="Z1284" s="568">
        <f t="shared" si="681"/>
        <v>22.5</v>
      </c>
      <c r="AA1284" s="568">
        <f t="shared" si="682"/>
        <v>3</v>
      </c>
      <c r="AB1284" s="584">
        <f t="shared" si="683"/>
        <v>0</v>
      </c>
      <c r="AC1284" s="565"/>
    </row>
    <row r="1285" spans="5:29">
      <c r="E1285" s="598"/>
      <c r="F1285" s="699"/>
      <c r="G1285" s="700"/>
      <c r="H1285" s="598"/>
      <c r="I1285" s="598"/>
      <c r="J1285" s="598"/>
      <c r="K1285" s="598"/>
      <c r="L1285" s="598"/>
      <c r="Q1285" s="563">
        <v>46112</v>
      </c>
      <c r="R1285" s="564">
        <v>0.58333333333333304</v>
      </c>
      <c r="S1285" s="565" t="s">
        <v>185</v>
      </c>
      <c r="T1285" s="565" t="s">
        <v>190</v>
      </c>
      <c r="U1285" s="566">
        <v>1.5</v>
      </c>
      <c r="V1285" s="567" t="str">
        <f t="shared" si="677"/>
        <v>medium</v>
      </c>
      <c r="W1285" s="568">
        <f t="shared" si="678"/>
        <v>93</v>
      </c>
      <c r="X1285" s="568">
        <f t="shared" si="679"/>
        <v>1.7999999999999998</v>
      </c>
      <c r="Y1285" s="568">
        <f t="shared" si="680"/>
        <v>0.30000000000000004</v>
      </c>
      <c r="Z1285" s="568">
        <f t="shared" si="681"/>
        <v>23.1</v>
      </c>
      <c r="AA1285" s="568">
        <f t="shared" si="682"/>
        <v>4.6500000000000004</v>
      </c>
      <c r="AB1285" s="584">
        <f t="shared" si="683"/>
        <v>0</v>
      </c>
      <c r="AC1285" s="565"/>
    </row>
    <row r="1286" spans="5:29">
      <c r="E1286" s="598"/>
      <c r="F1286" s="699"/>
      <c r="G1286" s="700"/>
      <c r="H1286" s="598"/>
      <c r="I1286" s="598"/>
      <c r="J1286" s="598"/>
      <c r="K1286" s="598"/>
      <c r="L1286" s="598"/>
      <c r="Q1286" s="563">
        <v>46112</v>
      </c>
      <c r="R1286" s="564">
        <v>0.58333333333333304</v>
      </c>
      <c r="S1286" s="565" t="s">
        <v>185</v>
      </c>
      <c r="T1286" s="565" t="s">
        <v>460</v>
      </c>
      <c r="U1286" s="566">
        <v>25</v>
      </c>
      <c r="V1286" s="567" t="str">
        <f t="shared" si="677"/>
        <v>g</v>
      </c>
      <c r="W1286" s="568">
        <f t="shared" si="678"/>
        <v>12.5</v>
      </c>
      <c r="X1286" s="568">
        <f t="shared" si="679"/>
        <v>0.2</v>
      </c>
      <c r="Y1286" s="568">
        <f t="shared" si="680"/>
        <v>0.05</v>
      </c>
      <c r="Z1286" s="568">
        <f t="shared" si="681"/>
        <v>3</v>
      </c>
      <c r="AA1286" s="568">
        <f t="shared" si="682"/>
        <v>1.35</v>
      </c>
      <c r="AB1286" s="584">
        <f t="shared" si="683"/>
        <v>0</v>
      </c>
      <c r="AC1286" s="565"/>
    </row>
    <row r="1287" spans="5:29">
      <c r="E1287" s="598"/>
      <c r="F1287" s="699"/>
      <c r="G1287" s="700"/>
      <c r="H1287" s="598"/>
      <c r="I1287" s="598"/>
      <c r="J1287" s="598"/>
      <c r="K1287" s="598"/>
      <c r="L1287" s="598"/>
      <c r="Q1287" s="563">
        <v>46112</v>
      </c>
      <c r="R1287" s="564">
        <v>0.58333333333333304</v>
      </c>
      <c r="S1287" s="565" t="s">
        <v>185</v>
      </c>
      <c r="T1287" s="565" t="s">
        <v>810</v>
      </c>
      <c r="U1287" s="566">
        <v>100</v>
      </c>
      <c r="V1287" s="567" t="str">
        <f t="shared" si="677"/>
        <v>g</v>
      </c>
      <c r="W1287" s="568">
        <f t="shared" si="678"/>
        <v>66.666666666666657</v>
      </c>
      <c r="X1287" s="568">
        <f t="shared" si="679"/>
        <v>4</v>
      </c>
      <c r="Y1287" s="568">
        <f t="shared" si="680"/>
        <v>1.6666666666666665</v>
      </c>
      <c r="Z1287" s="568">
        <f t="shared" si="681"/>
        <v>8</v>
      </c>
      <c r="AA1287" s="568">
        <f t="shared" si="682"/>
        <v>0</v>
      </c>
      <c r="AB1287" s="584">
        <f t="shared" si="683"/>
        <v>0</v>
      </c>
      <c r="AC1287" s="565"/>
    </row>
    <row r="1288" spans="5:29">
      <c r="E1288" s="598"/>
      <c r="F1288" s="699"/>
      <c r="G1288" s="700"/>
      <c r="H1288" s="598"/>
      <c r="I1288" s="598"/>
      <c r="J1288" s="598"/>
      <c r="K1288" s="598"/>
      <c r="L1288" s="598"/>
      <c r="Q1288" s="563">
        <v>46112</v>
      </c>
      <c r="R1288" s="564">
        <v>0.58333333333333304</v>
      </c>
      <c r="S1288" s="565" t="s">
        <v>185</v>
      </c>
      <c r="T1288" s="565" t="s">
        <v>463</v>
      </c>
      <c r="U1288" s="566">
        <v>1</v>
      </c>
      <c r="V1288" s="567" t="str">
        <f t="shared" si="677"/>
        <v>bottle</v>
      </c>
      <c r="W1288" s="568">
        <f t="shared" si="678"/>
        <v>190</v>
      </c>
      <c r="X1288" s="568">
        <f t="shared" si="679"/>
        <v>35</v>
      </c>
      <c r="Y1288" s="568">
        <f t="shared" si="680"/>
        <v>2</v>
      </c>
      <c r="Z1288" s="568">
        <f t="shared" si="681"/>
        <v>9</v>
      </c>
      <c r="AA1288" s="568">
        <f t="shared" si="682"/>
        <v>0</v>
      </c>
      <c r="AB1288" s="584">
        <f t="shared" si="683"/>
        <v>0</v>
      </c>
      <c r="AC1288" s="565"/>
    </row>
    <row r="1289" spans="5:29">
      <c r="E1289" s="598"/>
      <c r="F1289" s="699"/>
      <c r="G1289" s="700"/>
      <c r="H1289" s="598"/>
      <c r="I1289" s="598"/>
      <c r="J1289" s="598"/>
      <c r="K1289" s="598"/>
      <c r="L1289" s="598"/>
      <c r="Q1289" s="563">
        <v>46112</v>
      </c>
      <c r="R1289" s="564">
        <v>0.70833333333333337</v>
      </c>
      <c r="S1289" s="565" t="s">
        <v>289</v>
      </c>
      <c r="T1289" s="565" t="s">
        <v>181</v>
      </c>
      <c r="U1289" s="566">
        <v>2</v>
      </c>
      <c r="V1289" s="567" t="str">
        <f t="shared" si="677"/>
        <v>slice</v>
      </c>
      <c r="W1289" s="568">
        <f t="shared" si="678"/>
        <v>140</v>
      </c>
      <c r="X1289" s="568">
        <f t="shared" si="679"/>
        <v>5</v>
      </c>
      <c r="Y1289" s="568">
        <f t="shared" si="680"/>
        <v>2.5</v>
      </c>
      <c r="Z1289" s="568">
        <f t="shared" si="681"/>
        <v>24</v>
      </c>
      <c r="AA1289" s="568">
        <f t="shared" si="682"/>
        <v>2</v>
      </c>
      <c r="AB1289" s="584">
        <f t="shared" si="683"/>
        <v>0</v>
      </c>
      <c r="AC1289" s="565"/>
    </row>
    <row r="1290" spans="5:29">
      <c r="E1290" s="598"/>
      <c r="F1290" s="699"/>
      <c r="G1290" s="700"/>
      <c r="H1290" s="598"/>
      <c r="I1290" s="598"/>
      <c r="J1290" s="598"/>
      <c r="K1290" s="598"/>
      <c r="L1290" s="598"/>
      <c r="Q1290" s="563">
        <v>46112</v>
      </c>
      <c r="R1290" s="564">
        <v>0.70833333333333304</v>
      </c>
      <c r="S1290" s="565" t="s">
        <v>289</v>
      </c>
      <c r="T1290" s="565" t="s">
        <v>176</v>
      </c>
      <c r="U1290" s="566"/>
      <c r="V1290" s="567" t="str">
        <f t="shared" si="677"/>
        <v>g</v>
      </c>
      <c r="W1290" s="568">
        <f t="shared" si="678"/>
        <v>0</v>
      </c>
      <c r="X1290" s="568">
        <f t="shared" si="679"/>
        <v>0</v>
      </c>
      <c r="Y1290" s="568">
        <f t="shared" si="680"/>
        <v>0</v>
      </c>
      <c r="Z1290" s="568">
        <f t="shared" si="681"/>
        <v>0</v>
      </c>
      <c r="AA1290" s="568">
        <f t="shared" si="682"/>
        <v>0</v>
      </c>
      <c r="AB1290" s="584">
        <f t="shared" si="683"/>
        <v>0</v>
      </c>
      <c r="AC1290" s="565"/>
    </row>
    <row r="1291" spans="5:29">
      <c r="E1291" s="598"/>
      <c r="F1291" s="699"/>
      <c r="G1291" s="700"/>
      <c r="H1291" s="598"/>
      <c r="I1291" s="598"/>
      <c r="J1291" s="598"/>
      <c r="K1291" s="598"/>
      <c r="L1291" s="598"/>
      <c r="Q1291" s="563">
        <v>46112</v>
      </c>
      <c r="R1291" s="564">
        <v>0.70833333333333304</v>
      </c>
      <c r="S1291" s="565" t="s">
        <v>289</v>
      </c>
      <c r="T1291" s="565" t="s">
        <v>468</v>
      </c>
      <c r="U1291" s="566">
        <v>2</v>
      </c>
      <c r="V1291" s="567" t="str">
        <f t="shared" si="677"/>
        <v>apple</v>
      </c>
      <c r="W1291" s="568">
        <f t="shared" si="678"/>
        <v>190</v>
      </c>
      <c r="X1291" s="568">
        <f t="shared" si="679"/>
        <v>1</v>
      </c>
      <c r="Y1291" s="568">
        <f t="shared" si="680"/>
        <v>0.6</v>
      </c>
      <c r="Z1291" s="568">
        <f t="shared" si="681"/>
        <v>50</v>
      </c>
      <c r="AA1291" s="568">
        <f t="shared" si="682"/>
        <v>8</v>
      </c>
      <c r="AB1291" s="584">
        <f t="shared" si="683"/>
        <v>0</v>
      </c>
      <c r="AC1291" s="565"/>
    </row>
    <row r="1292" spans="5:29">
      <c r="E1292" s="598"/>
      <c r="F1292" s="699"/>
      <c r="G1292" s="700"/>
      <c r="H1292" s="598"/>
      <c r="I1292" s="598"/>
      <c r="J1292" s="598"/>
      <c r="K1292" s="598"/>
      <c r="L1292" s="598"/>
      <c r="Q1292" s="563">
        <v>46112</v>
      </c>
      <c r="R1292" s="564">
        <v>0.70833333333333304</v>
      </c>
      <c r="S1292" s="565" t="s">
        <v>289</v>
      </c>
      <c r="T1292" s="565" t="s">
        <v>180</v>
      </c>
      <c r="U1292" s="566">
        <v>250</v>
      </c>
      <c r="V1292" s="567" t="str">
        <f>IFERROR(VLOOKUP(T1292, $E$5:$L$818, 3, FALSE), "")</f>
        <v>g</v>
      </c>
      <c r="W1292" s="568">
        <f>IFERROR(VLOOKUP(T1292, $E$5:$L$818, 4, FALSE) * (U1292 / VLOOKUP(T1292, $E$5:$L$818, 2, FALSE)), "")</f>
        <v>325</v>
      </c>
      <c r="X1292" s="568">
        <f>IFERROR(VLOOKUP(T1292, $E$5:$L$818, 5, FALSE) * (U1292 / VLOOKUP(T1292, $E$5:$L$818, 2, FALSE)), "")</f>
        <v>6.75</v>
      </c>
      <c r="Y1292" s="568">
        <f>IFERROR(VLOOKUP(T1292, $E$5:$L$818, 6, FALSE) * (U1292 / VLOOKUP(T1292, $E$5:$L$818, 2, FALSE)), "")</f>
        <v>0.75</v>
      </c>
      <c r="Z1292" s="568">
        <f>IFERROR(VLOOKUP(T1292, $E$5:$L$818, 7, FALSE) * (U1292 / VLOOKUP(T1292, $E$5:$L$818, 2, FALSE)), "")</f>
        <v>70</v>
      </c>
      <c r="AA1292" s="568">
        <f>IFERROR(VLOOKUP(T1292, $E$5:$L$818, 8, FALSE) * (U1292 / VLOOKUP(T1292, $E$5:$L$818, 2, FALSE)), "")</f>
        <v>1</v>
      </c>
      <c r="AB1292" s="584">
        <f t="shared" si="683"/>
        <v>0</v>
      </c>
      <c r="AC1292" s="565"/>
    </row>
    <row r="1293" spans="5:29">
      <c r="E1293" s="598"/>
      <c r="F1293" s="699"/>
      <c r="G1293" s="700"/>
      <c r="H1293" s="598"/>
      <c r="I1293" s="598"/>
      <c r="J1293" s="598"/>
      <c r="K1293" s="598"/>
      <c r="L1293" s="598"/>
      <c r="Q1293" s="563">
        <v>46112</v>
      </c>
      <c r="R1293" s="564">
        <v>0.70833333333333304</v>
      </c>
      <c r="S1293" s="565" t="s">
        <v>289</v>
      </c>
      <c r="T1293" s="565" t="s">
        <v>176</v>
      </c>
      <c r="U1293" s="566">
        <v>250</v>
      </c>
      <c r="V1293" s="567" t="str">
        <f>IFERROR(VLOOKUP(T1293, $E$5:$L$818, 3, FALSE), "")</f>
        <v>g</v>
      </c>
      <c r="W1293" s="568">
        <f>IFERROR(VLOOKUP(T1293, $E$5:$L$818, 4, FALSE) * (U1293 / VLOOKUP(T1293, $E$5:$L$818, 2, FALSE)), "")</f>
        <v>412.5</v>
      </c>
      <c r="X1293" s="568">
        <f>IFERROR(VLOOKUP(T1293, $E$5:$L$818, 5, FALSE) * (U1293 / VLOOKUP(T1293, $E$5:$L$818, 2, FALSE)), "")</f>
        <v>62.5</v>
      </c>
      <c r="Y1293" s="568">
        <f>IFERROR(VLOOKUP(T1293, $E$5:$L$818, 6, FALSE) * (U1293 / VLOOKUP(T1293, $E$5:$L$818, 2, FALSE)), "")</f>
        <v>9</v>
      </c>
      <c r="Z1293" s="568">
        <f>IFERROR(VLOOKUP(T1293, $E$5:$L$818, 7, FALSE) * (U1293 / VLOOKUP(T1293, $E$5:$L$818, 2, FALSE)), "")</f>
        <v>0</v>
      </c>
      <c r="AA1293" s="568">
        <f>IFERROR(VLOOKUP(T1293, $E$5:$L$818, 8, FALSE) * (U1293 / VLOOKUP(T1293, $E$5:$L$818, 2, FALSE)), "")</f>
        <v>0</v>
      </c>
      <c r="AB1293" s="584">
        <f t="shared" si="683"/>
        <v>0</v>
      </c>
      <c r="AC1293" s="565"/>
    </row>
    <row r="1294" spans="5:29">
      <c r="E1294" s="598"/>
      <c r="F1294" s="699"/>
      <c r="G1294" s="700"/>
      <c r="H1294" s="598"/>
      <c r="I1294" s="598"/>
      <c r="J1294" s="598"/>
      <c r="K1294" s="598"/>
      <c r="L1294" s="598"/>
      <c r="Q1294" s="563">
        <v>46112</v>
      </c>
      <c r="R1294" s="564">
        <v>0.70833333333333304</v>
      </c>
      <c r="S1294" s="565" t="s">
        <v>289</v>
      </c>
      <c r="T1294" s="565" t="s">
        <v>461</v>
      </c>
      <c r="U1294" s="566">
        <v>1</v>
      </c>
      <c r="V1294" s="567" t="str">
        <f>IFERROR(VLOOKUP(T1294, $E$5:$L$818, 3, FALSE), "")</f>
        <v>chunks</v>
      </c>
      <c r="W1294" s="568">
        <f>IFERROR(VLOOKUP(T1294, $E$5:$L$818, 4, FALSE) * (U1294 / VLOOKUP(T1294, $E$5:$L$818, 2, FALSE)), "")</f>
        <v>24.285714285714285</v>
      </c>
      <c r="X1294" s="568">
        <f>IFERROR(VLOOKUP(T1294, $E$5:$L$818, 5, FALSE) * (U1294 / VLOOKUP(T1294, $E$5:$L$818, 2, FALSE)), "")</f>
        <v>0.42857142857142855</v>
      </c>
      <c r="Y1294" s="568">
        <f>IFERROR(VLOOKUP(T1294, $E$5:$L$818, 6, FALSE) * (U1294 / VLOOKUP(T1294, $E$5:$L$818, 2, FALSE)), "")</f>
        <v>1.4285714285714284</v>
      </c>
      <c r="Z1294" s="568">
        <f>IFERROR(VLOOKUP(T1294, $E$5:$L$818, 7, FALSE) * (U1294 / VLOOKUP(T1294, $E$5:$L$818, 2, FALSE)), "")</f>
        <v>2.5714285714285712</v>
      </c>
      <c r="AA1294" s="568">
        <f>IFERROR(VLOOKUP(T1294, $E$5:$L$818, 8, FALSE) * (U1294 / VLOOKUP(T1294, $E$5:$L$818, 2, FALSE)), "")</f>
        <v>7.1428571428571425E-2</v>
      </c>
      <c r="AB1294" s="684">
        <f t="shared" si="683"/>
        <v>0</v>
      </c>
      <c r="AC1294" s="565"/>
    </row>
    <row r="1295" spans="5:29">
      <c r="E1295" s="598"/>
      <c r="F1295" s="699"/>
      <c r="G1295" s="700"/>
      <c r="H1295" s="598"/>
      <c r="I1295" s="598"/>
      <c r="J1295" s="598"/>
      <c r="K1295" s="598"/>
      <c r="L1295" s="598"/>
      <c r="Q1295" s="569"/>
      <c r="R1295" s="570" t="s">
        <v>217</v>
      </c>
      <c r="S1295" s="571"/>
      <c r="T1295" s="572"/>
      <c r="U1295" s="572"/>
      <c r="V1295" s="573"/>
      <c r="W1295" s="574">
        <f t="shared" ref="W1295:AB1295" si="684">SUM(W1277:W1294)</f>
        <v>2534.9523809523812</v>
      </c>
      <c r="X1295" s="574">
        <f t="shared" si="684"/>
        <v>203.17857142857142</v>
      </c>
      <c r="Y1295" s="574">
        <f t="shared" si="684"/>
        <v>36.295238095238105</v>
      </c>
      <c r="Z1295" s="574">
        <f t="shared" si="684"/>
        <v>334.17142857142858</v>
      </c>
      <c r="AA1295" s="687">
        <f t="shared" si="684"/>
        <v>31.071428571428573</v>
      </c>
      <c r="AB1295" s="691">
        <f t="shared" si="684"/>
        <v>0</v>
      </c>
      <c r="AC1295" s="570"/>
    </row>
    <row r="1296" spans="5:29">
      <c r="E1296" s="598"/>
      <c r="F1296" s="699"/>
      <c r="G1296" s="700"/>
      <c r="H1296" s="598"/>
      <c r="I1296" s="598"/>
      <c r="J1296" s="598"/>
      <c r="K1296" s="598"/>
      <c r="L1296" s="598"/>
      <c r="Q1296" s="569"/>
      <c r="R1296" s="570" t="s">
        <v>220</v>
      </c>
      <c r="S1296" s="571"/>
      <c r="T1296" s="572"/>
      <c r="U1296" s="572"/>
      <c r="V1296" s="573"/>
      <c r="W1296" s="575">
        <f>$B$27</f>
        <v>2834.5625</v>
      </c>
      <c r="X1296" s="575">
        <f>$B$29</f>
        <v>154</v>
      </c>
      <c r="Y1296" s="575">
        <f>$B$30</f>
        <v>63.91</v>
      </c>
      <c r="Z1296" s="575">
        <f>$B$31</f>
        <v>410.84312499999999</v>
      </c>
      <c r="AA1296" s="694">
        <f>$B$32</f>
        <v>39.683875</v>
      </c>
      <c r="AB1296" s="695">
        <f>$B$39</f>
        <v>500</v>
      </c>
      <c r="AC1296" s="570"/>
    </row>
    <row r="1297" spans="5:29">
      <c r="E1297" s="598"/>
      <c r="F1297" s="699"/>
      <c r="G1297" s="700"/>
      <c r="H1297" s="598"/>
      <c r="I1297" s="598"/>
      <c r="J1297" s="598"/>
      <c r="K1297" s="598"/>
      <c r="L1297" s="598"/>
      <c r="Q1297" s="569"/>
      <c r="R1297" s="570" t="s">
        <v>222</v>
      </c>
      <c r="S1297" s="571"/>
      <c r="T1297" s="572"/>
      <c r="U1297" s="572"/>
      <c r="V1297" s="573"/>
      <c r="W1297" s="284">
        <f t="shared" ref="W1297:AB1297" si="685">W1295-W1296</f>
        <v>-299.61011904761881</v>
      </c>
      <c r="X1297" s="284">
        <f t="shared" si="685"/>
        <v>49.178571428571416</v>
      </c>
      <c r="Y1297" s="284">
        <f t="shared" si="685"/>
        <v>-27.614761904761892</v>
      </c>
      <c r="Z1297" s="284">
        <f t="shared" si="685"/>
        <v>-76.671696428571408</v>
      </c>
      <c r="AA1297" s="690">
        <f t="shared" si="685"/>
        <v>-8.6124464285714275</v>
      </c>
      <c r="AB1297" s="689">
        <f t="shared" si="685"/>
        <v>-500</v>
      </c>
      <c r="AC1297" s="570"/>
    </row>
    <row r="1298" spans="5:29">
      <c r="E1298" s="598"/>
      <c r="F1298" s="699"/>
      <c r="G1298" s="700"/>
      <c r="H1298" s="598"/>
      <c r="I1298" s="598"/>
      <c r="J1298" s="598"/>
      <c r="K1298" s="598"/>
      <c r="L1298" s="598"/>
      <c r="Q1298" s="563">
        <v>46113</v>
      </c>
      <c r="R1298" s="564">
        <v>0.33333333333333331</v>
      </c>
      <c r="S1298" s="565" t="s">
        <v>178</v>
      </c>
      <c r="T1298" s="565" t="s">
        <v>202</v>
      </c>
      <c r="U1298" s="566">
        <f>1/3</f>
        <v>0.33333333333333331</v>
      </c>
      <c r="V1298" s="567" t="str">
        <f t="shared" ref="V1298:V1315" si="686">IFERROR(VLOOKUP(T1298, $E$5:$L$818, 3, FALSE), "")</f>
        <v>tbsp</v>
      </c>
      <c r="W1298" s="568">
        <f t="shared" ref="W1298:W1315" si="687">IFERROR(VLOOKUP(T1298, $E$5:$L$818, 4, FALSE) * (U1298 / VLOOKUP(T1298, $E$5:$L$818, 2, FALSE)), "")</f>
        <v>20</v>
      </c>
      <c r="X1298" s="568">
        <f t="shared" ref="X1298:X1315" si="688">IFERROR(VLOOKUP(T1298, $E$5:$L$818, 5, FALSE) * (U1298 / VLOOKUP(T1298, $E$5:$L$818, 2, FALSE)), "")</f>
        <v>0.66666666666666663</v>
      </c>
      <c r="Y1298" s="568">
        <f t="shared" ref="Y1298:Y1315" si="689">IFERROR(VLOOKUP(T1298, $E$5:$L$818, 6, FALSE) * (U1298 / VLOOKUP(T1298, $E$5:$L$818, 2, FALSE)), "")</f>
        <v>1.3333333333333333</v>
      </c>
      <c r="Z1298" s="568">
        <f t="shared" ref="Z1298:Z1315" si="690">IFERROR(VLOOKUP(T1298, $E$5:$L$818, 7, FALSE) * (U1298 / VLOOKUP(T1298, $E$5:$L$818, 2, FALSE)), "")</f>
        <v>1.6666666666666665</v>
      </c>
      <c r="AA1298" s="568">
        <f t="shared" ref="AA1298:AA1315" si="691">IFERROR(VLOOKUP(T1298, $E$5:$L$818, 8, FALSE) * (U1298 / VLOOKUP(T1298, $E$5:$L$818, 2, FALSE)), "")</f>
        <v>1.3333333333333333</v>
      </c>
      <c r="AB1298" s="674">
        <f t="shared" ref="AB1298:AB1315" si="692">IFERROR(VLOOKUP(T1298, $E$5:$O$818, 9, FALSE) * (U1298 / VLOOKUP(T1298, $E$5:$O$818, 2, FALSE)), "")</f>
        <v>0</v>
      </c>
      <c r="AC1298" s="565"/>
    </row>
    <row r="1299" spans="5:29">
      <c r="E1299" s="598"/>
      <c r="F1299" s="699"/>
      <c r="G1299" s="700"/>
      <c r="H1299" s="598"/>
      <c r="I1299" s="598"/>
      <c r="J1299" s="598"/>
      <c r="K1299" s="598"/>
      <c r="L1299" s="598"/>
      <c r="Q1299" s="563">
        <v>46113</v>
      </c>
      <c r="R1299" s="564">
        <v>0.33333333333333331</v>
      </c>
      <c r="S1299" s="565" t="s">
        <v>178</v>
      </c>
      <c r="T1299" s="565" t="s">
        <v>181</v>
      </c>
      <c r="U1299" s="566">
        <v>2</v>
      </c>
      <c r="V1299" s="567" t="str">
        <f t="shared" si="686"/>
        <v>slice</v>
      </c>
      <c r="W1299" s="568">
        <f t="shared" si="687"/>
        <v>140</v>
      </c>
      <c r="X1299" s="568">
        <f t="shared" si="688"/>
        <v>5</v>
      </c>
      <c r="Y1299" s="568">
        <f t="shared" si="689"/>
        <v>2.5</v>
      </c>
      <c r="Z1299" s="568">
        <f t="shared" si="690"/>
        <v>24</v>
      </c>
      <c r="AA1299" s="568">
        <f t="shared" si="691"/>
        <v>2</v>
      </c>
      <c r="AB1299" s="584">
        <f t="shared" si="692"/>
        <v>0</v>
      </c>
      <c r="AC1299" s="565"/>
    </row>
    <row r="1300" spans="5:29">
      <c r="E1300" s="598"/>
      <c r="F1300" s="699"/>
      <c r="G1300" s="700"/>
      <c r="H1300" s="598"/>
      <c r="I1300" s="598"/>
      <c r="J1300" s="598"/>
      <c r="K1300" s="598"/>
      <c r="L1300" s="598"/>
      <c r="Q1300" s="563">
        <v>46113</v>
      </c>
      <c r="R1300" s="564">
        <v>0.33333333333333298</v>
      </c>
      <c r="S1300" s="565" t="s">
        <v>178</v>
      </c>
      <c r="T1300" s="565" t="s">
        <v>295</v>
      </c>
      <c r="U1300" s="566">
        <v>1</v>
      </c>
      <c r="V1300" s="567" t="str">
        <f t="shared" si="686"/>
        <v>bottle</v>
      </c>
      <c r="W1300" s="568">
        <f t="shared" si="687"/>
        <v>200</v>
      </c>
      <c r="X1300" s="568">
        <f t="shared" si="688"/>
        <v>35</v>
      </c>
      <c r="Y1300" s="568">
        <f t="shared" si="689"/>
        <v>2.5</v>
      </c>
      <c r="Z1300" s="568">
        <f t="shared" si="690"/>
        <v>9</v>
      </c>
      <c r="AA1300" s="568">
        <f t="shared" si="691"/>
        <v>0</v>
      </c>
      <c r="AB1300" s="584">
        <f t="shared" si="692"/>
        <v>0</v>
      </c>
      <c r="AC1300" s="565"/>
    </row>
    <row r="1301" spans="5:29">
      <c r="E1301" s="598"/>
      <c r="F1301" s="699"/>
      <c r="G1301" s="700"/>
      <c r="H1301" s="598"/>
      <c r="I1301" s="598"/>
      <c r="J1301" s="598"/>
      <c r="K1301" s="598"/>
      <c r="L1301" s="598"/>
      <c r="Q1301" s="563">
        <v>46113</v>
      </c>
      <c r="R1301" s="564">
        <v>0.375</v>
      </c>
      <c r="S1301" s="565" t="s">
        <v>178</v>
      </c>
      <c r="T1301" s="565" t="s">
        <v>461</v>
      </c>
      <c r="U1301" s="566">
        <v>2</v>
      </c>
      <c r="V1301" s="567" t="str">
        <f t="shared" si="686"/>
        <v>chunks</v>
      </c>
      <c r="W1301" s="568">
        <f t="shared" si="687"/>
        <v>48.571428571428569</v>
      </c>
      <c r="X1301" s="568">
        <f t="shared" si="688"/>
        <v>0.8571428571428571</v>
      </c>
      <c r="Y1301" s="568">
        <f t="shared" si="689"/>
        <v>2.8571428571428568</v>
      </c>
      <c r="Z1301" s="568">
        <f t="shared" si="690"/>
        <v>5.1428571428571423</v>
      </c>
      <c r="AA1301" s="568">
        <f t="shared" si="691"/>
        <v>0.14285714285714285</v>
      </c>
      <c r="AB1301" s="584">
        <f t="shared" si="692"/>
        <v>0</v>
      </c>
      <c r="AC1301" s="565"/>
    </row>
    <row r="1302" spans="5:29">
      <c r="E1302" s="598"/>
      <c r="F1302" s="699"/>
      <c r="G1302" s="700"/>
      <c r="H1302" s="598"/>
      <c r="I1302" s="598"/>
      <c r="J1302" s="598"/>
      <c r="K1302" s="598"/>
      <c r="L1302" s="598"/>
      <c r="Q1302" s="563">
        <v>46113</v>
      </c>
      <c r="R1302" s="564">
        <v>0.375</v>
      </c>
      <c r="S1302" s="565" t="s">
        <v>178</v>
      </c>
      <c r="T1302" s="565" t="s">
        <v>847</v>
      </c>
      <c r="U1302" s="566">
        <v>1</v>
      </c>
      <c r="V1302" s="567" t="str">
        <f t="shared" si="686"/>
        <v>can</v>
      </c>
      <c r="W1302" s="568">
        <f t="shared" si="687"/>
        <v>0</v>
      </c>
      <c r="X1302" s="568">
        <f t="shared" si="688"/>
        <v>0</v>
      </c>
      <c r="Y1302" s="568">
        <f t="shared" si="689"/>
        <v>0</v>
      </c>
      <c r="Z1302" s="568">
        <f t="shared" si="690"/>
        <v>0</v>
      </c>
      <c r="AA1302" s="568">
        <f t="shared" si="691"/>
        <v>0</v>
      </c>
      <c r="AB1302" s="584">
        <f t="shared" si="692"/>
        <v>0</v>
      </c>
      <c r="AC1302" s="565"/>
    </row>
    <row r="1303" spans="5:29">
      <c r="E1303" s="598"/>
      <c r="F1303" s="699"/>
      <c r="G1303" s="700"/>
      <c r="H1303" s="598"/>
      <c r="I1303" s="598"/>
      <c r="J1303" s="598"/>
      <c r="K1303" s="598"/>
      <c r="L1303" s="598"/>
      <c r="Q1303" s="563">
        <v>46113</v>
      </c>
      <c r="R1303" s="564">
        <v>0.5</v>
      </c>
      <c r="S1303" s="565" t="s">
        <v>185</v>
      </c>
      <c r="T1303" s="565" t="s">
        <v>464</v>
      </c>
      <c r="U1303" s="566">
        <v>1</v>
      </c>
      <c r="V1303" s="567" t="str">
        <f t="shared" si="686"/>
        <v>lozenge</v>
      </c>
      <c r="W1303" s="568">
        <f t="shared" si="687"/>
        <v>10</v>
      </c>
      <c r="X1303" s="568">
        <f t="shared" si="688"/>
        <v>0</v>
      </c>
      <c r="Y1303" s="568">
        <f t="shared" si="689"/>
        <v>0</v>
      </c>
      <c r="Z1303" s="568">
        <f t="shared" si="690"/>
        <v>3</v>
      </c>
      <c r="AA1303" s="568">
        <f t="shared" si="691"/>
        <v>0</v>
      </c>
      <c r="AB1303" s="584">
        <f t="shared" si="692"/>
        <v>0</v>
      </c>
      <c r="AC1303" s="565"/>
    </row>
    <row r="1304" spans="5:29">
      <c r="E1304" s="598"/>
      <c r="F1304" s="699"/>
      <c r="G1304" s="700"/>
      <c r="H1304" s="598"/>
      <c r="I1304" s="598"/>
      <c r="J1304" s="598"/>
      <c r="K1304" s="598"/>
      <c r="L1304" s="598"/>
      <c r="Q1304" s="563">
        <v>46113</v>
      </c>
      <c r="R1304" s="564">
        <v>0.54166666666666663</v>
      </c>
      <c r="S1304" s="565" t="s">
        <v>185</v>
      </c>
      <c r="T1304" s="565" t="s">
        <v>180</v>
      </c>
      <c r="U1304" s="566">
        <v>230</v>
      </c>
      <c r="V1304" s="567" t="str">
        <f t="shared" si="686"/>
        <v>g</v>
      </c>
      <c r="W1304" s="568">
        <f t="shared" si="687"/>
        <v>299</v>
      </c>
      <c r="X1304" s="568">
        <f t="shared" si="688"/>
        <v>6.21</v>
      </c>
      <c r="Y1304" s="568">
        <f t="shared" si="689"/>
        <v>0.69</v>
      </c>
      <c r="Z1304" s="568">
        <f t="shared" si="690"/>
        <v>64.399999999999991</v>
      </c>
      <c r="AA1304" s="568">
        <f t="shared" si="691"/>
        <v>0.91999999999999993</v>
      </c>
      <c r="AB1304" s="584">
        <f t="shared" si="692"/>
        <v>0</v>
      </c>
      <c r="AC1304" s="565"/>
    </row>
    <row r="1305" spans="5:29">
      <c r="E1305" s="598"/>
      <c r="F1305" s="699"/>
      <c r="G1305" s="700"/>
      <c r="H1305" s="598"/>
      <c r="I1305" s="598"/>
      <c r="J1305" s="598"/>
      <c r="K1305" s="598"/>
      <c r="L1305" s="598"/>
      <c r="Q1305" s="563">
        <v>46113</v>
      </c>
      <c r="R1305" s="564">
        <v>0.54166666666666696</v>
      </c>
      <c r="S1305" s="565" t="s">
        <v>185</v>
      </c>
      <c r="T1305" s="565" t="s">
        <v>176</v>
      </c>
      <c r="U1305" s="566">
        <v>250</v>
      </c>
      <c r="V1305" s="567" t="str">
        <f t="shared" si="686"/>
        <v>g</v>
      </c>
      <c r="W1305" s="568">
        <f t="shared" si="687"/>
        <v>412.5</v>
      </c>
      <c r="X1305" s="568">
        <f t="shared" si="688"/>
        <v>62.5</v>
      </c>
      <c r="Y1305" s="568">
        <f t="shared" si="689"/>
        <v>9</v>
      </c>
      <c r="Z1305" s="568">
        <f t="shared" si="690"/>
        <v>0</v>
      </c>
      <c r="AA1305" s="568">
        <f t="shared" si="691"/>
        <v>0</v>
      </c>
      <c r="AB1305" s="584">
        <f t="shared" si="692"/>
        <v>0</v>
      </c>
      <c r="AC1305" s="565"/>
    </row>
    <row r="1306" spans="5:29">
      <c r="E1306" s="598"/>
      <c r="F1306" s="699"/>
      <c r="G1306" s="700"/>
      <c r="H1306" s="598"/>
      <c r="I1306" s="598"/>
      <c r="J1306" s="598"/>
      <c r="K1306" s="598"/>
      <c r="L1306" s="598"/>
      <c r="Q1306" s="563">
        <v>46113</v>
      </c>
      <c r="R1306" s="564">
        <v>0.54166666666666696</v>
      </c>
      <c r="S1306" s="565" t="s">
        <v>185</v>
      </c>
      <c r="T1306" s="565" t="s">
        <v>902</v>
      </c>
      <c r="U1306" s="566">
        <v>1</v>
      </c>
      <c r="V1306" s="567" t="str">
        <f t="shared" si="686"/>
        <v>bag</v>
      </c>
      <c r="W1306" s="568">
        <f t="shared" si="687"/>
        <v>70</v>
      </c>
      <c r="X1306" s="568">
        <f t="shared" si="688"/>
        <v>1</v>
      </c>
      <c r="Y1306" s="568">
        <f t="shared" si="689"/>
        <v>4.5</v>
      </c>
      <c r="Z1306" s="568">
        <f t="shared" si="690"/>
        <v>7</v>
      </c>
      <c r="AA1306" s="568">
        <f t="shared" si="691"/>
        <v>0</v>
      </c>
      <c r="AB1306" s="584">
        <f t="shared" si="692"/>
        <v>0</v>
      </c>
      <c r="AC1306" s="565"/>
    </row>
    <row r="1307" spans="5:29">
      <c r="E1307" s="598"/>
      <c r="F1307" s="699"/>
      <c r="G1307" s="700"/>
      <c r="H1307" s="598"/>
      <c r="I1307" s="598"/>
      <c r="J1307" s="598"/>
      <c r="K1307" s="598"/>
      <c r="L1307" s="598"/>
      <c r="Q1307" s="563">
        <v>46113</v>
      </c>
      <c r="R1307" s="564">
        <v>0.58333333333333337</v>
      </c>
      <c r="S1307" s="565" t="s">
        <v>185</v>
      </c>
      <c r="T1307" s="565" t="s">
        <v>855</v>
      </c>
      <c r="U1307" s="566">
        <v>300</v>
      </c>
      <c r="V1307" s="567" t="str">
        <f t="shared" si="686"/>
        <v>g</v>
      </c>
      <c r="W1307" s="568">
        <f t="shared" si="687"/>
        <v>180</v>
      </c>
      <c r="X1307" s="568">
        <f t="shared" si="688"/>
        <v>3</v>
      </c>
      <c r="Y1307" s="568">
        <f t="shared" si="689"/>
        <v>0</v>
      </c>
      <c r="Z1307" s="568">
        <f t="shared" si="690"/>
        <v>45</v>
      </c>
      <c r="AA1307" s="568">
        <f t="shared" si="691"/>
        <v>6</v>
      </c>
      <c r="AB1307" s="584">
        <f t="shared" si="692"/>
        <v>0</v>
      </c>
      <c r="AC1307" s="565"/>
    </row>
    <row r="1308" spans="5:29">
      <c r="E1308" s="598"/>
      <c r="F1308" s="699"/>
      <c r="G1308" s="700"/>
      <c r="H1308" s="598"/>
      <c r="I1308" s="598"/>
      <c r="J1308" s="598"/>
      <c r="K1308" s="598"/>
      <c r="L1308" s="598"/>
      <c r="Q1308" s="563">
        <v>46113</v>
      </c>
      <c r="R1308" s="564">
        <v>0.58333333333333304</v>
      </c>
      <c r="S1308" s="565" t="s">
        <v>185</v>
      </c>
      <c r="T1308" s="565" t="s">
        <v>875</v>
      </c>
      <c r="U1308" s="566">
        <v>1</v>
      </c>
      <c r="V1308" s="567" t="str">
        <f t="shared" si="686"/>
        <v>bag</v>
      </c>
      <c r="W1308" s="568">
        <f t="shared" si="687"/>
        <v>80</v>
      </c>
      <c r="X1308" s="568">
        <f t="shared" si="688"/>
        <v>1</v>
      </c>
      <c r="Y1308" s="568">
        <f t="shared" si="689"/>
        <v>4</v>
      </c>
      <c r="Z1308" s="568">
        <f t="shared" si="690"/>
        <v>11</v>
      </c>
      <c r="AA1308" s="568">
        <f t="shared" si="691"/>
        <v>0</v>
      </c>
      <c r="AB1308" s="584">
        <f t="shared" si="692"/>
        <v>5</v>
      </c>
      <c r="AC1308" s="565"/>
    </row>
    <row r="1309" spans="5:29">
      <c r="E1309" s="598"/>
      <c r="F1309" s="699"/>
      <c r="G1309" s="700"/>
      <c r="H1309" s="598"/>
      <c r="I1309" s="598"/>
      <c r="J1309" s="598"/>
      <c r="K1309" s="598"/>
      <c r="L1309" s="598"/>
      <c r="Q1309" s="563">
        <v>46113</v>
      </c>
      <c r="R1309" s="564">
        <v>0.70833333333333337</v>
      </c>
      <c r="S1309" s="565" t="s">
        <v>289</v>
      </c>
      <c r="T1309" s="565" t="s">
        <v>897</v>
      </c>
      <c r="U1309" s="566">
        <v>1</v>
      </c>
      <c r="V1309" s="567" t="str">
        <f t="shared" si="686"/>
        <v>package</v>
      </c>
      <c r="W1309" s="568">
        <f t="shared" si="687"/>
        <v>50</v>
      </c>
      <c r="X1309" s="568">
        <f t="shared" si="688"/>
        <v>1</v>
      </c>
      <c r="Y1309" s="568">
        <f t="shared" si="689"/>
        <v>2</v>
      </c>
      <c r="Z1309" s="568">
        <f t="shared" si="690"/>
        <v>7</v>
      </c>
      <c r="AA1309" s="568">
        <f t="shared" si="691"/>
        <v>0</v>
      </c>
      <c r="AB1309" s="584">
        <f t="shared" si="692"/>
        <v>0</v>
      </c>
      <c r="AC1309" s="565"/>
    </row>
    <row r="1310" spans="5:29">
      <c r="E1310" s="598"/>
      <c r="F1310" s="699"/>
      <c r="G1310" s="700"/>
      <c r="H1310" s="598"/>
      <c r="I1310" s="598"/>
      <c r="J1310" s="598"/>
      <c r="K1310" s="598"/>
      <c r="L1310" s="598"/>
      <c r="Q1310" s="563">
        <v>46113</v>
      </c>
      <c r="R1310" s="564">
        <v>0.83333333333333337</v>
      </c>
      <c r="S1310" s="565" t="s">
        <v>199</v>
      </c>
      <c r="T1310" s="565" t="s">
        <v>180</v>
      </c>
      <c r="U1310" s="566">
        <v>200</v>
      </c>
      <c r="V1310" s="567" t="str">
        <f t="shared" si="686"/>
        <v>g</v>
      </c>
      <c r="W1310" s="568">
        <f t="shared" si="687"/>
        <v>260</v>
      </c>
      <c r="X1310" s="568">
        <f t="shared" si="688"/>
        <v>5.4</v>
      </c>
      <c r="Y1310" s="568">
        <f t="shared" si="689"/>
        <v>0.6</v>
      </c>
      <c r="Z1310" s="568">
        <f t="shared" si="690"/>
        <v>56</v>
      </c>
      <c r="AA1310" s="568">
        <f t="shared" si="691"/>
        <v>0.8</v>
      </c>
      <c r="AB1310" s="584">
        <f t="shared" si="692"/>
        <v>0</v>
      </c>
      <c r="AC1310" s="565"/>
    </row>
    <row r="1311" spans="5:29">
      <c r="E1311" s="598"/>
      <c r="F1311" s="699"/>
      <c r="G1311" s="700"/>
      <c r="H1311" s="598"/>
      <c r="I1311" s="598"/>
      <c r="J1311" s="598"/>
      <c r="K1311" s="598"/>
      <c r="L1311" s="598"/>
      <c r="Q1311" s="563">
        <v>46113</v>
      </c>
      <c r="R1311" s="564">
        <v>0.83333333333333304</v>
      </c>
      <c r="S1311" s="565" t="s">
        <v>199</v>
      </c>
      <c r="T1311" s="565" t="s">
        <v>176</v>
      </c>
      <c r="U1311" s="566">
        <v>200</v>
      </c>
      <c r="V1311" s="567" t="str">
        <f t="shared" si="686"/>
        <v>g</v>
      </c>
      <c r="W1311" s="568">
        <f t="shared" si="687"/>
        <v>330</v>
      </c>
      <c r="X1311" s="568">
        <f t="shared" si="688"/>
        <v>50</v>
      </c>
      <c r="Y1311" s="568">
        <f t="shared" si="689"/>
        <v>7.2</v>
      </c>
      <c r="Z1311" s="568">
        <f t="shared" si="690"/>
        <v>0</v>
      </c>
      <c r="AA1311" s="568">
        <f t="shared" si="691"/>
        <v>0</v>
      </c>
      <c r="AB1311" s="584">
        <f t="shared" si="692"/>
        <v>0</v>
      </c>
      <c r="AC1311" s="565"/>
    </row>
    <row r="1312" spans="5:29">
      <c r="E1312" s="598"/>
      <c r="F1312" s="699"/>
      <c r="G1312" s="700"/>
      <c r="H1312" s="598"/>
      <c r="I1312" s="598"/>
      <c r="J1312" s="598"/>
      <c r="K1312" s="598"/>
      <c r="L1312" s="598"/>
      <c r="Q1312" s="563">
        <v>46113</v>
      </c>
      <c r="R1312" s="564">
        <v>0.83333333333333304</v>
      </c>
      <c r="S1312" s="565" t="s">
        <v>199</v>
      </c>
      <c r="T1312" s="565" t="s">
        <v>898</v>
      </c>
      <c r="U1312" s="566">
        <v>166</v>
      </c>
      <c r="V1312" s="567" t="str">
        <f t="shared" si="686"/>
        <v>g</v>
      </c>
      <c r="W1312" s="568">
        <f t="shared" si="687"/>
        <v>414.45751633986924</v>
      </c>
      <c r="X1312" s="568">
        <f t="shared" si="688"/>
        <v>50.993464052287578</v>
      </c>
      <c r="Y1312" s="568">
        <f t="shared" si="689"/>
        <v>21.699346405228756</v>
      </c>
      <c r="Z1312" s="568">
        <f t="shared" si="690"/>
        <v>0</v>
      </c>
      <c r="AA1312" s="568">
        <f t="shared" si="691"/>
        <v>0</v>
      </c>
      <c r="AB1312" s="584">
        <f t="shared" si="692"/>
        <v>0</v>
      </c>
      <c r="AC1312" s="565"/>
    </row>
    <row r="1313" spans="5:29">
      <c r="E1313" s="598"/>
      <c r="F1313" s="699"/>
      <c r="G1313" s="700"/>
      <c r="H1313" s="598"/>
      <c r="I1313" s="598"/>
      <c r="J1313" s="598"/>
      <c r="K1313" s="598"/>
      <c r="L1313" s="598"/>
      <c r="Q1313" s="563">
        <v>46113</v>
      </c>
      <c r="R1313" s="564">
        <v>0.875</v>
      </c>
      <c r="S1313" s="565" t="s">
        <v>199</v>
      </c>
      <c r="T1313" s="565" t="s">
        <v>212</v>
      </c>
      <c r="U1313" s="566">
        <v>1</v>
      </c>
      <c r="V1313" s="567" t="str">
        <f t="shared" si="686"/>
        <v>bottle</v>
      </c>
      <c r="W1313" s="568">
        <f t="shared" si="687"/>
        <v>70</v>
      </c>
      <c r="X1313" s="568">
        <f t="shared" si="688"/>
        <v>0</v>
      </c>
      <c r="Y1313" s="568">
        <f t="shared" si="689"/>
        <v>0</v>
      </c>
      <c r="Z1313" s="568">
        <f t="shared" si="690"/>
        <v>17</v>
      </c>
      <c r="AA1313" s="568">
        <f t="shared" si="691"/>
        <v>1</v>
      </c>
      <c r="AB1313" s="584">
        <f t="shared" si="692"/>
        <v>0</v>
      </c>
      <c r="AC1313" s="565"/>
    </row>
    <row r="1314" spans="5:29">
      <c r="E1314" s="598"/>
      <c r="F1314" s="699"/>
      <c r="G1314" s="700"/>
      <c r="H1314" s="598"/>
      <c r="I1314" s="598"/>
      <c r="J1314" s="598"/>
      <c r="K1314" s="598"/>
      <c r="L1314" s="598"/>
      <c r="Q1314" s="563">
        <v>46113</v>
      </c>
      <c r="R1314" s="564">
        <v>0.875</v>
      </c>
      <c r="S1314" s="565" t="s">
        <v>199</v>
      </c>
      <c r="T1314" s="565" t="s">
        <v>209</v>
      </c>
      <c r="U1314" s="566">
        <v>3</v>
      </c>
      <c r="V1314" s="567" t="str">
        <f t="shared" si="686"/>
        <v>tbsp</v>
      </c>
      <c r="W1314" s="568">
        <f t="shared" si="687"/>
        <v>60</v>
      </c>
      <c r="X1314" s="568">
        <f t="shared" si="688"/>
        <v>0</v>
      </c>
      <c r="Y1314" s="568">
        <f t="shared" si="689"/>
        <v>0</v>
      </c>
      <c r="Z1314" s="568">
        <f t="shared" si="690"/>
        <v>15</v>
      </c>
      <c r="AA1314" s="568">
        <f t="shared" si="691"/>
        <v>13.5</v>
      </c>
      <c r="AB1314" s="584">
        <f t="shared" si="692"/>
        <v>0</v>
      </c>
      <c r="AC1314" s="565"/>
    </row>
    <row r="1315" spans="5:29">
      <c r="E1315" s="598"/>
      <c r="F1315" s="699"/>
      <c r="G1315" s="700"/>
      <c r="H1315" s="598"/>
      <c r="I1315" s="598"/>
      <c r="J1315" s="598"/>
      <c r="K1315" s="598"/>
      <c r="L1315" s="598"/>
      <c r="Q1315" s="563">
        <v>46113</v>
      </c>
      <c r="R1315" s="564">
        <v>0.91666666666666663</v>
      </c>
      <c r="S1315" s="565" t="s">
        <v>199</v>
      </c>
      <c r="T1315" s="565" t="s">
        <v>461</v>
      </c>
      <c r="U1315" s="566">
        <v>1</v>
      </c>
      <c r="V1315" s="567" t="str">
        <f t="shared" si="686"/>
        <v>chunks</v>
      </c>
      <c r="W1315" s="568">
        <f t="shared" si="687"/>
        <v>24.285714285714285</v>
      </c>
      <c r="X1315" s="568">
        <f t="shared" si="688"/>
        <v>0.42857142857142855</v>
      </c>
      <c r="Y1315" s="568">
        <f t="shared" si="689"/>
        <v>1.4285714285714284</v>
      </c>
      <c r="Z1315" s="568">
        <f t="shared" si="690"/>
        <v>2.5714285714285712</v>
      </c>
      <c r="AA1315" s="568">
        <f t="shared" si="691"/>
        <v>7.1428571428571425E-2</v>
      </c>
      <c r="AB1315" s="684">
        <f t="shared" si="692"/>
        <v>0</v>
      </c>
      <c r="AC1315" s="565"/>
    </row>
    <row r="1316" spans="5:29">
      <c r="E1316" s="598"/>
      <c r="F1316" s="699"/>
      <c r="G1316" s="700"/>
      <c r="H1316" s="598"/>
      <c r="I1316" s="598"/>
      <c r="J1316" s="598"/>
      <c r="K1316" s="598"/>
      <c r="L1316" s="598"/>
      <c r="Q1316" s="569"/>
      <c r="R1316" s="570" t="s">
        <v>217</v>
      </c>
      <c r="S1316" s="571"/>
      <c r="T1316" s="572"/>
      <c r="U1316" s="572"/>
      <c r="V1316" s="573"/>
      <c r="W1316" s="574">
        <f t="shared" ref="W1316:AB1316" si="693">SUM(W1298:W1315)</f>
        <v>2668.8146591970121</v>
      </c>
      <c r="X1316" s="574">
        <f t="shared" si="693"/>
        <v>223.05584500466853</v>
      </c>
      <c r="Y1316" s="574">
        <f t="shared" si="693"/>
        <v>60.308394024276382</v>
      </c>
      <c r="Z1316" s="574">
        <f t="shared" si="693"/>
        <v>267.78095238095239</v>
      </c>
      <c r="AA1316" s="687">
        <f t="shared" si="693"/>
        <v>25.76761904761905</v>
      </c>
      <c r="AB1316" s="691">
        <f t="shared" si="693"/>
        <v>5</v>
      </c>
      <c r="AC1316" s="570"/>
    </row>
    <row r="1317" spans="5:29">
      <c r="E1317" s="598"/>
      <c r="F1317" s="699"/>
      <c r="G1317" s="700"/>
      <c r="H1317" s="598"/>
      <c r="I1317" s="598"/>
      <c r="J1317" s="598"/>
      <c r="K1317" s="598"/>
      <c r="L1317" s="598"/>
      <c r="Q1317" s="569"/>
      <c r="R1317" s="570" t="s">
        <v>220</v>
      </c>
      <c r="S1317" s="571"/>
      <c r="T1317" s="572"/>
      <c r="U1317" s="572"/>
      <c r="V1317" s="573"/>
      <c r="W1317" s="575">
        <f>$B$27</f>
        <v>2834.5625</v>
      </c>
      <c r="X1317" s="575">
        <f>$B$29</f>
        <v>154</v>
      </c>
      <c r="Y1317" s="575">
        <f>$B$30</f>
        <v>63.91</v>
      </c>
      <c r="Z1317" s="575">
        <f>$B$31</f>
        <v>410.84312499999999</v>
      </c>
      <c r="AA1317" s="694">
        <f>$B$32</f>
        <v>39.683875</v>
      </c>
      <c r="AB1317" s="695">
        <f>$B$39</f>
        <v>500</v>
      </c>
      <c r="AC1317" s="570"/>
    </row>
    <row r="1318" spans="5:29">
      <c r="E1318" s="598"/>
      <c r="F1318" s="699"/>
      <c r="G1318" s="700"/>
      <c r="H1318" s="598"/>
      <c r="I1318" s="598"/>
      <c r="J1318" s="598"/>
      <c r="K1318" s="598"/>
      <c r="L1318" s="598"/>
      <c r="Q1318" s="569"/>
      <c r="R1318" s="570" t="s">
        <v>222</v>
      </c>
      <c r="S1318" s="571"/>
      <c r="T1318" s="572"/>
      <c r="U1318" s="572"/>
      <c r="V1318" s="573"/>
      <c r="W1318" s="284">
        <f t="shared" ref="W1318:AB1318" si="694">W1316-W1317</f>
        <v>-165.74784080298787</v>
      </c>
      <c r="X1318" s="284">
        <f t="shared" si="694"/>
        <v>69.055845004668527</v>
      </c>
      <c r="Y1318" s="284">
        <f t="shared" si="694"/>
        <v>-3.601605975723615</v>
      </c>
      <c r="Z1318" s="284">
        <f t="shared" si="694"/>
        <v>-143.0621726190476</v>
      </c>
      <c r="AA1318" s="690">
        <f t="shared" si="694"/>
        <v>-13.916255952380951</v>
      </c>
      <c r="AB1318" s="689">
        <f t="shared" si="694"/>
        <v>-495</v>
      </c>
      <c r="AC1318" s="570"/>
    </row>
    <row r="1319" spans="5:29">
      <c r="E1319" s="598"/>
      <c r="F1319" s="699"/>
      <c r="G1319" s="700"/>
      <c r="H1319" s="598"/>
      <c r="I1319" s="598"/>
      <c r="J1319" s="598"/>
      <c r="K1319" s="598"/>
      <c r="L1319" s="598"/>
      <c r="Q1319" s="563">
        <v>46114</v>
      </c>
      <c r="R1319" s="564">
        <v>0.33333333333333331</v>
      </c>
      <c r="S1319" s="565" t="s">
        <v>178</v>
      </c>
      <c r="T1319" s="565" t="s">
        <v>202</v>
      </c>
      <c r="U1319" s="566">
        <f>1/3</f>
        <v>0.33333333333333331</v>
      </c>
      <c r="V1319" s="567" t="str">
        <f t="shared" ref="V1319:V1337" si="695">IFERROR(VLOOKUP(T1319, $E$5:$L$818, 3, FALSE), "")</f>
        <v>tbsp</v>
      </c>
      <c r="W1319" s="568">
        <f t="shared" ref="W1319:W1337" si="696">IFERROR(VLOOKUP(T1319, $E$5:$L$818, 4, FALSE) * (U1319 / VLOOKUP(T1319, $E$5:$L$818, 2, FALSE)), "")</f>
        <v>20</v>
      </c>
      <c r="X1319" s="568">
        <f t="shared" ref="X1319:X1337" si="697">IFERROR(VLOOKUP(T1319, $E$5:$L$818, 5, FALSE) * (U1319 / VLOOKUP(T1319, $E$5:$L$818, 2, FALSE)), "")</f>
        <v>0.66666666666666663</v>
      </c>
      <c r="Y1319" s="568">
        <f t="shared" ref="Y1319:Y1337" si="698">IFERROR(VLOOKUP(T1319, $E$5:$L$818, 6, FALSE) * (U1319 / VLOOKUP(T1319, $E$5:$L$818, 2, FALSE)), "")</f>
        <v>1.3333333333333333</v>
      </c>
      <c r="Z1319" s="568">
        <f t="shared" ref="Z1319:Z1337" si="699">IFERROR(VLOOKUP(T1319, $E$5:$L$818, 7, FALSE) * (U1319 / VLOOKUP(T1319, $E$5:$L$818, 2, FALSE)), "")</f>
        <v>1.6666666666666665</v>
      </c>
      <c r="AA1319" s="568">
        <f t="shared" ref="AA1319:AA1337" si="700">IFERROR(VLOOKUP(T1319, $E$5:$L$818, 8, FALSE) * (U1319 / VLOOKUP(T1319, $E$5:$L$818, 2, FALSE)), "")</f>
        <v>1.3333333333333333</v>
      </c>
      <c r="AB1319" s="674">
        <f t="shared" ref="AB1319:AB1337" si="701">IFERROR(VLOOKUP(T1319, $E$5:$O$818, 9, FALSE) * (U1319 / VLOOKUP(T1319, $E$5:$O$818, 2, FALSE)), "")</f>
        <v>0</v>
      </c>
      <c r="AC1319" s="565"/>
    </row>
    <row r="1320" spans="5:29">
      <c r="E1320" s="598"/>
      <c r="F1320" s="699"/>
      <c r="G1320" s="700"/>
      <c r="H1320" s="598"/>
      <c r="I1320" s="598"/>
      <c r="J1320" s="598"/>
      <c r="K1320" s="598"/>
      <c r="L1320" s="598"/>
      <c r="Q1320" s="563">
        <v>46114</v>
      </c>
      <c r="R1320" s="564">
        <v>0.33333333333333298</v>
      </c>
      <c r="S1320" s="565" t="s">
        <v>178</v>
      </c>
      <c r="T1320" s="565" t="s">
        <v>295</v>
      </c>
      <c r="U1320" s="566">
        <v>1</v>
      </c>
      <c r="V1320" s="567" t="str">
        <f t="shared" si="695"/>
        <v>bottle</v>
      </c>
      <c r="W1320" s="568">
        <f t="shared" si="696"/>
        <v>200</v>
      </c>
      <c r="X1320" s="568">
        <f t="shared" si="697"/>
        <v>35</v>
      </c>
      <c r="Y1320" s="568">
        <f t="shared" si="698"/>
        <v>2.5</v>
      </c>
      <c r="Z1320" s="568">
        <f t="shared" si="699"/>
        <v>9</v>
      </c>
      <c r="AA1320" s="568">
        <f t="shared" si="700"/>
        <v>0</v>
      </c>
      <c r="AB1320" s="584">
        <f t="shared" si="701"/>
        <v>0</v>
      </c>
      <c r="AC1320" s="565"/>
    </row>
    <row r="1321" spans="5:29">
      <c r="E1321" s="598"/>
      <c r="F1321" s="699"/>
      <c r="G1321" s="700"/>
      <c r="H1321" s="598"/>
      <c r="I1321" s="598"/>
      <c r="J1321" s="598"/>
      <c r="K1321" s="598"/>
      <c r="L1321" s="598"/>
      <c r="Q1321" s="563">
        <v>46114</v>
      </c>
      <c r="R1321" s="564">
        <v>0.33333333333333298</v>
      </c>
      <c r="S1321" s="565" t="s">
        <v>178</v>
      </c>
      <c r="T1321" s="565" t="s">
        <v>899</v>
      </c>
      <c r="U1321" s="566">
        <v>59.5</v>
      </c>
      <c r="V1321" s="567" t="str">
        <f t="shared" si="695"/>
        <v>g</v>
      </c>
      <c r="W1321" s="568">
        <f t="shared" si="696"/>
        <v>249.89999999999998</v>
      </c>
      <c r="X1321" s="568">
        <f t="shared" si="697"/>
        <v>7.14</v>
      </c>
      <c r="Y1321" s="568">
        <f t="shared" si="698"/>
        <v>5.9499999999999993</v>
      </c>
      <c r="Z1321" s="568">
        <f t="shared" si="699"/>
        <v>41.65</v>
      </c>
      <c r="AA1321" s="568">
        <f t="shared" si="700"/>
        <v>4.76</v>
      </c>
      <c r="AB1321" s="584">
        <f t="shared" si="701"/>
        <v>0</v>
      </c>
      <c r="AC1321" s="565"/>
    </row>
    <row r="1322" spans="5:29">
      <c r="E1322" s="598"/>
      <c r="F1322" s="699"/>
      <c r="G1322" s="700"/>
      <c r="H1322" s="598"/>
      <c r="I1322" s="598"/>
      <c r="J1322" s="598"/>
      <c r="K1322" s="598"/>
      <c r="L1322" s="598"/>
      <c r="Q1322" s="563">
        <v>46114</v>
      </c>
      <c r="R1322" s="564">
        <v>0.33333333333333298</v>
      </c>
      <c r="S1322" s="565" t="s">
        <v>178</v>
      </c>
      <c r="T1322" s="565" t="s">
        <v>900</v>
      </c>
      <c r="U1322" s="566">
        <v>13</v>
      </c>
      <c r="V1322" s="567" t="str">
        <f t="shared" si="695"/>
        <v>g</v>
      </c>
      <c r="W1322" s="568">
        <f t="shared" si="696"/>
        <v>78</v>
      </c>
      <c r="X1322" s="568">
        <f t="shared" si="697"/>
        <v>3.4666666666666668</v>
      </c>
      <c r="Y1322" s="568">
        <f t="shared" si="698"/>
        <v>6.9333333333333336</v>
      </c>
      <c r="Z1322" s="568">
        <f t="shared" si="699"/>
        <v>2.6</v>
      </c>
      <c r="AA1322" s="568">
        <f t="shared" si="700"/>
        <v>0</v>
      </c>
      <c r="AB1322" s="584">
        <f t="shared" si="701"/>
        <v>0</v>
      </c>
      <c r="AC1322" s="565"/>
    </row>
    <row r="1323" spans="5:29">
      <c r="E1323" s="598"/>
      <c r="F1323" s="699"/>
      <c r="G1323" s="700"/>
      <c r="H1323" s="598"/>
      <c r="I1323" s="598"/>
      <c r="J1323" s="598"/>
      <c r="K1323" s="598"/>
      <c r="L1323" s="598"/>
      <c r="Q1323" s="563">
        <v>46114</v>
      </c>
      <c r="R1323" s="564">
        <v>0.33333333333333298</v>
      </c>
      <c r="S1323" s="565" t="s">
        <v>178</v>
      </c>
      <c r="T1323" s="565" t="s">
        <v>901</v>
      </c>
      <c r="U1323" s="566">
        <v>5</v>
      </c>
      <c r="V1323" s="567" t="str">
        <f t="shared" si="695"/>
        <v>g</v>
      </c>
      <c r="W1323" s="568">
        <f t="shared" si="696"/>
        <v>16</v>
      </c>
      <c r="X1323" s="568">
        <f t="shared" si="697"/>
        <v>0</v>
      </c>
      <c r="Y1323" s="568">
        <f t="shared" si="698"/>
        <v>0</v>
      </c>
      <c r="Z1323" s="568">
        <f t="shared" si="699"/>
        <v>4</v>
      </c>
      <c r="AA1323" s="568">
        <f t="shared" si="700"/>
        <v>0</v>
      </c>
      <c r="AB1323" s="584">
        <f t="shared" si="701"/>
        <v>0</v>
      </c>
      <c r="AC1323" s="565"/>
    </row>
    <row r="1324" spans="5:29">
      <c r="E1324" s="598"/>
      <c r="F1324" s="699"/>
      <c r="G1324" s="700"/>
      <c r="H1324" s="598"/>
      <c r="I1324" s="598"/>
      <c r="J1324" s="598"/>
      <c r="K1324" s="598"/>
      <c r="L1324" s="598"/>
      <c r="Q1324" s="563">
        <v>46114</v>
      </c>
      <c r="R1324" s="564">
        <v>0.41666666666666669</v>
      </c>
      <c r="S1324" s="565" t="s">
        <v>178</v>
      </c>
      <c r="T1324" s="565" t="s">
        <v>181</v>
      </c>
      <c r="U1324" s="566">
        <v>2</v>
      </c>
      <c r="V1324" s="567" t="str">
        <f t="shared" si="695"/>
        <v>slice</v>
      </c>
      <c r="W1324" s="568">
        <f t="shared" si="696"/>
        <v>140</v>
      </c>
      <c r="X1324" s="568">
        <f t="shared" si="697"/>
        <v>5</v>
      </c>
      <c r="Y1324" s="568">
        <f t="shared" si="698"/>
        <v>2.5</v>
      </c>
      <c r="Z1324" s="568">
        <f t="shared" si="699"/>
        <v>24</v>
      </c>
      <c r="AA1324" s="568">
        <f t="shared" si="700"/>
        <v>2</v>
      </c>
      <c r="AB1324" s="584">
        <f t="shared" si="701"/>
        <v>0</v>
      </c>
      <c r="AC1324" s="565"/>
    </row>
    <row r="1325" spans="5:29">
      <c r="E1325" s="598"/>
      <c r="F1325" s="699"/>
      <c r="G1325" s="700"/>
      <c r="H1325" s="598"/>
      <c r="I1325" s="598"/>
      <c r="J1325" s="598"/>
      <c r="K1325" s="598"/>
      <c r="L1325" s="598"/>
      <c r="Q1325" s="563">
        <v>46114</v>
      </c>
      <c r="R1325" s="564">
        <v>0.41666666666666702</v>
      </c>
      <c r="S1325" s="565" t="s">
        <v>178</v>
      </c>
      <c r="T1325" s="565" t="s">
        <v>827</v>
      </c>
      <c r="U1325" s="566">
        <v>1</v>
      </c>
      <c r="V1325" s="567" t="str">
        <f t="shared" si="695"/>
        <v>pack</v>
      </c>
      <c r="W1325" s="568">
        <f t="shared" si="696"/>
        <v>20</v>
      </c>
      <c r="X1325" s="568">
        <f t="shared" si="697"/>
        <v>0</v>
      </c>
      <c r="Y1325" s="568">
        <f t="shared" si="698"/>
        <v>0.5</v>
      </c>
      <c r="Z1325" s="568">
        <f t="shared" si="699"/>
        <v>3</v>
      </c>
      <c r="AA1325" s="568">
        <f t="shared" si="700"/>
        <v>0</v>
      </c>
      <c r="AB1325" s="584">
        <f t="shared" si="701"/>
        <v>0</v>
      </c>
      <c r="AC1325" s="565"/>
    </row>
    <row r="1326" spans="5:29">
      <c r="E1326" s="598"/>
      <c r="F1326" s="699"/>
      <c r="G1326" s="700"/>
      <c r="H1326" s="598"/>
      <c r="I1326" s="598"/>
      <c r="J1326" s="598"/>
      <c r="K1326" s="598"/>
      <c r="L1326" s="598"/>
      <c r="Q1326" s="563">
        <v>46114</v>
      </c>
      <c r="R1326" s="564">
        <v>0.41666666666666702</v>
      </c>
      <c r="S1326" s="565" t="s">
        <v>178</v>
      </c>
      <c r="T1326" s="565" t="s">
        <v>461</v>
      </c>
      <c r="U1326" s="566">
        <v>1</v>
      </c>
      <c r="V1326" s="567" t="str">
        <f t="shared" si="695"/>
        <v>chunks</v>
      </c>
      <c r="W1326" s="568">
        <f t="shared" si="696"/>
        <v>24.285714285714285</v>
      </c>
      <c r="X1326" s="568">
        <f t="shared" si="697"/>
        <v>0.42857142857142855</v>
      </c>
      <c r="Y1326" s="568">
        <f t="shared" si="698"/>
        <v>1.4285714285714284</v>
      </c>
      <c r="Z1326" s="568">
        <f t="shared" si="699"/>
        <v>2.5714285714285712</v>
      </c>
      <c r="AA1326" s="568">
        <f t="shared" si="700"/>
        <v>7.1428571428571425E-2</v>
      </c>
      <c r="AB1326" s="584">
        <f t="shared" si="701"/>
        <v>0</v>
      </c>
      <c r="AC1326" s="565"/>
    </row>
    <row r="1327" spans="5:29">
      <c r="E1327" s="598"/>
      <c r="F1327" s="699"/>
      <c r="G1327" s="700"/>
      <c r="H1327" s="598"/>
      <c r="I1327" s="598"/>
      <c r="J1327" s="598"/>
      <c r="K1327" s="598"/>
      <c r="L1327" s="598"/>
      <c r="Q1327" s="563">
        <v>46114</v>
      </c>
      <c r="R1327" s="564">
        <v>0.54166666666666663</v>
      </c>
      <c r="S1327" s="565" t="s">
        <v>185</v>
      </c>
      <c r="T1327" s="565" t="s">
        <v>180</v>
      </c>
      <c r="U1327" s="566">
        <v>200</v>
      </c>
      <c r="V1327" s="567" t="str">
        <f t="shared" si="695"/>
        <v>g</v>
      </c>
      <c r="W1327" s="568">
        <f t="shared" si="696"/>
        <v>260</v>
      </c>
      <c r="X1327" s="568">
        <f t="shared" si="697"/>
        <v>5.4</v>
      </c>
      <c r="Y1327" s="568">
        <f t="shared" si="698"/>
        <v>0.6</v>
      </c>
      <c r="Z1327" s="568">
        <f t="shared" si="699"/>
        <v>56</v>
      </c>
      <c r="AA1327" s="568">
        <f t="shared" si="700"/>
        <v>0.8</v>
      </c>
      <c r="AB1327" s="584">
        <f t="shared" si="701"/>
        <v>0</v>
      </c>
      <c r="AC1327" s="565"/>
    </row>
    <row r="1328" spans="5:29">
      <c r="E1328" s="598"/>
      <c r="F1328" s="699"/>
      <c r="G1328" s="700"/>
      <c r="H1328" s="598"/>
      <c r="I1328" s="598"/>
      <c r="J1328" s="598"/>
      <c r="K1328" s="598"/>
      <c r="L1328" s="598"/>
      <c r="Q1328" s="563">
        <v>46114</v>
      </c>
      <c r="R1328" s="564">
        <v>0.54166666666666696</v>
      </c>
      <c r="S1328" s="565" t="s">
        <v>185</v>
      </c>
      <c r="T1328" s="565" t="s">
        <v>176</v>
      </c>
      <c r="U1328" s="566">
        <v>250</v>
      </c>
      <c r="V1328" s="567" t="str">
        <f t="shared" si="695"/>
        <v>g</v>
      </c>
      <c r="W1328" s="568">
        <f t="shared" si="696"/>
        <v>412.5</v>
      </c>
      <c r="X1328" s="568">
        <f t="shared" si="697"/>
        <v>62.5</v>
      </c>
      <c r="Y1328" s="568">
        <f t="shared" si="698"/>
        <v>9</v>
      </c>
      <c r="Z1328" s="568">
        <f t="shared" si="699"/>
        <v>0</v>
      </c>
      <c r="AA1328" s="568">
        <f t="shared" si="700"/>
        <v>0</v>
      </c>
      <c r="AB1328" s="584">
        <f t="shared" si="701"/>
        <v>0</v>
      </c>
      <c r="AC1328" s="565"/>
    </row>
    <row r="1329" spans="5:29">
      <c r="E1329" s="598"/>
      <c r="F1329" s="699"/>
      <c r="G1329" s="700"/>
      <c r="H1329" s="598"/>
      <c r="I1329" s="598"/>
      <c r="J1329" s="598"/>
      <c r="K1329" s="598"/>
      <c r="L1329" s="598"/>
      <c r="Q1329" s="563">
        <v>46114</v>
      </c>
      <c r="R1329" s="564">
        <v>0.58333333333333337</v>
      </c>
      <c r="S1329" s="565" t="s">
        <v>185</v>
      </c>
      <c r="T1329" s="565" t="s">
        <v>855</v>
      </c>
      <c r="U1329" s="566">
        <v>300</v>
      </c>
      <c r="V1329" s="567" t="str">
        <f t="shared" si="695"/>
        <v>g</v>
      </c>
      <c r="W1329" s="568">
        <f t="shared" si="696"/>
        <v>180</v>
      </c>
      <c r="X1329" s="568">
        <f t="shared" si="697"/>
        <v>3</v>
      </c>
      <c r="Y1329" s="568">
        <f t="shared" si="698"/>
        <v>0</v>
      </c>
      <c r="Z1329" s="568">
        <f t="shared" si="699"/>
        <v>45</v>
      </c>
      <c r="AA1329" s="568">
        <f t="shared" si="700"/>
        <v>6</v>
      </c>
      <c r="AB1329" s="584">
        <f t="shared" si="701"/>
        <v>0</v>
      </c>
      <c r="AC1329" s="565"/>
    </row>
    <row r="1330" spans="5:29">
      <c r="E1330" s="598"/>
      <c r="F1330" s="699"/>
      <c r="G1330" s="700"/>
      <c r="H1330" s="598"/>
      <c r="I1330" s="598"/>
      <c r="J1330" s="598"/>
      <c r="K1330" s="598"/>
      <c r="L1330" s="598"/>
      <c r="Q1330" s="563">
        <v>46114</v>
      </c>
      <c r="R1330" s="564">
        <v>0.58333333333333304</v>
      </c>
      <c r="S1330" s="565" t="s">
        <v>185</v>
      </c>
      <c r="T1330" s="565" t="s">
        <v>475</v>
      </c>
      <c r="U1330" s="566">
        <v>1</v>
      </c>
      <c r="V1330" s="567" t="str">
        <f t="shared" si="695"/>
        <v>can</v>
      </c>
      <c r="W1330" s="568">
        <f t="shared" si="696"/>
        <v>5</v>
      </c>
      <c r="X1330" s="568">
        <f t="shared" si="697"/>
        <v>0</v>
      </c>
      <c r="Y1330" s="568">
        <f t="shared" si="698"/>
        <v>0</v>
      </c>
      <c r="Z1330" s="568">
        <f t="shared" si="699"/>
        <v>0</v>
      </c>
      <c r="AA1330" s="568">
        <f t="shared" si="700"/>
        <v>0</v>
      </c>
      <c r="AB1330" s="584">
        <f t="shared" si="701"/>
        <v>0</v>
      </c>
      <c r="AC1330" s="565"/>
    </row>
    <row r="1331" spans="5:29">
      <c r="E1331" s="598"/>
      <c r="F1331" s="699"/>
      <c r="G1331" s="700"/>
      <c r="H1331" s="598"/>
      <c r="I1331" s="598"/>
      <c r="J1331" s="598"/>
      <c r="K1331" s="598"/>
      <c r="L1331" s="598"/>
      <c r="Q1331" s="563">
        <v>46114</v>
      </c>
      <c r="R1331" s="564">
        <v>0.58333333333333304</v>
      </c>
      <c r="S1331" s="565" t="s">
        <v>185</v>
      </c>
      <c r="T1331" s="565" t="s">
        <v>190</v>
      </c>
      <c r="U1331" s="566">
        <v>2.5</v>
      </c>
      <c r="V1331" s="567" t="str">
        <f t="shared" si="695"/>
        <v>medium</v>
      </c>
      <c r="W1331" s="568">
        <f t="shared" si="696"/>
        <v>155</v>
      </c>
      <c r="X1331" s="568">
        <f t="shared" si="697"/>
        <v>3</v>
      </c>
      <c r="Y1331" s="568">
        <f t="shared" si="698"/>
        <v>0.5</v>
      </c>
      <c r="Z1331" s="568">
        <f t="shared" si="699"/>
        <v>38.5</v>
      </c>
      <c r="AA1331" s="568">
        <f t="shared" si="700"/>
        <v>7.75</v>
      </c>
      <c r="AB1331" s="584">
        <f t="shared" si="701"/>
        <v>0</v>
      </c>
      <c r="AC1331" s="565"/>
    </row>
    <row r="1332" spans="5:29">
      <c r="E1332" s="598"/>
      <c r="F1332" s="699"/>
      <c r="G1332" s="700"/>
      <c r="H1332" s="598"/>
      <c r="I1332" s="598"/>
      <c r="J1332" s="598"/>
      <c r="K1332" s="598"/>
      <c r="L1332" s="598"/>
      <c r="Q1332" s="563">
        <v>46114</v>
      </c>
      <c r="R1332" s="564">
        <v>0.70833333333333337</v>
      </c>
      <c r="S1332" s="565" t="s">
        <v>289</v>
      </c>
      <c r="T1332" s="565" t="s">
        <v>464</v>
      </c>
      <c r="U1332" s="566">
        <v>1</v>
      </c>
      <c r="V1332" s="567" t="str">
        <f t="shared" si="695"/>
        <v>lozenge</v>
      </c>
      <c r="W1332" s="568">
        <f t="shared" si="696"/>
        <v>10</v>
      </c>
      <c r="X1332" s="568">
        <f t="shared" si="697"/>
        <v>0</v>
      </c>
      <c r="Y1332" s="568">
        <f t="shared" si="698"/>
        <v>0</v>
      </c>
      <c r="Z1332" s="568">
        <f t="shared" si="699"/>
        <v>3</v>
      </c>
      <c r="AA1332" s="568">
        <f t="shared" si="700"/>
        <v>0</v>
      </c>
      <c r="AB1332" s="584">
        <f t="shared" si="701"/>
        <v>0</v>
      </c>
      <c r="AC1332" s="565"/>
    </row>
    <row r="1333" spans="5:29">
      <c r="E1333" s="598"/>
      <c r="F1333" s="699"/>
      <c r="G1333" s="700"/>
      <c r="H1333" s="598"/>
      <c r="I1333" s="598"/>
      <c r="J1333" s="598"/>
      <c r="K1333" s="598"/>
      <c r="L1333" s="598"/>
      <c r="Q1333" s="563">
        <v>46114</v>
      </c>
      <c r="R1333" s="564">
        <v>0.70833333333333304</v>
      </c>
      <c r="S1333" s="565" t="s">
        <v>289</v>
      </c>
      <c r="T1333" s="565" t="s">
        <v>180</v>
      </c>
      <c r="U1333" s="566">
        <v>300</v>
      </c>
      <c r="V1333" s="567" t="str">
        <f t="shared" si="695"/>
        <v>g</v>
      </c>
      <c r="W1333" s="568">
        <f t="shared" si="696"/>
        <v>390</v>
      </c>
      <c r="X1333" s="568">
        <f t="shared" si="697"/>
        <v>8.1000000000000014</v>
      </c>
      <c r="Y1333" s="568">
        <f t="shared" si="698"/>
        <v>0.89999999999999991</v>
      </c>
      <c r="Z1333" s="568">
        <f t="shared" si="699"/>
        <v>84</v>
      </c>
      <c r="AA1333" s="568">
        <f t="shared" si="700"/>
        <v>1.2000000000000002</v>
      </c>
      <c r="AB1333" s="584">
        <f t="shared" si="701"/>
        <v>0</v>
      </c>
      <c r="AC1333" s="565"/>
    </row>
    <row r="1334" spans="5:29">
      <c r="E1334" s="598"/>
      <c r="F1334" s="699"/>
      <c r="G1334" s="700"/>
      <c r="H1334" s="598"/>
      <c r="I1334" s="598"/>
      <c r="J1334" s="598"/>
      <c r="K1334" s="598"/>
      <c r="L1334" s="598"/>
      <c r="Q1334" s="563">
        <v>46114</v>
      </c>
      <c r="R1334" s="564">
        <v>0.70833333333333304</v>
      </c>
      <c r="S1334" s="565" t="s">
        <v>289</v>
      </c>
      <c r="T1334" s="565" t="s">
        <v>176</v>
      </c>
      <c r="U1334" s="566">
        <v>200</v>
      </c>
      <c r="V1334" s="567" t="str">
        <f t="shared" si="695"/>
        <v>g</v>
      </c>
      <c r="W1334" s="568">
        <f t="shared" si="696"/>
        <v>330</v>
      </c>
      <c r="X1334" s="568">
        <f t="shared" si="697"/>
        <v>50</v>
      </c>
      <c r="Y1334" s="568">
        <f t="shared" si="698"/>
        <v>7.2</v>
      </c>
      <c r="Z1334" s="568">
        <f t="shared" si="699"/>
        <v>0</v>
      </c>
      <c r="AA1334" s="568">
        <f t="shared" si="700"/>
        <v>0</v>
      </c>
      <c r="AB1334" s="584">
        <f t="shared" si="701"/>
        <v>0</v>
      </c>
      <c r="AC1334" s="565"/>
    </row>
    <row r="1335" spans="5:29">
      <c r="E1335" s="598"/>
      <c r="F1335" s="699"/>
      <c r="G1335" s="700"/>
      <c r="H1335" s="598"/>
      <c r="I1335" s="598"/>
      <c r="J1335" s="598"/>
      <c r="K1335" s="598"/>
      <c r="L1335" s="598"/>
      <c r="Q1335" s="563">
        <v>46114</v>
      </c>
      <c r="R1335" s="564">
        <v>0.70833333333333304</v>
      </c>
      <c r="S1335" s="565" t="s">
        <v>289</v>
      </c>
      <c r="T1335" s="565" t="s">
        <v>214</v>
      </c>
      <c r="U1335" s="566">
        <v>1</v>
      </c>
      <c r="V1335" s="567" t="str">
        <f t="shared" si="695"/>
        <v>bar</v>
      </c>
      <c r="W1335" s="568">
        <f t="shared" si="696"/>
        <v>67</v>
      </c>
      <c r="X1335" s="568">
        <f t="shared" si="697"/>
        <v>1</v>
      </c>
      <c r="Y1335" s="568">
        <f t="shared" si="698"/>
        <v>3.5</v>
      </c>
      <c r="Z1335" s="568">
        <f t="shared" si="699"/>
        <v>22</v>
      </c>
      <c r="AA1335" s="568">
        <f t="shared" si="700"/>
        <v>0.3</v>
      </c>
      <c r="AB1335" s="584">
        <f t="shared" si="701"/>
        <v>0</v>
      </c>
      <c r="AC1335" s="565"/>
    </row>
    <row r="1336" spans="5:29">
      <c r="E1336" s="598"/>
      <c r="F1336" s="699"/>
      <c r="G1336" s="700"/>
      <c r="H1336" s="598"/>
      <c r="I1336" s="598"/>
      <c r="J1336" s="598"/>
      <c r="K1336" s="598"/>
      <c r="L1336" s="598"/>
      <c r="Q1336" s="563">
        <v>46114</v>
      </c>
      <c r="R1336" s="564">
        <v>0.70833333333333304</v>
      </c>
      <c r="S1336" s="565" t="s">
        <v>289</v>
      </c>
      <c r="T1336" s="565" t="s">
        <v>786</v>
      </c>
      <c r="U1336" s="566">
        <v>1</v>
      </c>
      <c r="V1336" s="567" t="str">
        <f t="shared" si="695"/>
        <v>bottle</v>
      </c>
      <c r="W1336" s="568">
        <f t="shared" si="696"/>
        <v>90</v>
      </c>
      <c r="X1336" s="568">
        <f t="shared" si="697"/>
        <v>0</v>
      </c>
      <c r="Y1336" s="568">
        <f t="shared" si="698"/>
        <v>0</v>
      </c>
      <c r="Z1336" s="568">
        <f t="shared" si="699"/>
        <v>22</v>
      </c>
      <c r="AA1336" s="568">
        <f t="shared" si="700"/>
        <v>0</v>
      </c>
      <c r="AB1336" s="584">
        <f t="shared" si="701"/>
        <v>0</v>
      </c>
      <c r="AC1336" s="565"/>
    </row>
    <row r="1337" spans="5:29">
      <c r="E1337" s="598"/>
      <c r="F1337" s="699"/>
      <c r="G1337" s="700"/>
      <c r="H1337" s="598"/>
      <c r="I1337" s="598"/>
      <c r="J1337" s="598"/>
      <c r="K1337" s="598"/>
      <c r="L1337" s="598"/>
      <c r="Q1337" s="563">
        <v>46114</v>
      </c>
      <c r="R1337" s="564">
        <v>0.70833333333333304</v>
      </c>
      <c r="S1337" s="565" t="s">
        <v>289</v>
      </c>
      <c r="T1337" s="565" t="s">
        <v>209</v>
      </c>
      <c r="U1337" s="566">
        <v>3</v>
      </c>
      <c r="V1337" s="567" t="str">
        <f t="shared" si="695"/>
        <v>tbsp</v>
      </c>
      <c r="W1337" s="568">
        <f t="shared" si="696"/>
        <v>60</v>
      </c>
      <c r="X1337" s="568">
        <f t="shared" si="697"/>
        <v>0</v>
      </c>
      <c r="Y1337" s="568">
        <f t="shared" si="698"/>
        <v>0</v>
      </c>
      <c r="Z1337" s="568">
        <f t="shared" si="699"/>
        <v>15</v>
      </c>
      <c r="AA1337" s="568">
        <f t="shared" si="700"/>
        <v>13.5</v>
      </c>
      <c r="AB1337" s="684">
        <f t="shared" si="701"/>
        <v>0</v>
      </c>
      <c r="AC1337" s="565"/>
    </row>
    <row r="1338" spans="5:29">
      <c r="E1338" s="598"/>
      <c r="F1338" s="699"/>
      <c r="G1338" s="700"/>
      <c r="H1338" s="598"/>
      <c r="I1338" s="598"/>
      <c r="J1338" s="598"/>
      <c r="K1338" s="598"/>
      <c r="L1338" s="598"/>
      <c r="Q1338" s="569"/>
      <c r="R1338" s="570" t="s">
        <v>217</v>
      </c>
      <c r="S1338" s="571"/>
      <c r="T1338" s="572"/>
      <c r="U1338" s="572"/>
      <c r="V1338" s="573"/>
      <c r="W1338" s="574">
        <f t="shared" ref="W1338:AB1338" si="702">SUM(W1319:W1337)</f>
        <v>2707.6857142857143</v>
      </c>
      <c r="X1338" s="574">
        <f t="shared" si="702"/>
        <v>184.70190476190476</v>
      </c>
      <c r="Y1338" s="574">
        <f t="shared" si="702"/>
        <v>42.845238095238095</v>
      </c>
      <c r="Z1338" s="574">
        <f t="shared" si="702"/>
        <v>373.98809523809524</v>
      </c>
      <c r="AA1338" s="687">
        <f t="shared" si="702"/>
        <v>37.714761904761907</v>
      </c>
      <c r="AB1338" s="691">
        <f t="shared" si="702"/>
        <v>0</v>
      </c>
      <c r="AC1338" s="570"/>
    </row>
    <row r="1339" spans="5:29">
      <c r="E1339" s="598"/>
      <c r="F1339" s="699"/>
      <c r="G1339" s="700"/>
      <c r="H1339" s="598"/>
      <c r="I1339" s="598"/>
      <c r="J1339" s="598"/>
      <c r="K1339" s="598"/>
      <c r="L1339" s="598"/>
      <c r="Q1339" s="569"/>
      <c r="R1339" s="570" t="s">
        <v>220</v>
      </c>
      <c r="S1339" s="571"/>
      <c r="T1339" s="572"/>
      <c r="U1339" s="572"/>
      <c r="V1339" s="573"/>
      <c r="W1339" s="575">
        <f>$B$27</f>
        <v>2834.5625</v>
      </c>
      <c r="X1339" s="575">
        <f>$B$29</f>
        <v>154</v>
      </c>
      <c r="Y1339" s="575">
        <f>$B$30</f>
        <v>63.91</v>
      </c>
      <c r="Z1339" s="575">
        <f>$B$31</f>
        <v>410.84312499999999</v>
      </c>
      <c r="AA1339" s="694">
        <f>$B$32</f>
        <v>39.683875</v>
      </c>
      <c r="AB1339" s="695">
        <f>$B$39</f>
        <v>500</v>
      </c>
      <c r="AC1339" s="570"/>
    </row>
    <row r="1340" spans="5:29">
      <c r="E1340" s="598"/>
      <c r="F1340" s="699"/>
      <c r="G1340" s="700"/>
      <c r="H1340" s="598"/>
      <c r="I1340" s="598"/>
      <c r="J1340" s="598"/>
      <c r="K1340" s="598"/>
      <c r="L1340" s="598"/>
      <c r="Q1340" s="569"/>
      <c r="R1340" s="570" t="s">
        <v>222</v>
      </c>
      <c r="S1340" s="571"/>
      <c r="T1340" s="572"/>
      <c r="U1340" s="572"/>
      <c r="V1340" s="573"/>
      <c r="W1340" s="284">
        <f t="shared" ref="W1340:AB1340" si="703">W1338-W1339</f>
        <v>-126.87678571428569</v>
      </c>
      <c r="X1340" s="284">
        <f t="shared" si="703"/>
        <v>30.701904761904757</v>
      </c>
      <c r="Y1340" s="284">
        <f t="shared" si="703"/>
        <v>-21.064761904761902</v>
      </c>
      <c r="Z1340" s="284">
        <f t="shared" si="703"/>
        <v>-36.855029761904746</v>
      </c>
      <c r="AA1340" s="690">
        <f t="shared" si="703"/>
        <v>-1.9691130952380931</v>
      </c>
      <c r="AB1340" s="689">
        <f t="shared" si="703"/>
        <v>-500</v>
      </c>
      <c r="AC1340" s="570"/>
    </row>
    <row r="1341" spans="5:29">
      <c r="E1341" s="598"/>
      <c r="F1341" s="699"/>
      <c r="G1341" s="700"/>
      <c r="H1341" s="598"/>
      <c r="I1341" s="598"/>
      <c r="J1341" s="598"/>
      <c r="K1341" s="598"/>
      <c r="L1341" s="598"/>
      <c r="Q1341" s="563">
        <v>46115</v>
      </c>
      <c r="R1341" s="564">
        <v>0.33333333333333331</v>
      </c>
      <c r="S1341" s="565" t="s">
        <v>178</v>
      </c>
      <c r="T1341" s="565" t="s">
        <v>202</v>
      </c>
      <c r="U1341" s="566">
        <f>1/3</f>
        <v>0.33333333333333331</v>
      </c>
      <c r="V1341" s="567" t="str">
        <f t="shared" ref="V1341:V1362" si="704">IFERROR(VLOOKUP(T1341, $E$5:$L$818, 3, FALSE), "")</f>
        <v>tbsp</v>
      </c>
      <c r="W1341" s="568">
        <f t="shared" ref="W1341:W1362" si="705">IFERROR(VLOOKUP(T1341, $E$5:$L$818, 4, FALSE) * (U1341 / VLOOKUP(T1341, $E$5:$L$818, 2, FALSE)), "")</f>
        <v>20</v>
      </c>
      <c r="X1341" s="568">
        <f t="shared" ref="X1341:X1362" si="706">IFERROR(VLOOKUP(T1341, $E$5:$L$818, 5, FALSE) * (U1341 / VLOOKUP(T1341, $E$5:$L$818, 2, FALSE)), "")</f>
        <v>0.66666666666666663</v>
      </c>
      <c r="Y1341" s="568">
        <f t="shared" ref="Y1341:Y1362" si="707">IFERROR(VLOOKUP(T1341, $E$5:$L$818, 6, FALSE) * (U1341 / VLOOKUP(T1341, $E$5:$L$818, 2, FALSE)), "")</f>
        <v>1.3333333333333333</v>
      </c>
      <c r="Z1341" s="568">
        <f t="shared" ref="Z1341:Z1362" si="708">IFERROR(VLOOKUP(T1341, $E$5:$L$818, 7, FALSE) * (U1341 / VLOOKUP(T1341, $E$5:$L$818, 2, FALSE)), "")</f>
        <v>1.6666666666666665</v>
      </c>
      <c r="AA1341" s="568">
        <f t="shared" ref="AA1341:AA1362" si="709">IFERROR(VLOOKUP(T1341, $E$5:$L$818, 8, FALSE) * (U1341 / VLOOKUP(T1341, $E$5:$L$818, 2, FALSE)), "")</f>
        <v>1.3333333333333333</v>
      </c>
      <c r="AB1341" s="674">
        <f t="shared" ref="AB1341:AB1362" si="710">IFERROR(VLOOKUP(T1341, $E$5:$O$818, 9, FALSE) * (U1341 / VLOOKUP(T1341, $E$5:$O$818, 2, FALSE)), "")</f>
        <v>0</v>
      </c>
      <c r="AC1341" s="565"/>
    </row>
    <row r="1342" spans="5:29">
      <c r="E1342" s="598"/>
      <c r="F1342" s="699"/>
      <c r="G1342" s="700"/>
      <c r="H1342" s="598"/>
      <c r="I1342" s="598"/>
      <c r="J1342" s="598"/>
      <c r="K1342" s="598"/>
      <c r="L1342" s="598"/>
      <c r="Q1342" s="563">
        <v>46115</v>
      </c>
      <c r="R1342" s="564">
        <v>0.33333333333333298</v>
      </c>
      <c r="S1342" s="565" t="s">
        <v>178</v>
      </c>
      <c r="T1342" s="565" t="s">
        <v>899</v>
      </c>
      <c r="U1342" s="566">
        <v>60</v>
      </c>
      <c r="V1342" s="567" t="str">
        <f t="shared" si="704"/>
        <v>g</v>
      </c>
      <c r="W1342" s="568">
        <f t="shared" si="705"/>
        <v>252</v>
      </c>
      <c r="X1342" s="568">
        <f t="shared" si="706"/>
        <v>7.1999999999999993</v>
      </c>
      <c r="Y1342" s="568">
        <f t="shared" si="707"/>
        <v>6</v>
      </c>
      <c r="Z1342" s="568">
        <f t="shared" si="708"/>
        <v>42</v>
      </c>
      <c r="AA1342" s="568">
        <f t="shared" si="709"/>
        <v>4.8</v>
      </c>
      <c r="AB1342" s="584">
        <f t="shared" si="710"/>
        <v>0</v>
      </c>
      <c r="AC1342" s="565"/>
    </row>
    <row r="1343" spans="5:29">
      <c r="E1343" s="598"/>
      <c r="F1343" s="699"/>
      <c r="G1343" s="700"/>
      <c r="H1343" s="598"/>
      <c r="I1343" s="598"/>
      <c r="J1343" s="598"/>
      <c r="K1343" s="598"/>
      <c r="L1343" s="598"/>
      <c r="Q1343" s="563">
        <v>46115</v>
      </c>
      <c r="R1343" s="564">
        <v>0.33333333333333298</v>
      </c>
      <c r="S1343" s="565" t="s">
        <v>178</v>
      </c>
      <c r="T1343" s="565" t="s">
        <v>810</v>
      </c>
      <c r="U1343" s="566">
        <v>80</v>
      </c>
      <c r="V1343" s="567" t="str">
        <f t="shared" si="704"/>
        <v>g</v>
      </c>
      <c r="W1343" s="568">
        <f t="shared" si="705"/>
        <v>53.333333333333336</v>
      </c>
      <c r="X1343" s="568">
        <f t="shared" si="706"/>
        <v>3.2</v>
      </c>
      <c r="Y1343" s="568">
        <f t="shared" si="707"/>
        <v>1.3333333333333333</v>
      </c>
      <c r="Z1343" s="568">
        <f t="shared" si="708"/>
        <v>6.4</v>
      </c>
      <c r="AA1343" s="568">
        <f t="shared" si="709"/>
        <v>0</v>
      </c>
      <c r="AB1343" s="584">
        <f t="shared" si="710"/>
        <v>0</v>
      </c>
      <c r="AC1343" s="565"/>
    </row>
    <row r="1344" spans="5:29">
      <c r="E1344" s="598"/>
      <c r="F1344" s="699"/>
      <c r="G1344" s="700"/>
      <c r="H1344" s="598"/>
      <c r="I1344" s="598"/>
      <c r="J1344" s="598"/>
      <c r="K1344" s="598"/>
      <c r="L1344" s="598"/>
      <c r="Q1344" s="563">
        <v>46115</v>
      </c>
      <c r="R1344" s="564">
        <v>0.33333333333333298</v>
      </c>
      <c r="S1344" s="565" t="s">
        <v>178</v>
      </c>
      <c r="T1344" s="565" t="s">
        <v>900</v>
      </c>
      <c r="U1344" s="566">
        <v>13</v>
      </c>
      <c r="V1344" s="567" t="str">
        <f t="shared" si="704"/>
        <v>g</v>
      </c>
      <c r="W1344" s="568">
        <f t="shared" si="705"/>
        <v>78</v>
      </c>
      <c r="X1344" s="568">
        <f t="shared" si="706"/>
        <v>3.4666666666666668</v>
      </c>
      <c r="Y1344" s="568">
        <f t="shared" si="707"/>
        <v>6.9333333333333336</v>
      </c>
      <c r="Z1344" s="568">
        <f t="shared" si="708"/>
        <v>2.6</v>
      </c>
      <c r="AA1344" s="568">
        <f t="shared" si="709"/>
        <v>0</v>
      </c>
      <c r="AB1344" s="584">
        <f t="shared" si="710"/>
        <v>0</v>
      </c>
      <c r="AC1344" s="565"/>
    </row>
    <row r="1345" spans="5:29">
      <c r="E1345" s="598"/>
      <c r="F1345" s="699"/>
      <c r="G1345" s="700"/>
      <c r="H1345" s="598"/>
      <c r="I1345" s="598"/>
      <c r="J1345" s="598"/>
      <c r="K1345" s="598"/>
      <c r="L1345" s="598"/>
      <c r="Q1345" s="563">
        <v>46115</v>
      </c>
      <c r="R1345" s="564">
        <v>0.33333333333333298</v>
      </c>
      <c r="S1345" s="565" t="s">
        <v>178</v>
      </c>
      <c r="T1345" s="565" t="s">
        <v>901</v>
      </c>
      <c r="U1345" s="566">
        <v>6</v>
      </c>
      <c r="V1345" s="567" t="str">
        <f t="shared" si="704"/>
        <v>g</v>
      </c>
      <c r="W1345" s="568">
        <f t="shared" si="705"/>
        <v>19.200000000000003</v>
      </c>
      <c r="X1345" s="568">
        <f t="shared" si="706"/>
        <v>0</v>
      </c>
      <c r="Y1345" s="568">
        <f t="shared" si="707"/>
        <v>0</v>
      </c>
      <c r="Z1345" s="568">
        <f t="shared" si="708"/>
        <v>4.8000000000000007</v>
      </c>
      <c r="AA1345" s="568">
        <f t="shared" si="709"/>
        <v>0</v>
      </c>
      <c r="AB1345" s="584">
        <f t="shared" si="710"/>
        <v>0</v>
      </c>
      <c r="AC1345" s="565"/>
    </row>
    <row r="1346" spans="5:29">
      <c r="E1346" s="598"/>
      <c r="F1346" s="699"/>
      <c r="G1346" s="700"/>
      <c r="H1346" s="598"/>
      <c r="I1346" s="598"/>
      <c r="J1346" s="598"/>
      <c r="K1346" s="598"/>
      <c r="L1346" s="598"/>
      <c r="Q1346" s="563">
        <v>46115</v>
      </c>
      <c r="R1346" s="564">
        <v>0.33333333333333298</v>
      </c>
      <c r="S1346" s="565" t="s">
        <v>178</v>
      </c>
      <c r="T1346" s="565" t="s">
        <v>900</v>
      </c>
      <c r="U1346" s="566">
        <v>10</v>
      </c>
      <c r="V1346" s="567" t="str">
        <f t="shared" si="704"/>
        <v>g</v>
      </c>
      <c r="W1346" s="568">
        <f t="shared" si="705"/>
        <v>60</v>
      </c>
      <c r="X1346" s="568">
        <f t="shared" si="706"/>
        <v>2.6666666666666665</v>
      </c>
      <c r="Y1346" s="568">
        <f t="shared" si="707"/>
        <v>5.333333333333333</v>
      </c>
      <c r="Z1346" s="568">
        <f t="shared" si="708"/>
        <v>2</v>
      </c>
      <c r="AA1346" s="568">
        <f t="shared" si="709"/>
        <v>0</v>
      </c>
      <c r="AB1346" s="584">
        <f t="shared" si="710"/>
        <v>0</v>
      </c>
      <c r="AC1346" s="565"/>
    </row>
    <row r="1347" spans="5:29">
      <c r="E1347" s="598"/>
      <c r="F1347" s="699"/>
      <c r="G1347" s="700"/>
      <c r="H1347" s="598"/>
      <c r="I1347" s="598"/>
      <c r="J1347" s="598"/>
      <c r="K1347" s="598"/>
      <c r="L1347" s="598"/>
      <c r="Q1347" s="563">
        <v>46115</v>
      </c>
      <c r="R1347" s="564">
        <v>0.33333333333333298</v>
      </c>
      <c r="S1347" s="565" t="s">
        <v>178</v>
      </c>
      <c r="T1347" s="565" t="s">
        <v>295</v>
      </c>
      <c r="U1347" s="566">
        <v>1</v>
      </c>
      <c r="V1347" s="567" t="str">
        <f t="shared" si="704"/>
        <v>bottle</v>
      </c>
      <c r="W1347" s="568">
        <f t="shared" si="705"/>
        <v>200</v>
      </c>
      <c r="X1347" s="568">
        <f t="shared" si="706"/>
        <v>35</v>
      </c>
      <c r="Y1347" s="568">
        <f t="shared" si="707"/>
        <v>2.5</v>
      </c>
      <c r="Z1347" s="568">
        <f t="shared" si="708"/>
        <v>9</v>
      </c>
      <c r="AA1347" s="568">
        <f t="shared" si="709"/>
        <v>0</v>
      </c>
      <c r="AB1347" s="584">
        <f t="shared" si="710"/>
        <v>0</v>
      </c>
      <c r="AC1347" s="565"/>
    </row>
    <row r="1348" spans="5:29">
      <c r="E1348" s="598"/>
      <c r="F1348" s="699"/>
      <c r="G1348" s="700"/>
      <c r="H1348" s="598"/>
      <c r="I1348" s="598"/>
      <c r="J1348" s="598"/>
      <c r="K1348" s="598"/>
      <c r="L1348" s="598"/>
      <c r="Q1348" s="563">
        <v>46115</v>
      </c>
      <c r="R1348" s="564">
        <v>0.33333333333333298</v>
      </c>
      <c r="S1348" s="565" t="s">
        <v>178</v>
      </c>
      <c r="T1348" s="565" t="s">
        <v>827</v>
      </c>
      <c r="U1348" s="566">
        <v>1</v>
      </c>
      <c r="V1348" s="567" t="str">
        <f t="shared" si="704"/>
        <v>pack</v>
      </c>
      <c r="W1348" s="568">
        <f t="shared" si="705"/>
        <v>20</v>
      </c>
      <c r="X1348" s="568">
        <f t="shared" si="706"/>
        <v>0</v>
      </c>
      <c r="Y1348" s="568">
        <f t="shared" si="707"/>
        <v>0.5</v>
      </c>
      <c r="Z1348" s="568">
        <f t="shared" si="708"/>
        <v>3</v>
      </c>
      <c r="AA1348" s="568">
        <f t="shared" si="709"/>
        <v>0</v>
      </c>
      <c r="AB1348" s="584">
        <f t="shared" si="710"/>
        <v>0</v>
      </c>
      <c r="AC1348" s="565"/>
    </row>
    <row r="1349" spans="5:29">
      <c r="E1349" s="598"/>
      <c r="F1349" s="699"/>
      <c r="G1349" s="700"/>
      <c r="H1349" s="598"/>
      <c r="I1349" s="598"/>
      <c r="J1349" s="598"/>
      <c r="K1349" s="598"/>
      <c r="L1349" s="598"/>
      <c r="Q1349" s="563">
        <v>46115</v>
      </c>
      <c r="R1349" s="564">
        <v>0.41666666666666669</v>
      </c>
      <c r="S1349" s="565" t="s">
        <v>178</v>
      </c>
      <c r="T1349" s="565" t="s">
        <v>181</v>
      </c>
      <c r="U1349" s="566">
        <v>2</v>
      </c>
      <c r="V1349" s="567" t="str">
        <f t="shared" si="704"/>
        <v>slice</v>
      </c>
      <c r="W1349" s="568">
        <f t="shared" si="705"/>
        <v>140</v>
      </c>
      <c r="X1349" s="568">
        <f t="shared" si="706"/>
        <v>5</v>
      </c>
      <c r="Y1349" s="568">
        <f t="shared" si="707"/>
        <v>2.5</v>
      </c>
      <c r="Z1349" s="568">
        <f t="shared" si="708"/>
        <v>24</v>
      </c>
      <c r="AA1349" s="568">
        <f t="shared" si="709"/>
        <v>2</v>
      </c>
      <c r="AB1349" s="584">
        <f t="shared" si="710"/>
        <v>0</v>
      </c>
      <c r="AC1349" s="565"/>
    </row>
    <row r="1350" spans="5:29">
      <c r="E1350" s="598"/>
      <c r="F1350" s="699"/>
      <c r="G1350" s="700"/>
      <c r="H1350" s="598"/>
      <c r="I1350" s="598"/>
      <c r="J1350" s="598"/>
      <c r="K1350" s="598"/>
      <c r="L1350" s="598"/>
      <c r="Q1350" s="563">
        <v>46115</v>
      </c>
      <c r="R1350" s="564">
        <v>0.45833333333333331</v>
      </c>
      <c r="S1350" s="565" t="s">
        <v>178</v>
      </c>
      <c r="T1350" s="565" t="s">
        <v>461</v>
      </c>
      <c r="U1350" s="566">
        <v>2</v>
      </c>
      <c r="V1350" s="567" t="str">
        <f t="shared" si="704"/>
        <v>chunks</v>
      </c>
      <c r="W1350" s="568">
        <f t="shared" si="705"/>
        <v>48.571428571428569</v>
      </c>
      <c r="X1350" s="568">
        <f t="shared" si="706"/>
        <v>0.8571428571428571</v>
      </c>
      <c r="Y1350" s="568">
        <f t="shared" si="707"/>
        <v>2.8571428571428568</v>
      </c>
      <c r="Z1350" s="568">
        <f t="shared" si="708"/>
        <v>5.1428571428571423</v>
      </c>
      <c r="AA1350" s="568">
        <f t="shared" si="709"/>
        <v>0.14285714285714285</v>
      </c>
      <c r="AB1350" s="584">
        <f t="shared" si="710"/>
        <v>0</v>
      </c>
      <c r="AC1350" s="565"/>
    </row>
    <row r="1351" spans="5:29">
      <c r="E1351" s="598"/>
      <c r="F1351" s="699"/>
      <c r="G1351" s="700"/>
      <c r="H1351" s="598"/>
      <c r="I1351" s="598"/>
      <c r="J1351" s="598"/>
      <c r="K1351" s="598"/>
      <c r="L1351" s="598"/>
      <c r="Q1351" s="563">
        <v>46115</v>
      </c>
      <c r="R1351" s="564">
        <v>0.54166666666666663</v>
      </c>
      <c r="S1351" s="565" t="s">
        <v>185</v>
      </c>
      <c r="T1351" s="565" t="s">
        <v>911</v>
      </c>
      <c r="U1351" s="566">
        <f>3/4</f>
        <v>0.75</v>
      </c>
      <c r="V1351" s="567" t="str">
        <f t="shared" si="704"/>
        <v>pieces</v>
      </c>
      <c r="W1351" s="568">
        <f t="shared" si="705"/>
        <v>16.875</v>
      </c>
      <c r="X1351" s="568">
        <f t="shared" si="706"/>
        <v>0.1875</v>
      </c>
      <c r="Y1351" s="568">
        <f t="shared" si="707"/>
        <v>0.9375</v>
      </c>
      <c r="Z1351" s="568">
        <f t="shared" si="708"/>
        <v>1.875</v>
      </c>
      <c r="AA1351" s="568">
        <f t="shared" si="709"/>
        <v>0</v>
      </c>
      <c r="AB1351" s="584">
        <f t="shared" si="710"/>
        <v>0</v>
      </c>
      <c r="AC1351" s="565"/>
    </row>
    <row r="1352" spans="5:29">
      <c r="E1352" s="598"/>
      <c r="F1352" s="699"/>
      <c r="G1352" s="700"/>
      <c r="H1352" s="598"/>
      <c r="I1352" s="598"/>
      <c r="J1352" s="598"/>
      <c r="K1352" s="598"/>
      <c r="L1352" s="598"/>
      <c r="Q1352" s="563">
        <v>46115</v>
      </c>
      <c r="R1352" s="564">
        <v>0.54166666666666663</v>
      </c>
      <c r="S1352" s="565" t="s">
        <v>185</v>
      </c>
      <c r="T1352" s="565" t="s">
        <v>176</v>
      </c>
      <c r="U1352" s="566">
        <v>300</v>
      </c>
      <c r="V1352" s="567" t="str">
        <f t="shared" si="704"/>
        <v>g</v>
      </c>
      <c r="W1352" s="568">
        <f t="shared" si="705"/>
        <v>495</v>
      </c>
      <c r="X1352" s="568">
        <f t="shared" si="706"/>
        <v>75</v>
      </c>
      <c r="Y1352" s="568">
        <f t="shared" si="707"/>
        <v>10.8</v>
      </c>
      <c r="Z1352" s="568">
        <f t="shared" si="708"/>
        <v>0</v>
      </c>
      <c r="AA1352" s="568">
        <f t="shared" si="709"/>
        <v>0</v>
      </c>
      <c r="AB1352" s="584">
        <f t="shared" si="710"/>
        <v>0</v>
      </c>
      <c r="AC1352" s="565"/>
    </row>
    <row r="1353" spans="5:29">
      <c r="E1353" s="598"/>
      <c r="F1353" s="699"/>
      <c r="G1353" s="700"/>
      <c r="H1353" s="598"/>
      <c r="I1353" s="598"/>
      <c r="J1353" s="598"/>
      <c r="K1353" s="598"/>
      <c r="L1353" s="598"/>
      <c r="Q1353" s="563">
        <v>46115</v>
      </c>
      <c r="R1353" s="564">
        <v>0.54166666666666696</v>
      </c>
      <c r="S1353" s="565" t="s">
        <v>185</v>
      </c>
      <c r="T1353" s="565" t="s">
        <v>180</v>
      </c>
      <c r="U1353" s="566">
        <v>200</v>
      </c>
      <c r="V1353" s="567" t="str">
        <f t="shared" si="704"/>
        <v>g</v>
      </c>
      <c r="W1353" s="568">
        <f t="shared" si="705"/>
        <v>260</v>
      </c>
      <c r="X1353" s="568">
        <f t="shared" si="706"/>
        <v>5.4</v>
      </c>
      <c r="Y1353" s="568">
        <f t="shared" si="707"/>
        <v>0.6</v>
      </c>
      <c r="Z1353" s="568">
        <f t="shared" si="708"/>
        <v>56</v>
      </c>
      <c r="AA1353" s="568">
        <f t="shared" si="709"/>
        <v>0.8</v>
      </c>
      <c r="AB1353" s="584">
        <f t="shared" si="710"/>
        <v>0</v>
      </c>
      <c r="AC1353" s="565"/>
    </row>
    <row r="1354" spans="5:29">
      <c r="E1354" s="598"/>
      <c r="F1354" s="699"/>
      <c r="G1354" s="700"/>
      <c r="H1354" s="598"/>
      <c r="I1354" s="598"/>
      <c r="J1354" s="598"/>
      <c r="K1354" s="598"/>
      <c r="L1354" s="598"/>
      <c r="Q1354" s="563">
        <v>46115</v>
      </c>
      <c r="R1354" s="564">
        <v>0.58333333333333337</v>
      </c>
      <c r="S1354" s="565" t="s">
        <v>185</v>
      </c>
      <c r="T1354" s="565" t="s">
        <v>268</v>
      </c>
      <c r="U1354" s="566">
        <v>1</v>
      </c>
      <c r="V1354" s="567" t="str">
        <f t="shared" si="704"/>
        <v>scoop</v>
      </c>
      <c r="W1354" s="568">
        <f t="shared" si="705"/>
        <v>160</v>
      </c>
      <c r="X1354" s="568">
        <f t="shared" si="706"/>
        <v>2.5</v>
      </c>
      <c r="Y1354" s="568">
        <f t="shared" si="707"/>
        <v>8.5</v>
      </c>
      <c r="Z1354" s="568">
        <f t="shared" si="708"/>
        <v>19.5</v>
      </c>
      <c r="AA1354" s="568">
        <f t="shared" si="709"/>
        <v>0</v>
      </c>
      <c r="AB1354" s="584">
        <f t="shared" si="710"/>
        <v>0</v>
      </c>
      <c r="AC1354" s="565"/>
    </row>
    <row r="1355" spans="5:29">
      <c r="E1355" s="598"/>
      <c r="F1355" s="699"/>
      <c r="G1355" s="700"/>
      <c r="H1355" s="598"/>
      <c r="I1355" s="598"/>
      <c r="J1355" s="598"/>
      <c r="K1355" s="598"/>
      <c r="L1355" s="598"/>
      <c r="Q1355" s="563">
        <v>46115</v>
      </c>
      <c r="R1355" s="564">
        <v>0.70833333333333337</v>
      </c>
      <c r="S1355" s="565" t="s">
        <v>289</v>
      </c>
      <c r="T1355" s="565" t="s">
        <v>497</v>
      </c>
      <c r="U1355" s="566">
        <v>0.5</v>
      </c>
      <c r="V1355" s="567" t="str">
        <f t="shared" si="704"/>
        <v>bag</v>
      </c>
      <c r="W1355" s="568">
        <f t="shared" si="705"/>
        <v>50</v>
      </c>
      <c r="X1355" s="568">
        <f t="shared" si="706"/>
        <v>0.25</v>
      </c>
      <c r="Y1355" s="568">
        <f t="shared" si="707"/>
        <v>3.5</v>
      </c>
      <c r="Z1355" s="568">
        <f t="shared" si="708"/>
        <v>5</v>
      </c>
      <c r="AA1355" s="568">
        <f t="shared" si="709"/>
        <v>0</v>
      </c>
      <c r="AB1355" s="584">
        <f t="shared" si="710"/>
        <v>0</v>
      </c>
      <c r="AC1355" s="565"/>
    </row>
    <row r="1356" spans="5:29">
      <c r="E1356" s="598"/>
      <c r="F1356" s="699"/>
      <c r="G1356" s="700"/>
      <c r="H1356" s="598"/>
      <c r="I1356" s="598"/>
      <c r="J1356" s="598"/>
      <c r="K1356" s="598"/>
      <c r="L1356" s="598"/>
      <c r="Q1356" s="563">
        <v>46115</v>
      </c>
      <c r="R1356" s="564">
        <v>0.875</v>
      </c>
      <c r="S1356" s="565" t="s">
        <v>199</v>
      </c>
      <c r="T1356" s="565" t="s">
        <v>180</v>
      </c>
      <c r="U1356" s="566">
        <v>300</v>
      </c>
      <c r="V1356" s="567" t="str">
        <f t="shared" si="704"/>
        <v>g</v>
      </c>
      <c r="W1356" s="568">
        <f t="shared" si="705"/>
        <v>390</v>
      </c>
      <c r="X1356" s="568">
        <f t="shared" si="706"/>
        <v>8.1000000000000014</v>
      </c>
      <c r="Y1356" s="568">
        <f t="shared" si="707"/>
        <v>0.89999999999999991</v>
      </c>
      <c r="Z1356" s="568">
        <f t="shared" si="708"/>
        <v>84</v>
      </c>
      <c r="AA1356" s="568">
        <f t="shared" si="709"/>
        <v>1.2000000000000002</v>
      </c>
      <c r="AB1356" s="584">
        <f t="shared" si="710"/>
        <v>0</v>
      </c>
      <c r="AC1356" s="565"/>
    </row>
    <row r="1357" spans="5:29">
      <c r="E1357" s="598"/>
      <c r="F1357" s="699"/>
      <c r="G1357" s="700"/>
      <c r="H1357" s="598"/>
      <c r="I1357" s="598"/>
      <c r="J1357" s="598"/>
      <c r="K1357" s="598"/>
      <c r="L1357" s="598"/>
      <c r="Q1357" s="563">
        <v>46115</v>
      </c>
      <c r="R1357" s="564">
        <v>0.875</v>
      </c>
      <c r="S1357" s="565" t="s">
        <v>199</v>
      </c>
      <c r="T1357" s="565" t="s">
        <v>176</v>
      </c>
      <c r="U1357" s="566">
        <v>200</v>
      </c>
      <c r="V1357" s="567" t="str">
        <f t="shared" si="704"/>
        <v>g</v>
      </c>
      <c r="W1357" s="568">
        <f t="shared" si="705"/>
        <v>330</v>
      </c>
      <c r="X1357" s="568">
        <f t="shared" si="706"/>
        <v>50</v>
      </c>
      <c r="Y1357" s="568">
        <f t="shared" si="707"/>
        <v>7.2</v>
      </c>
      <c r="Z1357" s="568">
        <f t="shared" si="708"/>
        <v>0</v>
      </c>
      <c r="AA1357" s="568">
        <f t="shared" si="709"/>
        <v>0</v>
      </c>
      <c r="AB1357" s="584">
        <f t="shared" si="710"/>
        <v>0</v>
      </c>
      <c r="AC1357" s="565"/>
    </row>
    <row r="1358" spans="5:29">
      <c r="E1358" s="598"/>
      <c r="F1358" s="699"/>
      <c r="G1358" s="700"/>
      <c r="H1358" s="598"/>
      <c r="I1358" s="598"/>
      <c r="J1358" s="598"/>
      <c r="K1358" s="598"/>
      <c r="L1358" s="598"/>
      <c r="Q1358" s="563">
        <v>46115</v>
      </c>
      <c r="R1358" s="564">
        <v>0.875</v>
      </c>
      <c r="S1358" s="565" t="s">
        <v>199</v>
      </c>
      <c r="T1358" s="565" t="s">
        <v>907</v>
      </c>
      <c r="U1358" s="566">
        <v>4</v>
      </c>
      <c r="V1358" s="567" t="str">
        <f t="shared" si="704"/>
        <v>pieces</v>
      </c>
      <c r="W1358" s="568">
        <f t="shared" si="705"/>
        <v>260</v>
      </c>
      <c r="X1358" s="568">
        <f t="shared" si="706"/>
        <v>28</v>
      </c>
      <c r="Y1358" s="568">
        <f t="shared" si="707"/>
        <v>13.333333333333332</v>
      </c>
      <c r="Z1358" s="568">
        <f t="shared" si="708"/>
        <v>8</v>
      </c>
      <c r="AA1358" s="568">
        <f t="shared" si="709"/>
        <v>0</v>
      </c>
      <c r="AB1358" s="584">
        <f t="shared" si="710"/>
        <v>0</v>
      </c>
      <c r="AC1358" s="565"/>
    </row>
    <row r="1359" spans="5:29">
      <c r="E1359" s="598"/>
      <c r="F1359" s="699"/>
      <c r="G1359" s="700"/>
      <c r="H1359" s="598"/>
      <c r="I1359" s="598"/>
      <c r="J1359" s="598"/>
      <c r="K1359" s="598"/>
      <c r="L1359" s="598"/>
      <c r="Q1359" s="563">
        <v>46115</v>
      </c>
      <c r="R1359" s="564">
        <v>0.875</v>
      </c>
      <c r="S1359" s="565" t="s">
        <v>199</v>
      </c>
      <c r="T1359" s="565" t="s">
        <v>916</v>
      </c>
      <c r="U1359" s="566">
        <f>1/2</f>
        <v>0.5</v>
      </c>
      <c r="V1359" s="567" t="str">
        <f t="shared" si="704"/>
        <v>box</v>
      </c>
      <c r="W1359" s="568">
        <f t="shared" si="705"/>
        <v>22.5</v>
      </c>
      <c r="X1359" s="568">
        <f t="shared" si="706"/>
        <v>1</v>
      </c>
      <c r="Y1359" s="568">
        <f t="shared" si="707"/>
        <v>0</v>
      </c>
      <c r="Z1359" s="568">
        <f t="shared" si="708"/>
        <v>4.5</v>
      </c>
      <c r="AA1359" s="568">
        <f t="shared" si="709"/>
        <v>1.5</v>
      </c>
      <c r="AB1359" s="584">
        <f t="shared" si="710"/>
        <v>0</v>
      </c>
      <c r="AC1359" s="565"/>
    </row>
    <row r="1360" spans="5:29">
      <c r="E1360" s="598"/>
      <c r="F1360" s="699"/>
      <c r="G1360" s="700"/>
      <c r="H1360" s="598"/>
      <c r="I1360" s="598"/>
      <c r="J1360" s="598"/>
      <c r="K1360" s="598"/>
      <c r="L1360" s="598"/>
      <c r="Q1360" s="563">
        <v>46115</v>
      </c>
      <c r="R1360" s="564">
        <v>0.875</v>
      </c>
      <c r="S1360" s="565" t="s">
        <v>199</v>
      </c>
      <c r="T1360" s="565" t="s">
        <v>908</v>
      </c>
      <c r="U1360" s="566">
        <v>180</v>
      </c>
      <c r="V1360" s="567" t="str">
        <f t="shared" si="704"/>
        <v>g</v>
      </c>
      <c r="W1360" s="568">
        <f t="shared" si="705"/>
        <v>292.5</v>
      </c>
      <c r="X1360" s="568">
        <f t="shared" si="706"/>
        <v>9</v>
      </c>
      <c r="Y1360" s="568">
        <f t="shared" si="707"/>
        <v>9</v>
      </c>
      <c r="Z1360" s="568">
        <f t="shared" si="708"/>
        <v>42.75</v>
      </c>
      <c r="AA1360" s="568">
        <f t="shared" si="709"/>
        <v>4.5</v>
      </c>
      <c r="AB1360" s="584">
        <f t="shared" si="710"/>
        <v>0</v>
      </c>
      <c r="AC1360" s="565"/>
    </row>
    <row r="1361" spans="5:29">
      <c r="E1361" s="598"/>
      <c r="F1361" s="699"/>
      <c r="G1361" s="700"/>
      <c r="H1361" s="598"/>
      <c r="I1361" s="598"/>
      <c r="J1361" s="598"/>
      <c r="K1361" s="598"/>
      <c r="L1361" s="598"/>
      <c r="Q1361" s="563">
        <v>46115</v>
      </c>
      <c r="R1361" s="564">
        <v>0.875</v>
      </c>
      <c r="S1361" s="565" t="s">
        <v>199</v>
      </c>
      <c r="T1361" s="565" t="s">
        <v>786</v>
      </c>
      <c r="U1361" s="566">
        <v>1</v>
      </c>
      <c r="V1361" s="567" t="str">
        <f t="shared" si="704"/>
        <v>bottle</v>
      </c>
      <c r="W1361" s="568">
        <f t="shared" si="705"/>
        <v>90</v>
      </c>
      <c r="X1361" s="568">
        <f t="shared" si="706"/>
        <v>0</v>
      </c>
      <c r="Y1361" s="568">
        <f t="shared" si="707"/>
        <v>0</v>
      </c>
      <c r="Z1361" s="568">
        <f t="shared" si="708"/>
        <v>22</v>
      </c>
      <c r="AA1361" s="568">
        <f t="shared" si="709"/>
        <v>0</v>
      </c>
      <c r="AB1361" s="584">
        <f t="shared" si="710"/>
        <v>0</v>
      </c>
      <c r="AC1361" s="565"/>
    </row>
    <row r="1362" spans="5:29">
      <c r="E1362" s="598"/>
      <c r="F1362" s="699"/>
      <c r="G1362" s="700"/>
      <c r="H1362" s="598"/>
      <c r="I1362" s="598"/>
      <c r="J1362" s="598"/>
      <c r="K1362" s="598"/>
      <c r="L1362" s="598"/>
      <c r="Q1362" s="563">
        <v>46115</v>
      </c>
      <c r="R1362" s="564">
        <v>0.875</v>
      </c>
      <c r="S1362" s="565" t="s">
        <v>199</v>
      </c>
      <c r="T1362" s="565" t="s">
        <v>209</v>
      </c>
      <c r="U1362" s="566">
        <v>3</v>
      </c>
      <c r="V1362" s="567" t="str">
        <f t="shared" si="704"/>
        <v>tbsp</v>
      </c>
      <c r="W1362" s="568">
        <f t="shared" si="705"/>
        <v>60</v>
      </c>
      <c r="X1362" s="568">
        <f t="shared" si="706"/>
        <v>0</v>
      </c>
      <c r="Y1362" s="568">
        <f t="shared" si="707"/>
        <v>0</v>
      </c>
      <c r="Z1362" s="568">
        <f t="shared" si="708"/>
        <v>15</v>
      </c>
      <c r="AA1362" s="568">
        <f t="shared" si="709"/>
        <v>13.5</v>
      </c>
      <c r="AB1362" s="684">
        <f t="shared" si="710"/>
        <v>0</v>
      </c>
      <c r="AC1362" s="565"/>
    </row>
    <row r="1363" spans="5:29">
      <c r="E1363" s="598"/>
      <c r="F1363" s="699"/>
      <c r="G1363" s="700"/>
      <c r="H1363" s="598"/>
      <c r="I1363" s="598"/>
      <c r="J1363" s="598"/>
      <c r="K1363" s="598"/>
      <c r="L1363" s="598"/>
      <c r="Q1363" s="569"/>
      <c r="R1363" s="570" t="s">
        <v>217</v>
      </c>
      <c r="S1363" s="571"/>
      <c r="T1363" s="572"/>
      <c r="U1363" s="572"/>
      <c r="V1363" s="573"/>
      <c r="W1363" s="574">
        <f t="shared" ref="W1363:AB1363" si="711">SUM(W1341:W1362)</f>
        <v>3317.9797619047617</v>
      </c>
      <c r="X1363" s="574">
        <f t="shared" si="711"/>
        <v>237.49464285714285</v>
      </c>
      <c r="Y1363" s="574">
        <f t="shared" si="711"/>
        <v>84.061309523809527</v>
      </c>
      <c r="Z1363" s="574">
        <f t="shared" si="711"/>
        <v>359.23452380952381</v>
      </c>
      <c r="AA1363" s="687">
        <f t="shared" si="711"/>
        <v>29.776190476190475</v>
      </c>
      <c r="AB1363" s="691">
        <f t="shared" si="711"/>
        <v>0</v>
      </c>
      <c r="AC1363" s="570"/>
    </row>
    <row r="1364" spans="5:29">
      <c r="E1364" s="598"/>
      <c r="F1364" s="699"/>
      <c r="G1364" s="700"/>
      <c r="H1364" s="598"/>
      <c r="I1364" s="598"/>
      <c r="J1364" s="598"/>
      <c r="K1364" s="598"/>
      <c r="L1364" s="598"/>
      <c r="Q1364" s="569"/>
      <c r="R1364" s="570" t="s">
        <v>220</v>
      </c>
      <c r="S1364" s="571"/>
      <c r="T1364" s="572"/>
      <c r="U1364" s="572"/>
      <c r="V1364" s="573"/>
      <c r="W1364" s="575">
        <f>$B$27</f>
        <v>2834.5625</v>
      </c>
      <c r="X1364" s="575">
        <f>$B$29</f>
        <v>154</v>
      </c>
      <c r="Y1364" s="575">
        <f>$B$30</f>
        <v>63.91</v>
      </c>
      <c r="Z1364" s="575">
        <f>$B$31</f>
        <v>410.84312499999999</v>
      </c>
      <c r="AA1364" s="694">
        <f>$B$32</f>
        <v>39.683875</v>
      </c>
      <c r="AB1364" s="695">
        <f>$B$39</f>
        <v>500</v>
      </c>
      <c r="AC1364" s="570"/>
    </row>
    <row r="1365" spans="5:29">
      <c r="E1365" s="598"/>
      <c r="F1365" s="699"/>
      <c r="G1365" s="700"/>
      <c r="H1365" s="598"/>
      <c r="I1365" s="598"/>
      <c r="J1365" s="598"/>
      <c r="K1365" s="598"/>
      <c r="L1365" s="598"/>
      <c r="Q1365" s="569"/>
      <c r="R1365" s="570" t="s">
        <v>222</v>
      </c>
      <c r="S1365" s="571"/>
      <c r="T1365" s="572"/>
      <c r="U1365" s="572"/>
      <c r="V1365" s="573"/>
      <c r="W1365" s="284">
        <f t="shared" ref="W1365:AB1365" si="712">W1363-W1364</f>
        <v>483.41726190476174</v>
      </c>
      <c r="X1365" s="284">
        <f t="shared" si="712"/>
        <v>83.49464285714285</v>
      </c>
      <c r="Y1365" s="284">
        <f t="shared" si="712"/>
        <v>20.15130952380953</v>
      </c>
      <c r="Z1365" s="284">
        <f t="shared" si="712"/>
        <v>-51.608601190476179</v>
      </c>
      <c r="AA1365" s="690">
        <f t="shared" si="712"/>
        <v>-9.9076845238095252</v>
      </c>
      <c r="AB1365" s="689">
        <f t="shared" si="712"/>
        <v>-500</v>
      </c>
      <c r="AC1365" s="570"/>
    </row>
    <row r="1366" spans="5:29">
      <c r="E1366" s="598"/>
      <c r="F1366" s="699"/>
      <c r="G1366" s="700"/>
      <c r="H1366" s="598"/>
      <c r="I1366" s="598"/>
      <c r="J1366" s="598"/>
      <c r="K1366" s="598"/>
      <c r="L1366" s="598"/>
      <c r="Q1366" s="563">
        <v>46116</v>
      </c>
      <c r="R1366" s="564">
        <v>0.29166666666666669</v>
      </c>
      <c r="S1366" s="565" t="s">
        <v>178</v>
      </c>
      <c r="T1366" s="565" t="s">
        <v>908</v>
      </c>
      <c r="U1366" s="566">
        <v>180</v>
      </c>
      <c r="V1366" s="567" t="str">
        <f t="shared" ref="V1366:V1386" si="713">IFERROR(VLOOKUP(T1366, $E$5:$L$818, 3, FALSE), "")</f>
        <v>g</v>
      </c>
      <c r="W1366" s="568">
        <f t="shared" ref="W1366:W1386" si="714">IFERROR(VLOOKUP(T1366, $E$5:$L$818, 4, FALSE) * (U1366 / VLOOKUP(T1366, $E$5:$L$818, 2, FALSE)), "")</f>
        <v>292.5</v>
      </c>
      <c r="X1366" s="568">
        <f t="shared" ref="X1366:X1386" si="715">IFERROR(VLOOKUP(T1366, $E$5:$L$818, 5, FALSE) * (U1366 / VLOOKUP(T1366, $E$5:$L$818, 2, FALSE)), "")</f>
        <v>9</v>
      </c>
      <c r="Y1366" s="568">
        <f t="shared" ref="Y1366:Y1386" si="716">IFERROR(VLOOKUP(T1366, $E$5:$L$818, 6, FALSE) * (U1366 / VLOOKUP(T1366, $E$5:$L$818, 2, FALSE)), "")</f>
        <v>9</v>
      </c>
      <c r="Z1366" s="568">
        <f t="shared" ref="Z1366:Z1386" si="717">IFERROR(VLOOKUP(T1366, $E$5:$L$818, 7, FALSE) * (U1366 / VLOOKUP(T1366, $E$5:$L$818, 2, FALSE)), "")</f>
        <v>42.75</v>
      </c>
      <c r="AA1366" s="568">
        <f t="shared" ref="AA1366:AA1386" si="718">IFERROR(VLOOKUP(T1366, $E$5:$L$818, 8, FALSE) * (U1366 / VLOOKUP(T1366, $E$5:$L$818, 2, FALSE)), "")</f>
        <v>4.5</v>
      </c>
      <c r="AB1366" s="674">
        <f t="shared" ref="AB1366:AB1386" si="719">IFERROR(VLOOKUP(T1366, $E$5:$O$818, 9, FALSE) * (U1366 / VLOOKUP(T1366, $E$5:$O$818, 2, FALSE)), "")</f>
        <v>0</v>
      </c>
      <c r="AC1366" s="565"/>
    </row>
    <row r="1367" spans="5:29">
      <c r="E1367" s="598"/>
      <c r="F1367" s="699"/>
      <c r="G1367" s="700"/>
      <c r="H1367" s="598"/>
      <c r="I1367" s="598"/>
      <c r="J1367" s="598"/>
      <c r="K1367" s="598"/>
      <c r="L1367" s="598"/>
      <c r="Q1367" s="563">
        <v>46116</v>
      </c>
      <c r="R1367" s="564">
        <v>0.29166666666666702</v>
      </c>
      <c r="S1367" s="565" t="s">
        <v>178</v>
      </c>
      <c r="T1367" s="565" t="s">
        <v>915</v>
      </c>
      <c r="U1367" s="566">
        <v>1</v>
      </c>
      <c r="V1367" s="567" t="str">
        <f t="shared" si="713"/>
        <v>piece</v>
      </c>
      <c r="W1367" s="568">
        <f t="shared" si="714"/>
        <v>245</v>
      </c>
      <c r="X1367" s="568">
        <f t="shared" si="715"/>
        <v>9</v>
      </c>
      <c r="Y1367" s="568">
        <f t="shared" si="716"/>
        <v>2</v>
      </c>
      <c r="Z1367" s="568">
        <f t="shared" si="717"/>
        <v>48</v>
      </c>
      <c r="AA1367" s="568">
        <f t="shared" si="718"/>
        <v>2</v>
      </c>
      <c r="AB1367" s="584">
        <f t="shared" si="719"/>
        <v>0</v>
      </c>
      <c r="AC1367" s="565"/>
    </row>
    <row r="1368" spans="5:29">
      <c r="E1368" s="598"/>
      <c r="F1368" s="699"/>
      <c r="G1368" s="700"/>
      <c r="H1368" s="598"/>
      <c r="I1368" s="598"/>
      <c r="J1368" s="598"/>
      <c r="K1368" s="598"/>
      <c r="L1368" s="598"/>
      <c r="Q1368" s="563">
        <v>46116</v>
      </c>
      <c r="R1368" s="564">
        <v>0.33333333333333331</v>
      </c>
      <c r="S1368" s="565" t="s">
        <v>178</v>
      </c>
      <c r="T1368" s="565" t="s">
        <v>914</v>
      </c>
      <c r="U1368" s="566">
        <f>1/2</f>
        <v>0.5</v>
      </c>
      <c r="V1368" s="567" t="str">
        <f t="shared" si="713"/>
        <v>piece</v>
      </c>
      <c r="W1368" s="568">
        <f t="shared" si="714"/>
        <v>135</v>
      </c>
      <c r="X1368" s="568">
        <f t="shared" si="715"/>
        <v>2</v>
      </c>
      <c r="Y1368" s="568">
        <f t="shared" si="716"/>
        <v>7</v>
      </c>
      <c r="Z1368" s="568">
        <f t="shared" si="717"/>
        <v>16.5</v>
      </c>
      <c r="AA1368" s="568">
        <f t="shared" si="718"/>
        <v>0.5</v>
      </c>
      <c r="AB1368" s="584">
        <f t="shared" si="719"/>
        <v>0</v>
      </c>
      <c r="AC1368" s="565"/>
    </row>
    <row r="1369" spans="5:29">
      <c r="E1369" s="598"/>
      <c r="F1369" s="699"/>
      <c r="G1369" s="700"/>
      <c r="H1369" s="598"/>
      <c r="I1369" s="598"/>
      <c r="J1369" s="598"/>
      <c r="K1369" s="598"/>
      <c r="L1369" s="598"/>
      <c r="Q1369" s="563">
        <v>46116</v>
      </c>
      <c r="R1369" s="564">
        <v>0.45833333333333331</v>
      </c>
      <c r="S1369" s="565" t="s">
        <v>178</v>
      </c>
      <c r="T1369" s="565" t="s">
        <v>913</v>
      </c>
      <c r="U1369" s="566">
        <v>1</v>
      </c>
      <c r="V1369" s="567" t="str">
        <f t="shared" si="713"/>
        <v>bag</v>
      </c>
      <c r="W1369" s="568">
        <f t="shared" si="714"/>
        <v>130</v>
      </c>
      <c r="X1369" s="568">
        <f t="shared" si="715"/>
        <v>2</v>
      </c>
      <c r="Y1369" s="568">
        <f t="shared" si="716"/>
        <v>7</v>
      </c>
      <c r="Z1369" s="568">
        <f t="shared" si="717"/>
        <v>15</v>
      </c>
      <c r="AA1369" s="568">
        <f t="shared" si="718"/>
        <v>1</v>
      </c>
      <c r="AB1369" s="584">
        <f t="shared" si="719"/>
        <v>0</v>
      </c>
      <c r="AC1369" s="565"/>
    </row>
    <row r="1370" spans="5:29">
      <c r="E1370" s="598"/>
      <c r="F1370" s="699"/>
      <c r="G1370" s="700"/>
      <c r="H1370" s="598"/>
      <c r="I1370" s="598"/>
      <c r="J1370" s="598"/>
      <c r="K1370" s="598"/>
      <c r="L1370" s="598"/>
      <c r="Q1370" s="563">
        <v>46116</v>
      </c>
      <c r="R1370" s="564">
        <v>0.45833333333333298</v>
      </c>
      <c r="S1370" s="565" t="s">
        <v>178</v>
      </c>
      <c r="T1370" s="565" t="s">
        <v>202</v>
      </c>
      <c r="U1370" s="566">
        <f>1/3</f>
        <v>0.33333333333333331</v>
      </c>
      <c r="V1370" s="567" t="str">
        <f t="shared" si="713"/>
        <v>tbsp</v>
      </c>
      <c r="W1370" s="568">
        <f t="shared" si="714"/>
        <v>20</v>
      </c>
      <c r="X1370" s="568">
        <f t="shared" si="715"/>
        <v>0.66666666666666663</v>
      </c>
      <c r="Y1370" s="568">
        <f t="shared" si="716"/>
        <v>1.3333333333333333</v>
      </c>
      <c r="Z1370" s="568">
        <f t="shared" si="717"/>
        <v>1.6666666666666665</v>
      </c>
      <c r="AA1370" s="568">
        <f t="shared" si="718"/>
        <v>1.3333333333333333</v>
      </c>
      <c r="AB1370" s="584">
        <f t="shared" si="719"/>
        <v>0</v>
      </c>
      <c r="AC1370" s="565"/>
    </row>
    <row r="1371" spans="5:29">
      <c r="E1371" s="598"/>
      <c r="F1371" s="699"/>
      <c r="G1371" s="700"/>
      <c r="H1371" s="598"/>
      <c r="I1371" s="598"/>
      <c r="J1371" s="598"/>
      <c r="K1371" s="598"/>
      <c r="L1371" s="598"/>
      <c r="Q1371" s="563">
        <v>46116</v>
      </c>
      <c r="R1371" s="564">
        <v>0.45833333333333298</v>
      </c>
      <c r="S1371" s="565" t="s">
        <v>178</v>
      </c>
      <c r="T1371" s="565" t="s">
        <v>463</v>
      </c>
      <c r="U1371" s="566">
        <v>1</v>
      </c>
      <c r="V1371" s="567" t="str">
        <f t="shared" si="713"/>
        <v>bottle</v>
      </c>
      <c r="W1371" s="568">
        <f t="shared" si="714"/>
        <v>190</v>
      </c>
      <c r="X1371" s="568">
        <f t="shared" si="715"/>
        <v>35</v>
      </c>
      <c r="Y1371" s="568">
        <f t="shared" si="716"/>
        <v>2</v>
      </c>
      <c r="Z1371" s="568">
        <f t="shared" si="717"/>
        <v>9</v>
      </c>
      <c r="AA1371" s="568">
        <f t="shared" si="718"/>
        <v>0</v>
      </c>
      <c r="AB1371" s="584">
        <f t="shared" si="719"/>
        <v>0</v>
      </c>
      <c r="AC1371" s="565"/>
    </row>
    <row r="1372" spans="5:29">
      <c r="E1372" s="598"/>
      <c r="F1372" s="699"/>
      <c r="G1372" s="700"/>
      <c r="H1372" s="598"/>
      <c r="I1372" s="598"/>
      <c r="J1372" s="598"/>
      <c r="K1372" s="598"/>
      <c r="L1372" s="598"/>
      <c r="Q1372" s="563">
        <v>46116</v>
      </c>
      <c r="R1372" s="564">
        <v>0.5</v>
      </c>
      <c r="S1372" s="565" t="s">
        <v>185</v>
      </c>
      <c r="T1372" s="565" t="s">
        <v>856</v>
      </c>
      <c r="U1372" s="566">
        <v>150</v>
      </c>
      <c r="V1372" s="567" t="str">
        <f t="shared" si="713"/>
        <v>g</v>
      </c>
      <c r="W1372" s="568">
        <f t="shared" si="714"/>
        <v>90</v>
      </c>
      <c r="X1372" s="568">
        <f t="shared" si="715"/>
        <v>1.5</v>
      </c>
      <c r="Y1372" s="568">
        <f t="shared" si="716"/>
        <v>0</v>
      </c>
      <c r="Z1372" s="568">
        <f t="shared" si="717"/>
        <v>22.5</v>
      </c>
      <c r="AA1372" s="568">
        <f t="shared" si="718"/>
        <v>3</v>
      </c>
      <c r="AB1372" s="584">
        <f t="shared" si="719"/>
        <v>0</v>
      </c>
      <c r="AC1372" s="565"/>
    </row>
    <row r="1373" spans="5:29">
      <c r="E1373" s="598"/>
      <c r="F1373" s="699"/>
      <c r="G1373" s="700"/>
      <c r="H1373" s="598"/>
      <c r="I1373" s="598"/>
      <c r="J1373" s="598"/>
      <c r="K1373" s="598"/>
      <c r="L1373" s="598"/>
      <c r="Q1373" s="563">
        <v>46116</v>
      </c>
      <c r="R1373" s="564">
        <v>0.58333333333333337</v>
      </c>
      <c r="S1373" s="565" t="s">
        <v>185</v>
      </c>
      <c r="T1373" s="565" t="s">
        <v>268</v>
      </c>
      <c r="U1373" s="566">
        <v>1</v>
      </c>
      <c r="V1373" s="567" t="str">
        <f t="shared" si="713"/>
        <v>scoop</v>
      </c>
      <c r="W1373" s="568">
        <f t="shared" si="714"/>
        <v>160</v>
      </c>
      <c r="X1373" s="568">
        <f t="shared" si="715"/>
        <v>2.5</v>
      </c>
      <c r="Y1373" s="568">
        <f t="shared" si="716"/>
        <v>8.5</v>
      </c>
      <c r="Z1373" s="568">
        <f t="shared" si="717"/>
        <v>19.5</v>
      </c>
      <c r="AA1373" s="568">
        <f t="shared" si="718"/>
        <v>0</v>
      </c>
      <c r="AB1373" s="584">
        <f t="shared" si="719"/>
        <v>0</v>
      </c>
      <c r="AC1373" s="565"/>
    </row>
    <row r="1374" spans="5:29">
      <c r="E1374" s="598"/>
      <c r="F1374" s="699"/>
      <c r="G1374" s="700"/>
      <c r="H1374" s="598"/>
      <c r="I1374" s="598"/>
      <c r="J1374" s="598"/>
      <c r="K1374" s="598"/>
      <c r="L1374" s="598"/>
      <c r="Q1374" s="563">
        <v>46116</v>
      </c>
      <c r="R1374" s="564">
        <v>0.58333333333333304</v>
      </c>
      <c r="S1374" s="565" t="s">
        <v>185</v>
      </c>
      <c r="T1374" s="565" t="s">
        <v>273</v>
      </c>
      <c r="U1374" s="566">
        <v>1</v>
      </c>
      <c r="V1374" s="567" t="str">
        <f t="shared" si="713"/>
        <v>medium bag</v>
      </c>
      <c r="W1374" s="568">
        <f t="shared" si="714"/>
        <v>210</v>
      </c>
      <c r="X1374" s="568">
        <f t="shared" si="715"/>
        <v>5</v>
      </c>
      <c r="Y1374" s="568">
        <f t="shared" si="716"/>
        <v>1</v>
      </c>
      <c r="Z1374" s="568">
        <f t="shared" si="717"/>
        <v>45</v>
      </c>
      <c r="AA1374" s="568">
        <f t="shared" si="718"/>
        <v>2</v>
      </c>
      <c r="AB1374" s="584">
        <f t="shared" si="719"/>
        <v>0</v>
      </c>
      <c r="AC1374" s="565"/>
    </row>
    <row r="1375" spans="5:29">
      <c r="E1375" s="598"/>
      <c r="F1375" s="699"/>
      <c r="G1375" s="700"/>
      <c r="H1375" s="598"/>
      <c r="I1375" s="598"/>
      <c r="J1375" s="598"/>
      <c r="K1375" s="598"/>
      <c r="L1375" s="598"/>
      <c r="Q1375" s="563">
        <v>46116</v>
      </c>
      <c r="R1375" s="564">
        <v>0.58333333333333304</v>
      </c>
      <c r="S1375" s="565" t="s">
        <v>185</v>
      </c>
      <c r="T1375" s="565" t="s">
        <v>618</v>
      </c>
      <c r="U1375" s="566">
        <v>1</v>
      </c>
      <c r="V1375" s="567" t="str">
        <f t="shared" si="713"/>
        <v>pieces</v>
      </c>
      <c r="W1375" s="568">
        <f t="shared" si="714"/>
        <v>160</v>
      </c>
      <c r="X1375" s="568">
        <f t="shared" si="715"/>
        <v>12.666666666666666</v>
      </c>
      <c r="Y1375" s="568">
        <f t="shared" si="716"/>
        <v>8.6666666666666661</v>
      </c>
      <c r="Z1375" s="568">
        <f t="shared" si="717"/>
        <v>9.3333333333333321</v>
      </c>
      <c r="AA1375" s="568">
        <f t="shared" si="718"/>
        <v>0.33333333333333331</v>
      </c>
      <c r="AB1375" s="584">
        <f t="shared" si="719"/>
        <v>0</v>
      </c>
      <c r="AC1375" s="565"/>
    </row>
    <row r="1376" spans="5:29">
      <c r="E1376" s="598"/>
      <c r="F1376" s="699"/>
      <c r="G1376" s="700"/>
      <c r="H1376" s="598"/>
      <c r="I1376" s="598"/>
      <c r="J1376" s="598"/>
      <c r="K1376" s="598"/>
      <c r="L1376" s="598"/>
      <c r="Q1376" s="563">
        <v>46116</v>
      </c>
      <c r="R1376" s="564">
        <v>0.58333333333333304</v>
      </c>
      <c r="S1376" s="565" t="s">
        <v>185</v>
      </c>
      <c r="T1376" s="565" t="s">
        <v>912</v>
      </c>
      <c r="U1376" s="566">
        <v>1</v>
      </c>
      <c r="V1376" s="567" t="str">
        <f t="shared" si="713"/>
        <v>piece</v>
      </c>
      <c r="W1376" s="568">
        <f t="shared" si="714"/>
        <v>320</v>
      </c>
      <c r="X1376" s="568">
        <f t="shared" si="715"/>
        <v>18</v>
      </c>
      <c r="Y1376" s="568">
        <f t="shared" si="716"/>
        <v>10</v>
      </c>
      <c r="Z1376" s="568">
        <f t="shared" si="717"/>
        <v>38</v>
      </c>
      <c r="AA1376" s="568">
        <f t="shared" si="718"/>
        <v>2</v>
      </c>
      <c r="AB1376" s="584">
        <f t="shared" si="719"/>
        <v>0</v>
      </c>
      <c r="AC1376" s="565"/>
    </row>
    <row r="1377" spans="5:29">
      <c r="E1377" s="598"/>
      <c r="F1377" s="699"/>
      <c r="G1377" s="700"/>
      <c r="H1377" s="598"/>
      <c r="I1377" s="598"/>
      <c r="J1377" s="598"/>
      <c r="K1377" s="598"/>
      <c r="L1377" s="598"/>
      <c r="Q1377" s="563">
        <v>46116</v>
      </c>
      <c r="R1377" s="564">
        <v>0.66666666666666663</v>
      </c>
      <c r="S1377" s="565" t="s">
        <v>289</v>
      </c>
      <c r="T1377" s="565" t="s">
        <v>461</v>
      </c>
      <c r="U1377" s="566">
        <v>1</v>
      </c>
      <c r="V1377" s="567" t="str">
        <f t="shared" si="713"/>
        <v>chunks</v>
      </c>
      <c r="W1377" s="568">
        <f t="shared" si="714"/>
        <v>24.285714285714285</v>
      </c>
      <c r="X1377" s="568">
        <f t="shared" si="715"/>
        <v>0.42857142857142855</v>
      </c>
      <c r="Y1377" s="568">
        <f t="shared" si="716"/>
        <v>1.4285714285714284</v>
      </c>
      <c r="Z1377" s="568">
        <f t="shared" si="717"/>
        <v>2.5714285714285712</v>
      </c>
      <c r="AA1377" s="568">
        <f t="shared" si="718"/>
        <v>7.1428571428571425E-2</v>
      </c>
      <c r="AB1377" s="584">
        <f t="shared" si="719"/>
        <v>0</v>
      </c>
      <c r="AC1377" s="565"/>
    </row>
    <row r="1378" spans="5:29">
      <c r="E1378" s="598"/>
      <c r="F1378" s="699"/>
      <c r="G1378" s="700"/>
      <c r="H1378" s="598"/>
      <c r="I1378" s="598"/>
      <c r="J1378" s="598"/>
      <c r="K1378" s="598"/>
      <c r="L1378" s="598"/>
      <c r="Q1378" s="563">
        <v>46116</v>
      </c>
      <c r="R1378" s="564">
        <v>0.66666666666666696</v>
      </c>
      <c r="S1378" s="565" t="s">
        <v>289</v>
      </c>
      <c r="T1378" s="565" t="s">
        <v>423</v>
      </c>
      <c r="U1378" s="566">
        <v>2</v>
      </c>
      <c r="V1378" s="567" t="str">
        <f t="shared" si="713"/>
        <v>pieces</v>
      </c>
      <c r="W1378" s="568">
        <f t="shared" si="714"/>
        <v>15</v>
      </c>
      <c r="X1378" s="568">
        <f t="shared" si="715"/>
        <v>0</v>
      </c>
      <c r="Y1378" s="568">
        <f t="shared" si="716"/>
        <v>0</v>
      </c>
      <c r="Z1378" s="568">
        <f t="shared" si="717"/>
        <v>3</v>
      </c>
      <c r="AA1378" s="568">
        <f t="shared" si="718"/>
        <v>0</v>
      </c>
      <c r="AB1378" s="584">
        <f t="shared" si="719"/>
        <v>0</v>
      </c>
      <c r="AC1378" s="565"/>
    </row>
    <row r="1379" spans="5:29">
      <c r="E1379" s="598"/>
      <c r="F1379" s="699"/>
      <c r="G1379" s="700"/>
      <c r="H1379" s="598"/>
      <c r="I1379" s="598"/>
      <c r="J1379" s="598"/>
      <c r="K1379" s="598"/>
      <c r="L1379" s="598"/>
      <c r="Q1379" s="563">
        <v>46116</v>
      </c>
      <c r="R1379" s="564">
        <v>0.83333333333333337</v>
      </c>
      <c r="S1379" s="565" t="s">
        <v>199</v>
      </c>
      <c r="T1379" s="565" t="s">
        <v>181</v>
      </c>
      <c r="U1379" s="566">
        <v>4</v>
      </c>
      <c r="V1379" s="567" t="str">
        <f t="shared" si="713"/>
        <v>slice</v>
      </c>
      <c r="W1379" s="568">
        <f t="shared" si="714"/>
        <v>280</v>
      </c>
      <c r="X1379" s="568">
        <f t="shared" si="715"/>
        <v>10</v>
      </c>
      <c r="Y1379" s="568">
        <f t="shared" si="716"/>
        <v>5</v>
      </c>
      <c r="Z1379" s="568">
        <f t="shared" si="717"/>
        <v>48</v>
      </c>
      <c r="AA1379" s="568">
        <f t="shared" si="718"/>
        <v>4</v>
      </c>
      <c r="AB1379" s="584">
        <f t="shared" si="719"/>
        <v>0</v>
      </c>
      <c r="AC1379" s="565"/>
    </row>
    <row r="1380" spans="5:29">
      <c r="E1380" s="598"/>
      <c r="F1380" s="699"/>
      <c r="G1380" s="700"/>
      <c r="H1380" s="598"/>
      <c r="I1380" s="598"/>
      <c r="J1380" s="598"/>
      <c r="K1380" s="598"/>
      <c r="L1380" s="598"/>
      <c r="Q1380" s="563">
        <v>46116</v>
      </c>
      <c r="R1380" s="564">
        <v>0.83333333333333304</v>
      </c>
      <c r="S1380" s="565" t="s">
        <v>199</v>
      </c>
      <c r="T1380" s="565" t="s">
        <v>461</v>
      </c>
      <c r="U1380" s="566">
        <v>2</v>
      </c>
      <c r="V1380" s="567" t="str">
        <f t="shared" si="713"/>
        <v>chunks</v>
      </c>
      <c r="W1380" s="568">
        <f t="shared" si="714"/>
        <v>48.571428571428569</v>
      </c>
      <c r="X1380" s="568">
        <f t="shared" si="715"/>
        <v>0.8571428571428571</v>
      </c>
      <c r="Y1380" s="568">
        <f t="shared" si="716"/>
        <v>2.8571428571428568</v>
      </c>
      <c r="Z1380" s="568">
        <f t="shared" si="717"/>
        <v>5.1428571428571423</v>
      </c>
      <c r="AA1380" s="568">
        <f t="shared" si="718"/>
        <v>0.14285714285714285</v>
      </c>
      <c r="AB1380" s="584">
        <f t="shared" si="719"/>
        <v>0</v>
      </c>
      <c r="AC1380" s="565"/>
    </row>
    <row r="1381" spans="5:29">
      <c r="E1381" s="598"/>
      <c r="F1381" s="699"/>
      <c r="G1381" s="700"/>
      <c r="H1381" s="598"/>
      <c r="I1381" s="598"/>
      <c r="J1381" s="598"/>
      <c r="K1381" s="598"/>
      <c r="L1381" s="598"/>
      <c r="Q1381" s="563">
        <v>46116</v>
      </c>
      <c r="R1381" s="564">
        <v>0.91666666666666663</v>
      </c>
      <c r="S1381" s="565" t="s">
        <v>199</v>
      </c>
      <c r="T1381" s="565" t="s">
        <v>219</v>
      </c>
      <c r="U1381" s="566">
        <v>1</v>
      </c>
      <c r="V1381" s="567" t="str">
        <f t="shared" si="713"/>
        <v>bottle</v>
      </c>
      <c r="W1381" s="568">
        <f t="shared" si="714"/>
        <v>0</v>
      </c>
      <c r="X1381" s="568">
        <f t="shared" si="715"/>
        <v>0</v>
      </c>
      <c r="Y1381" s="568">
        <f t="shared" si="716"/>
        <v>0</v>
      </c>
      <c r="Z1381" s="568">
        <f t="shared" si="717"/>
        <v>0</v>
      </c>
      <c r="AA1381" s="568">
        <f t="shared" si="718"/>
        <v>0</v>
      </c>
      <c r="AB1381" s="584">
        <f t="shared" si="719"/>
        <v>0</v>
      </c>
      <c r="AC1381" s="565"/>
    </row>
    <row r="1382" spans="5:29">
      <c r="E1382" s="598"/>
      <c r="F1382" s="699"/>
      <c r="G1382" s="700"/>
      <c r="H1382" s="598"/>
      <c r="I1382" s="598"/>
      <c r="J1382" s="598"/>
      <c r="K1382" s="598"/>
      <c r="L1382" s="598"/>
      <c r="Q1382" s="563">
        <v>46116</v>
      </c>
      <c r="R1382" s="564">
        <v>0.95833333333333337</v>
      </c>
      <c r="S1382" s="565" t="s">
        <v>199</v>
      </c>
      <c r="T1382" s="565" t="s">
        <v>917</v>
      </c>
      <c r="U1382" s="566">
        <v>1</v>
      </c>
      <c r="V1382" s="567" t="str">
        <f t="shared" si="713"/>
        <v>can</v>
      </c>
      <c r="W1382" s="568">
        <f t="shared" si="714"/>
        <v>0</v>
      </c>
      <c r="X1382" s="568">
        <f t="shared" si="715"/>
        <v>0</v>
      </c>
      <c r="Y1382" s="568">
        <f t="shared" si="716"/>
        <v>0</v>
      </c>
      <c r="Z1382" s="568">
        <f t="shared" si="717"/>
        <v>0</v>
      </c>
      <c r="AA1382" s="568">
        <f t="shared" si="718"/>
        <v>0</v>
      </c>
      <c r="AB1382" s="584">
        <f t="shared" si="719"/>
        <v>0</v>
      </c>
      <c r="AC1382" s="565"/>
    </row>
    <row r="1383" spans="5:29">
      <c r="E1383" s="598"/>
      <c r="F1383" s="699"/>
      <c r="G1383" s="700"/>
      <c r="H1383" s="598"/>
      <c r="I1383" s="598"/>
      <c r="J1383" s="598"/>
      <c r="K1383" s="598"/>
      <c r="L1383" s="598"/>
      <c r="Q1383" s="563">
        <v>46116</v>
      </c>
      <c r="R1383" s="564">
        <v>0.95833333333333304</v>
      </c>
      <c r="S1383" s="565" t="s">
        <v>199</v>
      </c>
      <c r="T1383" s="565" t="s">
        <v>176</v>
      </c>
      <c r="U1383" s="566">
        <v>200</v>
      </c>
      <c r="V1383" s="567" t="str">
        <f t="shared" si="713"/>
        <v>g</v>
      </c>
      <c r="W1383" s="568">
        <f t="shared" si="714"/>
        <v>330</v>
      </c>
      <c r="X1383" s="568">
        <f t="shared" si="715"/>
        <v>50</v>
      </c>
      <c r="Y1383" s="568">
        <f t="shared" si="716"/>
        <v>7.2</v>
      </c>
      <c r="Z1383" s="568">
        <f t="shared" si="717"/>
        <v>0</v>
      </c>
      <c r="AA1383" s="568">
        <f t="shared" si="718"/>
        <v>0</v>
      </c>
      <c r="AB1383" s="584">
        <f t="shared" si="719"/>
        <v>0</v>
      </c>
      <c r="AC1383" s="565"/>
    </row>
    <row r="1384" spans="5:29">
      <c r="E1384" s="598"/>
      <c r="F1384" s="699"/>
      <c r="G1384" s="700"/>
      <c r="H1384" s="598"/>
      <c r="I1384" s="598"/>
      <c r="J1384" s="598"/>
      <c r="K1384" s="598"/>
      <c r="L1384" s="598"/>
      <c r="Q1384" s="563">
        <v>46116</v>
      </c>
      <c r="R1384" s="564">
        <v>0.95833333333333304</v>
      </c>
      <c r="S1384" s="565" t="s">
        <v>199</v>
      </c>
      <c r="T1384" s="565" t="s">
        <v>180</v>
      </c>
      <c r="U1384" s="566">
        <v>100</v>
      </c>
      <c r="V1384" s="567" t="str">
        <f t="shared" si="713"/>
        <v>g</v>
      </c>
      <c r="W1384" s="568">
        <f t="shared" si="714"/>
        <v>130</v>
      </c>
      <c r="X1384" s="568">
        <f t="shared" si="715"/>
        <v>2.7</v>
      </c>
      <c r="Y1384" s="568">
        <f t="shared" si="716"/>
        <v>0.3</v>
      </c>
      <c r="Z1384" s="568">
        <f t="shared" si="717"/>
        <v>28</v>
      </c>
      <c r="AA1384" s="568">
        <f t="shared" si="718"/>
        <v>0.4</v>
      </c>
      <c r="AB1384" s="584">
        <f t="shared" si="719"/>
        <v>0</v>
      </c>
      <c r="AC1384" s="565"/>
    </row>
    <row r="1385" spans="5:29">
      <c r="E1385" s="598"/>
      <c r="F1385" s="699"/>
      <c r="G1385" s="700"/>
      <c r="H1385" s="598"/>
      <c r="I1385" s="598"/>
      <c r="J1385" s="598"/>
      <c r="K1385" s="598"/>
      <c r="L1385" s="598"/>
      <c r="Q1385" s="563">
        <v>46116</v>
      </c>
      <c r="R1385" s="564">
        <v>0.95833333333333304</v>
      </c>
      <c r="S1385" s="565" t="s">
        <v>199</v>
      </c>
      <c r="T1385" s="565" t="s">
        <v>786</v>
      </c>
      <c r="U1385" s="566">
        <v>1</v>
      </c>
      <c r="V1385" s="567" t="str">
        <f t="shared" si="713"/>
        <v>bottle</v>
      </c>
      <c r="W1385" s="568">
        <f t="shared" si="714"/>
        <v>90</v>
      </c>
      <c r="X1385" s="568">
        <f t="shared" si="715"/>
        <v>0</v>
      </c>
      <c r="Y1385" s="568">
        <f t="shared" si="716"/>
        <v>0</v>
      </c>
      <c r="Z1385" s="568">
        <f t="shared" si="717"/>
        <v>22</v>
      </c>
      <c r="AA1385" s="568">
        <f t="shared" si="718"/>
        <v>0</v>
      </c>
      <c r="AB1385" s="584">
        <f t="shared" si="719"/>
        <v>0</v>
      </c>
      <c r="AC1385" s="565"/>
    </row>
    <row r="1386" spans="5:29">
      <c r="E1386" s="598"/>
      <c r="F1386" s="699"/>
      <c r="G1386" s="700"/>
      <c r="H1386" s="598"/>
      <c r="I1386" s="598"/>
      <c r="J1386" s="598"/>
      <c r="K1386" s="598"/>
      <c r="L1386" s="598"/>
      <c r="Q1386" s="563">
        <v>46116</v>
      </c>
      <c r="R1386" s="564">
        <v>0.95833333333333304</v>
      </c>
      <c r="S1386" s="565" t="s">
        <v>199</v>
      </c>
      <c r="T1386" s="565" t="s">
        <v>202</v>
      </c>
      <c r="U1386" s="566">
        <f>1/3</f>
        <v>0.33333333333333331</v>
      </c>
      <c r="V1386" s="567" t="str">
        <f t="shared" si="713"/>
        <v>tbsp</v>
      </c>
      <c r="W1386" s="568">
        <f t="shared" si="714"/>
        <v>20</v>
      </c>
      <c r="X1386" s="568">
        <f t="shared" si="715"/>
        <v>0.66666666666666663</v>
      </c>
      <c r="Y1386" s="568">
        <f t="shared" si="716"/>
        <v>1.3333333333333333</v>
      </c>
      <c r="Z1386" s="568">
        <f t="shared" si="717"/>
        <v>1.6666666666666665</v>
      </c>
      <c r="AA1386" s="568">
        <f t="shared" si="718"/>
        <v>1.3333333333333333</v>
      </c>
      <c r="AB1386" s="684">
        <f t="shared" si="719"/>
        <v>0</v>
      </c>
      <c r="AC1386" s="565"/>
    </row>
    <row r="1387" spans="5:29">
      <c r="E1387" s="598"/>
      <c r="F1387" s="699"/>
      <c r="G1387" s="700"/>
      <c r="H1387" s="598"/>
      <c r="I1387" s="598"/>
      <c r="J1387" s="598"/>
      <c r="K1387" s="598"/>
      <c r="L1387" s="598"/>
      <c r="Q1387" s="569"/>
      <c r="R1387" s="570" t="s">
        <v>217</v>
      </c>
      <c r="S1387" s="571"/>
      <c r="T1387" s="572"/>
      <c r="U1387" s="572"/>
      <c r="V1387" s="573"/>
      <c r="W1387" s="574">
        <f t="shared" ref="W1387:AB1387" si="720">SUM(W1366:W1386)</f>
        <v>2890.3571428571427</v>
      </c>
      <c r="X1387" s="574">
        <f t="shared" si="720"/>
        <v>161.98571428571429</v>
      </c>
      <c r="Y1387" s="574">
        <f t="shared" si="720"/>
        <v>74.619047619047606</v>
      </c>
      <c r="Z1387" s="574">
        <f t="shared" si="720"/>
        <v>377.63095238095241</v>
      </c>
      <c r="AA1387" s="687">
        <f t="shared" si="720"/>
        <v>22.614285714285714</v>
      </c>
      <c r="AB1387" s="691">
        <f t="shared" si="720"/>
        <v>0</v>
      </c>
      <c r="AC1387" s="570"/>
    </row>
    <row r="1388" spans="5:29">
      <c r="E1388" s="598"/>
      <c r="F1388" s="699"/>
      <c r="G1388" s="700"/>
      <c r="H1388" s="598"/>
      <c r="I1388" s="598"/>
      <c r="J1388" s="598"/>
      <c r="K1388" s="598"/>
      <c r="L1388" s="598"/>
      <c r="Q1388" s="569"/>
      <c r="R1388" s="570" t="s">
        <v>220</v>
      </c>
      <c r="S1388" s="571"/>
      <c r="T1388" s="572"/>
      <c r="U1388" s="572"/>
      <c r="V1388" s="573"/>
      <c r="W1388" s="575">
        <f>$B$27</f>
        <v>2834.5625</v>
      </c>
      <c r="X1388" s="575">
        <f>$B$29</f>
        <v>154</v>
      </c>
      <c r="Y1388" s="575">
        <f>$B$30</f>
        <v>63.91</v>
      </c>
      <c r="Z1388" s="575">
        <f>$B$31</f>
        <v>410.84312499999999</v>
      </c>
      <c r="AA1388" s="694">
        <f>$B$32</f>
        <v>39.683875</v>
      </c>
      <c r="AB1388" s="695">
        <f>$B$39</f>
        <v>500</v>
      </c>
      <c r="AC1388" s="570"/>
    </row>
    <row r="1389" spans="5:29">
      <c r="E1389" s="598"/>
      <c r="F1389" s="699"/>
      <c r="G1389" s="700"/>
      <c r="H1389" s="598"/>
      <c r="I1389" s="598"/>
      <c r="J1389" s="598"/>
      <c r="K1389" s="598"/>
      <c r="L1389" s="598"/>
      <c r="Q1389" s="569"/>
      <c r="R1389" s="570" t="s">
        <v>222</v>
      </c>
      <c r="S1389" s="571"/>
      <c r="T1389" s="572"/>
      <c r="U1389" s="572"/>
      <c r="V1389" s="573"/>
      <c r="W1389" s="284">
        <f t="shared" ref="W1389:AB1389" si="721">W1387-W1388</f>
        <v>55.794642857142662</v>
      </c>
      <c r="X1389" s="284">
        <f t="shared" si="721"/>
        <v>7.9857142857142946</v>
      </c>
      <c r="Y1389" s="284">
        <f t="shared" si="721"/>
        <v>10.70904761904761</v>
      </c>
      <c r="Z1389" s="284">
        <f t="shared" si="721"/>
        <v>-33.212172619047578</v>
      </c>
      <c r="AA1389" s="690">
        <f t="shared" si="721"/>
        <v>-17.069589285714287</v>
      </c>
      <c r="AB1389" s="689">
        <f t="shared" si="721"/>
        <v>-500</v>
      </c>
      <c r="AC1389" s="570"/>
    </row>
    <row r="1390" spans="5:29">
      <c r="E1390" s="598"/>
      <c r="F1390" s="699"/>
      <c r="G1390" s="700"/>
      <c r="H1390" s="598"/>
      <c r="I1390" s="598"/>
      <c r="J1390" s="598"/>
      <c r="K1390" s="598"/>
      <c r="L1390" s="598"/>
      <c r="Q1390" s="563">
        <v>46117</v>
      </c>
      <c r="R1390" s="564">
        <v>0.45833333333333331</v>
      </c>
      <c r="S1390" s="565" t="s">
        <v>178</v>
      </c>
      <c r="T1390" s="565" t="s">
        <v>181</v>
      </c>
      <c r="U1390" s="566">
        <v>4</v>
      </c>
      <c r="V1390" s="567" t="str">
        <f t="shared" ref="V1390:V1402" si="722">IFERROR(VLOOKUP(T1390, $E$5:$L$818, 3, FALSE), "")</f>
        <v>slice</v>
      </c>
      <c r="W1390" s="568">
        <f t="shared" ref="W1390:W1402" si="723">IFERROR(VLOOKUP(T1390, $E$5:$L$818, 4, FALSE) * (U1390 / VLOOKUP(T1390, $E$5:$L$818, 2, FALSE)), "")</f>
        <v>280</v>
      </c>
      <c r="X1390" s="568">
        <f t="shared" ref="X1390:X1402" si="724">IFERROR(VLOOKUP(T1390, $E$5:$L$818, 5, FALSE) * (U1390 / VLOOKUP(T1390, $E$5:$L$818, 2, FALSE)), "")</f>
        <v>10</v>
      </c>
      <c r="Y1390" s="568">
        <f t="shared" ref="Y1390:Y1402" si="725">IFERROR(VLOOKUP(T1390, $E$5:$L$818, 6, FALSE) * (U1390 / VLOOKUP(T1390, $E$5:$L$818, 2, FALSE)), "")</f>
        <v>5</v>
      </c>
      <c r="Z1390" s="568">
        <f t="shared" ref="Z1390:Z1402" si="726">IFERROR(VLOOKUP(T1390, $E$5:$L$818, 7, FALSE) * (U1390 / VLOOKUP(T1390, $E$5:$L$818, 2, FALSE)), "")</f>
        <v>48</v>
      </c>
      <c r="AA1390" s="568">
        <f t="shared" ref="AA1390:AA1402" si="727">IFERROR(VLOOKUP(T1390, $E$5:$L$818, 8, FALSE) * (U1390 / VLOOKUP(T1390, $E$5:$L$818, 2, FALSE)), "")</f>
        <v>4</v>
      </c>
      <c r="AB1390" s="674">
        <f t="shared" ref="AB1390:AB1402" si="728">IFERROR(VLOOKUP(T1390, $E$5:$O$818, 9, FALSE) * (U1390 / VLOOKUP(T1390, $E$5:$O$818, 2, FALSE)), "")</f>
        <v>0</v>
      </c>
      <c r="AC1390" s="565"/>
    </row>
    <row r="1391" spans="5:29">
      <c r="E1391" s="598"/>
      <c r="F1391" s="699"/>
      <c r="G1391" s="700"/>
      <c r="H1391" s="598"/>
      <c r="I1391" s="598"/>
      <c r="J1391" s="598"/>
      <c r="K1391" s="598"/>
      <c r="L1391" s="598"/>
      <c r="Q1391" s="563">
        <v>46117</v>
      </c>
      <c r="R1391" s="564">
        <v>0.5</v>
      </c>
      <c r="S1391" s="565" t="s">
        <v>185</v>
      </c>
      <c r="T1391" s="565" t="s">
        <v>463</v>
      </c>
      <c r="U1391" s="566">
        <v>1</v>
      </c>
      <c r="V1391" s="567" t="str">
        <f t="shared" si="722"/>
        <v>bottle</v>
      </c>
      <c r="W1391" s="568">
        <f t="shared" si="723"/>
        <v>190</v>
      </c>
      <c r="X1391" s="568">
        <f t="shared" si="724"/>
        <v>35</v>
      </c>
      <c r="Y1391" s="568">
        <f t="shared" si="725"/>
        <v>2</v>
      </c>
      <c r="Z1391" s="568">
        <f t="shared" si="726"/>
        <v>9</v>
      </c>
      <c r="AA1391" s="568">
        <f t="shared" si="727"/>
        <v>0</v>
      </c>
      <c r="AB1391" s="584">
        <f t="shared" si="728"/>
        <v>0</v>
      </c>
      <c r="AC1391" s="565"/>
    </row>
    <row r="1392" spans="5:29">
      <c r="E1392" s="598"/>
      <c r="F1392" s="699"/>
      <c r="G1392" s="700"/>
      <c r="H1392" s="598"/>
      <c r="I1392" s="598"/>
      <c r="J1392" s="598"/>
      <c r="K1392" s="598"/>
      <c r="L1392" s="598"/>
      <c r="Q1392" s="563">
        <v>46117</v>
      </c>
      <c r="R1392" s="564">
        <v>0.54166666666666663</v>
      </c>
      <c r="S1392" s="565" t="s">
        <v>185</v>
      </c>
      <c r="T1392" s="565" t="s">
        <v>214</v>
      </c>
      <c r="U1392" s="566">
        <v>1</v>
      </c>
      <c r="V1392" s="567" t="str">
        <f t="shared" si="722"/>
        <v>bar</v>
      </c>
      <c r="W1392" s="568">
        <f t="shared" si="723"/>
        <v>67</v>
      </c>
      <c r="X1392" s="568">
        <f t="shared" si="724"/>
        <v>1</v>
      </c>
      <c r="Y1392" s="568">
        <f t="shared" si="725"/>
        <v>3.5</v>
      </c>
      <c r="Z1392" s="568">
        <f t="shared" si="726"/>
        <v>22</v>
      </c>
      <c r="AA1392" s="568">
        <f t="shared" si="727"/>
        <v>0.3</v>
      </c>
      <c r="AB1392" s="584">
        <f t="shared" si="728"/>
        <v>0</v>
      </c>
      <c r="AC1392" s="565"/>
    </row>
    <row r="1393" spans="5:29">
      <c r="E1393" s="598"/>
      <c r="F1393" s="699"/>
      <c r="G1393" s="700"/>
      <c r="H1393" s="598"/>
      <c r="I1393" s="598"/>
      <c r="J1393" s="598"/>
      <c r="K1393" s="598"/>
      <c r="L1393" s="598"/>
      <c r="Q1393" s="563">
        <v>46117</v>
      </c>
      <c r="R1393" s="564">
        <v>0.58333333333333337</v>
      </c>
      <c r="S1393" s="565" t="s">
        <v>185</v>
      </c>
      <c r="T1393" s="565" t="s">
        <v>202</v>
      </c>
      <c r="U1393" s="566">
        <f>2/3</f>
        <v>0.66666666666666663</v>
      </c>
      <c r="V1393" s="567" t="str">
        <f t="shared" si="722"/>
        <v>tbsp</v>
      </c>
      <c r="W1393" s="568">
        <f t="shared" si="723"/>
        <v>40</v>
      </c>
      <c r="X1393" s="568">
        <f t="shared" si="724"/>
        <v>1.3333333333333333</v>
      </c>
      <c r="Y1393" s="568">
        <f t="shared" si="725"/>
        <v>2.6666666666666665</v>
      </c>
      <c r="Z1393" s="568">
        <f t="shared" si="726"/>
        <v>3.333333333333333</v>
      </c>
      <c r="AA1393" s="568">
        <f t="shared" si="727"/>
        <v>2.6666666666666665</v>
      </c>
      <c r="AB1393" s="584">
        <f t="shared" si="728"/>
        <v>0</v>
      </c>
      <c r="AC1393" s="565"/>
    </row>
    <row r="1394" spans="5:29">
      <c r="E1394" s="598"/>
      <c r="F1394" s="699"/>
      <c r="G1394" s="700"/>
      <c r="H1394" s="598"/>
      <c r="I1394" s="598"/>
      <c r="J1394" s="598"/>
      <c r="K1394" s="598"/>
      <c r="L1394" s="598"/>
      <c r="Q1394" s="563">
        <v>46117</v>
      </c>
      <c r="R1394" s="564">
        <v>0.58333333333333304</v>
      </c>
      <c r="S1394" s="565" t="s">
        <v>185</v>
      </c>
      <c r="T1394" s="565" t="s">
        <v>181</v>
      </c>
      <c r="U1394" s="566">
        <v>2</v>
      </c>
      <c r="V1394" s="567" t="str">
        <f t="shared" si="722"/>
        <v>slice</v>
      </c>
      <c r="W1394" s="568">
        <f t="shared" si="723"/>
        <v>140</v>
      </c>
      <c r="X1394" s="568">
        <f t="shared" si="724"/>
        <v>5</v>
      </c>
      <c r="Y1394" s="568">
        <f t="shared" si="725"/>
        <v>2.5</v>
      </c>
      <c r="Z1394" s="568">
        <f t="shared" si="726"/>
        <v>24</v>
      </c>
      <c r="AA1394" s="568">
        <f t="shared" si="727"/>
        <v>2</v>
      </c>
      <c r="AB1394" s="584">
        <f t="shared" si="728"/>
        <v>0</v>
      </c>
      <c r="AC1394" s="565"/>
    </row>
    <row r="1395" spans="5:29">
      <c r="E1395" s="598"/>
      <c r="F1395" s="699"/>
      <c r="G1395" s="700"/>
      <c r="H1395" s="598"/>
      <c r="I1395" s="598"/>
      <c r="J1395" s="598"/>
      <c r="K1395" s="598"/>
      <c r="L1395" s="598"/>
      <c r="Q1395" s="563">
        <v>46117</v>
      </c>
      <c r="R1395" s="564">
        <v>0.83333333333333337</v>
      </c>
      <c r="S1395" s="565" t="s">
        <v>199</v>
      </c>
      <c r="T1395" s="565" t="s">
        <v>180</v>
      </c>
      <c r="U1395" s="566">
        <v>250</v>
      </c>
      <c r="V1395" s="567" t="str">
        <f t="shared" si="722"/>
        <v>g</v>
      </c>
      <c r="W1395" s="568">
        <f t="shared" si="723"/>
        <v>325</v>
      </c>
      <c r="X1395" s="568">
        <f t="shared" si="724"/>
        <v>6.75</v>
      </c>
      <c r="Y1395" s="568">
        <f t="shared" si="725"/>
        <v>0.75</v>
      </c>
      <c r="Z1395" s="568">
        <f t="shared" si="726"/>
        <v>70</v>
      </c>
      <c r="AA1395" s="568">
        <f t="shared" si="727"/>
        <v>1</v>
      </c>
      <c r="AB1395" s="584">
        <f t="shared" si="728"/>
        <v>0</v>
      </c>
      <c r="AC1395" s="565"/>
    </row>
    <row r="1396" spans="5:29">
      <c r="E1396" s="598"/>
      <c r="F1396" s="699"/>
      <c r="G1396" s="700"/>
      <c r="H1396" s="598"/>
      <c r="I1396" s="598"/>
      <c r="J1396" s="598"/>
      <c r="K1396" s="598"/>
      <c r="L1396" s="598"/>
      <c r="Q1396" s="563">
        <v>46117</v>
      </c>
      <c r="R1396" s="564">
        <v>0.83333333333333304</v>
      </c>
      <c r="S1396" s="565" t="s">
        <v>199</v>
      </c>
      <c r="T1396" s="565" t="s">
        <v>816</v>
      </c>
      <c r="U1396" s="566">
        <v>300</v>
      </c>
      <c r="V1396" s="567" t="str">
        <f t="shared" si="722"/>
        <v>g</v>
      </c>
      <c r="W1396" s="568">
        <f t="shared" si="723"/>
        <v>651</v>
      </c>
      <c r="X1396" s="568">
        <f t="shared" si="724"/>
        <v>78</v>
      </c>
      <c r="Y1396" s="568">
        <f t="shared" si="725"/>
        <v>36</v>
      </c>
      <c r="Z1396" s="568">
        <f t="shared" si="726"/>
        <v>0</v>
      </c>
      <c r="AA1396" s="568">
        <f t="shared" si="727"/>
        <v>0</v>
      </c>
      <c r="AB1396" s="584">
        <f t="shared" si="728"/>
        <v>0</v>
      </c>
      <c r="AC1396" s="565"/>
    </row>
    <row r="1397" spans="5:29">
      <c r="E1397" s="598"/>
      <c r="F1397" s="699"/>
      <c r="G1397" s="700"/>
      <c r="H1397" s="598"/>
      <c r="I1397" s="598"/>
      <c r="J1397" s="598"/>
      <c r="K1397" s="598"/>
      <c r="L1397" s="598"/>
      <c r="Q1397" s="563">
        <v>46117</v>
      </c>
      <c r="R1397" s="564">
        <v>0.83333333333333304</v>
      </c>
      <c r="S1397" s="565" t="s">
        <v>199</v>
      </c>
      <c r="T1397" s="565" t="s">
        <v>463</v>
      </c>
      <c r="U1397" s="566">
        <v>1</v>
      </c>
      <c r="V1397" s="567" t="str">
        <f t="shared" si="722"/>
        <v>bottle</v>
      </c>
      <c r="W1397" s="568">
        <f t="shared" si="723"/>
        <v>190</v>
      </c>
      <c r="X1397" s="568">
        <f t="shared" si="724"/>
        <v>35</v>
      </c>
      <c r="Y1397" s="568">
        <f t="shared" si="725"/>
        <v>2</v>
      </c>
      <c r="Z1397" s="568">
        <f t="shared" si="726"/>
        <v>9</v>
      </c>
      <c r="AA1397" s="568">
        <f t="shared" si="727"/>
        <v>0</v>
      </c>
      <c r="AB1397" s="584">
        <f t="shared" si="728"/>
        <v>0</v>
      </c>
      <c r="AC1397" s="565"/>
    </row>
    <row r="1398" spans="5:29">
      <c r="E1398" s="598"/>
      <c r="F1398" s="699"/>
      <c r="G1398" s="700"/>
      <c r="H1398" s="598"/>
      <c r="I1398" s="598"/>
      <c r="J1398" s="598"/>
      <c r="K1398" s="598"/>
      <c r="L1398" s="598"/>
      <c r="Q1398" s="563">
        <v>46117</v>
      </c>
      <c r="R1398" s="564">
        <v>0.83333333333333304</v>
      </c>
      <c r="S1398" s="565" t="s">
        <v>199</v>
      </c>
      <c r="T1398" s="565" t="s">
        <v>214</v>
      </c>
      <c r="U1398" s="566">
        <v>1</v>
      </c>
      <c r="V1398" s="567" t="str">
        <f t="shared" si="722"/>
        <v>bar</v>
      </c>
      <c r="W1398" s="568">
        <f t="shared" si="723"/>
        <v>67</v>
      </c>
      <c r="X1398" s="568">
        <f t="shared" si="724"/>
        <v>1</v>
      </c>
      <c r="Y1398" s="568">
        <f t="shared" si="725"/>
        <v>3.5</v>
      </c>
      <c r="Z1398" s="568">
        <f t="shared" si="726"/>
        <v>22</v>
      </c>
      <c r="AA1398" s="568">
        <f t="shared" si="727"/>
        <v>0.3</v>
      </c>
      <c r="AB1398" s="584">
        <f t="shared" si="728"/>
        <v>0</v>
      </c>
      <c r="AC1398" s="565"/>
    </row>
    <row r="1399" spans="5:29">
      <c r="E1399" s="598"/>
      <c r="F1399" s="699"/>
      <c r="G1399" s="700"/>
      <c r="H1399" s="598"/>
      <c r="I1399" s="598"/>
      <c r="J1399" s="598"/>
      <c r="K1399" s="598"/>
      <c r="L1399" s="598"/>
      <c r="Q1399" s="563">
        <v>46117</v>
      </c>
      <c r="R1399" s="564">
        <v>0.83333333333333304</v>
      </c>
      <c r="S1399" s="565" t="s">
        <v>199</v>
      </c>
      <c r="T1399" s="565" t="s">
        <v>219</v>
      </c>
      <c r="U1399" s="566">
        <v>1</v>
      </c>
      <c r="V1399" s="567" t="str">
        <f t="shared" si="722"/>
        <v>bottle</v>
      </c>
      <c r="W1399" s="568">
        <f t="shared" si="723"/>
        <v>0</v>
      </c>
      <c r="X1399" s="568">
        <f t="shared" si="724"/>
        <v>0</v>
      </c>
      <c r="Y1399" s="568">
        <f t="shared" si="725"/>
        <v>0</v>
      </c>
      <c r="Z1399" s="568">
        <f t="shared" si="726"/>
        <v>0</v>
      </c>
      <c r="AA1399" s="568">
        <f t="shared" si="727"/>
        <v>0</v>
      </c>
      <c r="AB1399" s="584">
        <f t="shared" si="728"/>
        <v>0</v>
      </c>
      <c r="AC1399" s="565"/>
    </row>
    <row r="1400" spans="5:29">
      <c r="E1400" s="598"/>
      <c r="F1400" s="699"/>
      <c r="G1400" s="700"/>
      <c r="H1400" s="598"/>
      <c r="I1400" s="598"/>
      <c r="J1400" s="598"/>
      <c r="K1400" s="598"/>
      <c r="L1400" s="598"/>
      <c r="Q1400" s="563">
        <v>46117</v>
      </c>
      <c r="R1400" s="564">
        <v>0.875</v>
      </c>
      <c r="S1400" s="565" t="s">
        <v>199</v>
      </c>
      <c r="T1400" s="565" t="s">
        <v>214</v>
      </c>
      <c r="U1400" s="566">
        <v>1</v>
      </c>
      <c r="V1400" s="567" t="str">
        <f t="shared" si="722"/>
        <v>bar</v>
      </c>
      <c r="W1400" s="568">
        <f t="shared" si="723"/>
        <v>67</v>
      </c>
      <c r="X1400" s="568">
        <f t="shared" si="724"/>
        <v>1</v>
      </c>
      <c r="Y1400" s="568">
        <f t="shared" si="725"/>
        <v>3.5</v>
      </c>
      <c r="Z1400" s="568">
        <f t="shared" si="726"/>
        <v>22</v>
      </c>
      <c r="AA1400" s="568">
        <f t="shared" si="727"/>
        <v>0.3</v>
      </c>
      <c r="AB1400" s="584">
        <f t="shared" si="728"/>
        <v>0</v>
      </c>
      <c r="AC1400" s="565"/>
    </row>
    <row r="1401" spans="5:29">
      <c r="E1401" s="598"/>
      <c r="F1401" s="699"/>
      <c r="G1401" s="700"/>
      <c r="H1401" s="598"/>
      <c r="I1401" s="598"/>
      <c r="J1401" s="598"/>
      <c r="K1401" s="598"/>
      <c r="L1401" s="598"/>
      <c r="Q1401" s="563">
        <v>46117</v>
      </c>
      <c r="R1401" s="564">
        <v>0.875</v>
      </c>
      <c r="S1401" s="565" t="s">
        <v>199</v>
      </c>
      <c r="T1401" s="565" t="s">
        <v>786</v>
      </c>
      <c r="U1401" s="566">
        <v>1</v>
      </c>
      <c r="V1401" s="567" t="str">
        <f t="shared" si="722"/>
        <v>bottle</v>
      </c>
      <c r="W1401" s="568">
        <f t="shared" si="723"/>
        <v>90</v>
      </c>
      <c r="X1401" s="568">
        <f t="shared" si="724"/>
        <v>0</v>
      </c>
      <c r="Y1401" s="568">
        <f t="shared" si="725"/>
        <v>0</v>
      </c>
      <c r="Z1401" s="568">
        <f t="shared" si="726"/>
        <v>22</v>
      </c>
      <c r="AA1401" s="568">
        <f t="shared" si="727"/>
        <v>0</v>
      </c>
      <c r="AB1401" s="584">
        <f t="shared" si="728"/>
        <v>0</v>
      </c>
      <c r="AC1401" s="565"/>
    </row>
    <row r="1402" spans="5:29">
      <c r="E1402" s="598"/>
      <c r="F1402" s="699"/>
      <c r="G1402" s="700"/>
      <c r="H1402" s="598"/>
      <c r="I1402" s="598"/>
      <c r="J1402" s="598"/>
      <c r="K1402" s="598"/>
      <c r="L1402" s="598"/>
      <c r="Q1402" s="563">
        <v>46117</v>
      </c>
      <c r="R1402" s="564">
        <v>0.875</v>
      </c>
      <c r="S1402" s="565" t="s">
        <v>199</v>
      </c>
      <c r="T1402" s="565" t="s">
        <v>209</v>
      </c>
      <c r="U1402" s="566">
        <v>3</v>
      </c>
      <c r="V1402" s="567" t="str">
        <f t="shared" si="722"/>
        <v>tbsp</v>
      </c>
      <c r="W1402" s="568">
        <f t="shared" si="723"/>
        <v>60</v>
      </c>
      <c r="X1402" s="568">
        <f t="shared" si="724"/>
        <v>0</v>
      </c>
      <c r="Y1402" s="568">
        <f t="shared" si="725"/>
        <v>0</v>
      </c>
      <c r="Z1402" s="568">
        <f t="shared" si="726"/>
        <v>15</v>
      </c>
      <c r="AA1402" s="568">
        <f t="shared" si="727"/>
        <v>13.5</v>
      </c>
      <c r="AB1402" s="684">
        <f t="shared" si="728"/>
        <v>0</v>
      </c>
      <c r="AC1402" s="565"/>
    </row>
    <row r="1403" spans="5:29">
      <c r="E1403" s="598"/>
      <c r="F1403" s="699"/>
      <c r="G1403" s="700"/>
      <c r="H1403" s="598"/>
      <c r="I1403" s="598"/>
      <c r="J1403" s="598"/>
      <c r="K1403" s="598"/>
      <c r="L1403" s="598"/>
      <c r="Q1403" s="569"/>
      <c r="R1403" s="570" t="s">
        <v>217</v>
      </c>
      <c r="S1403" s="571"/>
      <c r="T1403" s="572"/>
      <c r="U1403" s="572"/>
      <c r="V1403" s="573"/>
      <c r="W1403" s="574">
        <f t="shared" ref="W1403:AB1403" si="729">SUM(W1390:W1402)</f>
        <v>2167</v>
      </c>
      <c r="X1403" s="574">
        <f t="shared" si="729"/>
        <v>174.08333333333334</v>
      </c>
      <c r="Y1403" s="574">
        <f t="shared" si="729"/>
        <v>61.416666666666664</v>
      </c>
      <c r="Z1403" s="574">
        <f t="shared" si="729"/>
        <v>266.33333333333331</v>
      </c>
      <c r="AA1403" s="687">
        <f t="shared" si="729"/>
        <v>24.06666666666667</v>
      </c>
      <c r="AB1403" s="691">
        <f t="shared" si="729"/>
        <v>0</v>
      </c>
      <c r="AC1403" s="570"/>
    </row>
    <row r="1404" spans="5:29">
      <c r="E1404" s="598"/>
      <c r="F1404" s="699"/>
      <c r="G1404" s="700"/>
      <c r="H1404" s="598"/>
      <c r="I1404" s="598"/>
      <c r="J1404" s="598"/>
      <c r="K1404" s="598"/>
      <c r="L1404" s="598"/>
      <c r="Q1404" s="569"/>
      <c r="R1404" s="570" t="s">
        <v>220</v>
      </c>
      <c r="S1404" s="571"/>
      <c r="T1404" s="572"/>
      <c r="U1404" s="572"/>
      <c r="V1404" s="573"/>
      <c r="W1404" s="575">
        <f>$B$27</f>
        <v>2834.5625</v>
      </c>
      <c r="X1404" s="575">
        <f>$B$29</f>
        <v>154</v>
      </c>
      <c r="Y1404" s="575">
        <f>$B$30</f>
        <v>63.91</v>
      </c>
      <c r="Z1404" s="575">
        <f>$B$31</f>
        <v>410.84312499999999</v>
      </c>
      <c r="AA1404" s="694">
        <f>$B$32</f>
        <v>39.683875</v>
      </c>
      <c r="AB1404" s="695">
        <f>$B$39</f>
        <v>500</v>
      </c>
      <c r="AC1404" s="570"/>
    </row>
    <row r="1405" spans="5:29">
      <c r="E1405" s="598"/>
      <c r="F1405" s="699"/>
      <c r="G1405" s="700"/>
      <c r="H1405" s="598"/>
      <c r="I1405" s="598"/>
      <c r="J1405" s="598"/>
      <c r="K1405" s="598"/>
      <c r="L1405" s="598"/>
      <c r="Q1405" s="569"/>
      <c r="R1405" s="570" t="s">
        <v>222</v>
      </c>
      <c r="S1405" s="571"/>
      <c r="T1405" s="572"/>
      <c r="U1405" s="572"/>
      <c r="V1405" s="573"/>
      <c r="W1405" s="284">
        <f t="shared" ref="W1405:AB1405" si="730">W1403-W1404</f>
        <v>-667.5625</v>
      </c>
      <c r="X1405" s="284">
        <f t="shared" si="730"/>
        <v>20.083333333333343</v>
      </c>
      <c r="Y1405" s="284">
        <f t="shared" si="730"/>
        <v>-2.4933333333333323</v>
      </c>
      <c r="Z1405" s="284">
        <f t="shared" si="730"/>
        <v>-144.50979166666667</v>
      </c>
      <c r="AA1405" s="690">
        <f t="shared" si="730"/>
        <v>-15.61720833333333</v>
      </c>
      <c r="AB1405" s="689">
        <f t="shared" si="730"/>
        <v>-500</v>
      </c>
      <c r="AC1405" s="570"/>
    </row>
    <row r="1406" spans="5:29">
      <c r="E1406" s="598"/>
      <c r="F1406" s="699"/>
      <c r="G1406" s="700"/>
      <c r="H1406" s="598"/>
      <c r="I1406" s="598"/>
      <c r="J1406" s="598"/>
      <c r="K1406" s="598"/>
      <c r="L1406" s="598"/>
      <c r="Q1406" s="563">
        <v>46118</v>
      </c>
      <c r="R1406" s="564">
        <v>0.33333333333333331</v>
      </c>
      <c r="S1406" s="565" t="s">
        <v>178</v>
      </c>
      <c r="T1406" s="565" t="s">
        <v>899</v>
      </c>
      <c r="U1406" s="566">
        <v>60</v>
      </c>
      <c r="V1406" s="567" t="str">
        <f t="shared" ref="V1406:V1411" si="731">IFERROR(VLOOKUP(T1406, $E$5:$L$818, 3, FALSE), "")</f>
        <v>g</v>
      </c>
      <c r="W1406" s="568">
        <f t="shared" ref="W1406:W1411" si="732">IFERROR(VLOOKUP(T1406, $E$5:$L$818, 4, FALSE) * (U1406 / VLOOKUP(T1406, $E$5:$L$818, 2, FALSE)), "")</f>
        <v>252</v>
      </c>
      <c r="X1406" s="568">
        <f t="shared" ref="X1406:X1411" si="733">IFERROR(VLOOKUP(T1406, $E$5:$L$818, 5, FALSE) * (U1406 / VLOOKUP(T1406, $E$5:$L$818, 2, FALSE)), "")</f>
        <v>7.1999999999999993</v>
      </c>
      <c r="Y1406" s="568">
        <f t="shared" ref="Y1406:Y1411" si="734">IFERROR(VLOOKUP(T1406, $E$5:$L$818, 6, FALSE) * (U1406 / VLOOKUP(T1406, $E$5:$L$818, 2, FALSE)), "")</f>
        <v>6</v>
      </c>
      <c r="Z1406" s="568">
        <f t="shared" ref="Z1406:Z1411" si="735">IFERROR(VLOOKUP(T1406, $E$5:$L$818, 7, FALSE) * (U1406 / VLOOKUP(T1406, $E$5:$L$818, 2, FALSE)), "")</f>
        <v>42</v>
      </c>
      <c r="AA1406" s="568">
        <f t="shared" ref="AA1406:AA1411" si="736">IFERROR(VLOOKUP(T1406, $E$5:$L$818, 8, FALSE) * (U1406 / VLOOKUP(T1406, $E$5:$L$818, 2, FALSE)), "")</f>
        <v>4.8</v>
      </c>
      <c r="AB1406" s="674">
        <f t="shared" ref="AB1406:AB1421" si="737">IFERROR(VLOOKUP(T1406, $E$5:$O$818, 9, FALSE) * (U1406 / VLOOKUP(T1406, $E$5:$O$818, 2, FALSE)), "")</f>
        <v>0</v>
      </c>
      <c r="AC1406" s="565"/>
    </row>
    <row r="1407" spans="5:29">
      <c r="E1407" s="598"/>
      <c r="F1407" s="699"/>
      <c r="G1407" s="700"/>
      <c r="H1407" s="598"/>
      <c r="I1407" s="598"/>
      <c r="J1407" s="598"/>
      <c r="K1407" s="598"/>
      <c r="L1407" s="598"/>
      <c r="Q1407" s="563">
        <v>46118</v>
      </c>
      <c r="R1407" s="564">
        <v>0.33333333333333298</v>
      </c>
      <c r="S1407" s="565" t="s">
        <v>178</v>
      </c>
      <c r="T1407" s="565" t="s">
        <v>810</v>
      </c>
      <c r="U1407" s="566">
        <v>184</v>
      </c>
      <c r="V1407" s="567" t="str">
        <f t="shared" si="731"/>
        <v>g</v>
      </c>
      <c r="W1407" s="568">
        <f t="shared" si="732"/>
        <v>122.66666666666666</v>
      </c>
      <c r="X1407" s="568">
        <f t="shared" si="733"/>
        <v>7.3599999999999994</v>
      </c>
      <c r="Y1407" s="568">
        <f t="shared" si="734"/>
        <v>3.0666666666666664</v>
      </c>
      <c r="Z1407" s="568">
        <f t="shared" si="735"/>
        <v>14.719999999999999</v>
      </c>
      <c r="AA1407" s="568">
        <f t="shared" si="736"/>
        <v>0</v>
      </c>
      <c r="AB1407" s="584">
        <f t="shared" si="737"/>
        <v>0</v>
      </c>
      <c r="AC1407" s="565"/>
    </row>
    <row r="1408" spans="5:29">
      <c r="E1408" s="598"/>
      <c r="F1408" s="699"/>
      <c r="G1408" s="700"/>
      <c r="H1408" s="598"/>
      <c r="I1408" s="598"/>
      <c r="J1408" s="598"/>
      <c r="K1408" s="598"/>
      <c r="L1408" s="598"/>
      <c r="Q1408" s="563">
        <v>46118</v>
      </c>
      <c r="R1408" s="564">
        <v>0.33333333333333298</v>
      </c>
      <c r="S1408" s="565" t="s">
        <v>178</v>
      </c>
      <c r="T1408" s="565" t="s">
        <v>901</v>
      </c>
      <c r="U1408" s="566">
        <v>10</v>
      </c>
      <c r="V1408" s="567" t="str">
        <f t="shared" si="731"/>
        <v>g</v>
      </c>
      <c r="W1408" s="568">
        <f t="shared" si="732"/>
        <v>32</v>
      </c>
      <c r="X1408" s="568">
        <f t="shared" si="733"/>
        <v>0</v>
      </c>
      <c r="Y1408" s="568">
        <f t="shared" si="734"/>
        <v>0</v>
      </c>
      <c r="Z1408" s="568">
        <f t="shared" si="735"/>
        <v>8</v>
      </c>
      <c r="AA1408" s="568">
        <f t="shared" si="736"/>
        <v>0</v>
      </c>
      <c r="AB1408" s="584">
        <f t="shared" si="737"/>
        <v>0</v>
      </c>
      <c r="AC1408" s="565"/>
    </row>
    <row r="1409" spans="5:29">
      <c r="E1409" s="598"/>
      <c r="F1409" s="699"/>
      <c r="G1409" s="700"/>
      <c r="H1409" s="598"/>
      <c r="I1409" s="598"/>
      <c r="J1409" s="598"/>
      <c r="K1409" s="598"/>
      <c r="L1409" s="598"/>
      <c r="Q1409" s="563">
        <v>46118</v>
      </c>
      <c r="R1409" s="564">
        <v>0.33333333333333298</v>
      </c>
      <c r="S1409" s="565" t="s">
        <v>178</v>
      </c>
      <c r="T1409" s="565" t="s">
        <v>202</v>
      </c>
      <c r="U1409" s="566">
        <f>2/3</f>
        <v>0.66666666666666663</v>
      </c>
      <c r="V1409" s="567" t="str">
        <f t="shared" si="731"/>
        <v>tbsp</v>
      </c>
      <c r="W1409" s="568">
        <f t="shared" si="732"/>
        <v>40</v>
      </c>
      <c r="X1409" s="568">
        <f t="shared" si="733"/>
        <v>1.3333333333333333</v>
      </c>
      <c r="Y1409" s="568">
        <f t="shared" si="734"/>
        <v>2.6666666666666665</v>
      </c>
      <c r="Z1409" s="568">
        <f t="shared" si="735"/>
        <v>3.333333333333333</v>
      </c>
      <c r="AA1409" s="568">
        <f t="shared" si="736"/>
        <v>2.6666666666666665</v>
      </c>
      <c r="AB1409" s="584">
        <f t="shared" si="737"/>
        <v>0</v>
      </c>
      <c r="AC1409" s="565"/>
    </row>
    <row r="1410" spans="5:29">
      <c r="E1410" s="598"/>
      <c r="F1410" s="699"/>
      <c r="G1410" s="700"/>
      <c r="H1410" s="598"/>
      <c r="I1410" s="598"/>
      <c r="J1410" s="598"/>
      <c r="K1410" s="598"/>
      <c r="L1410" s="598"/>
      <c r="Q1410" s="563">
        <v>46118</v>
      </c>
      <c r="R1410" s="564">
        <v>0.375</v>
      </c>
      <c r="S1410" s="565" t="s">
        <v>178</v>
      </c>
      <c r="T1410" s="565" t="s">
        <v>295</v>
      </c>
      <c r="U1410" s="566">
        <v>1</v>
      </c>
      <c r="V1410" s="567" t="str">
        <f t="shared" si="731"/>
        <v>bottle</v>
      </c>
      <c r="W1410" s="568">
        <f t="shared" si="732"/>
        <v>200</v>
      </c>
      <c r="X1410" s="568">
        <f t="shared" si="733"/>
        <v>35</v>
      </c>
      <c r="Y1410" s="568">
        <f t="shared" si="734"/>
        <v>2.5</v>
      </c>
      <c r="Z1410" s="568">
        <f t="shared" si="735"/>
        <v>9</v>
      </c>
      <c r="AA1410" s="568">
        <f t="shared" si="736"/>
        <v>0</v>
      </c>
      <c r="AB1410" s="584">
        <f t="shared" si="737"/>
        <v>0</v>
      </c>
      <c r="AC1410" s="565"/>
    </row>
    <row r="1411" spans="5:29">
      <c r="E1411" s="598"/>
      <c r="F1411" s="699"/>
      <c r="G1411" s="700"/>
      <c r="H1411" s="598"/>
      <c r="I1411" s="598"/>
      <c r="J1411" s="598"/>
      <c r="K1411" s="598"/>
      <c r="L1411" s="598"/>
      <c r="Q1411" s="563">
        <v>46118</v>
      </c>
      <c r="R1411" s="564">
        <v>0.375</v>
      </c>
      <c r="S1411" s="565" t="s">
        <v>178</v>
      </c>
      <c r="T1411" s="565" t="s">
        <v>181</v>
      </c>
      <c r="U1411" s="566">
        <v>2</v>
      </c>
      <c r="V1411" s="567" t="str">
        <f t="shared" si="731"/>
        <v>slice</v>
      </c>
      <c r="W1411" s="568">
        <f t="shared" si="732"/>
        <v>140</v>
      </c>
      <c r="X1411" s="568">
        <f t="shared" si="733"/>
        <v>5</v>
      </c>
      <c r="Y1411" s="568">
        <f t="shared" si="734"/>
        <v>2.5</v>
      </c>
      <c r="Z1411" s="568">
        <f t="shared" si="735"/>
        <v>24</v>
      </c>
      <c r="AA1411" s="568">
        <f t="shared" si="736"/>
        <v>2</v>
      </c>
      <c r="AB1411" s="584">
        <f t="shared" si="737"/>
        <v>0</v>
      </c>
      <c r="AC1411" s="565"/>
    </row>
    <row r="1412" spans="5:29">
      <c r="E1412" s="598"/>
      <c r="F1412" s="699"/>
      <c r="G1412" s="700"/>
      <c r="H1412" s="598"/>
      <c r="I1412" s="598"/>
      <c r="J1412" s="598"/>
      <c r="K1412" s="598"/>
      <c r="L1412" s="598"/>
      <c r="Q1412" s="563">
        <v>46118</v>
      </c>
      <c r="R1412" s="564">
        <v>0.54166666666666663</v>
      </c>
      <c r="S1412" s="565" t="s">
        <v>185</v>
      </c>
      <c r="T1412" s="565" t="s">
        <v>180</v>
      </c>
      <c r="U1412" s="566">
        <v>250</v>
      </c>
      <c r="V1412" s="567" t="str">
        <f t="shared" ref="V1412:V1419" si="738">IFERROR(VLOOKUP(T1412, $E$5:$L$818, 3, FALSE), "")</f>
        <v>g</v>
      </c>
      <c r="W1412" s="568">
        <f t="shared" ref="W1412:W1419" si="739">IFERROR(VLOOKUP(T1412, $E$5:$L$818, 4, FALSE) * (U1412 / VLOOKUP(T1412, $E$5:$L$818, 2, FALSE)), "")</f>
        <v>325</v>
      </c>
      <c r="X1412" s="568">
        <f t="shared" ref="X1412:X1419" si="740">IFERROR(VLOOKUP(T1412, $E$5:$L$818, 5, FALSE) * (U1412 / VLOOKUP(T1412, $E$5:$L$818, 2, FALSE)), "")</f>
        <v>6.75</v>
      </c>
      <c r="Y1412" s="568">
        <f t="shared" ref="Y1412:Y1419" si="741">IFERROR(VLOOKUP(T1412, $E$5:$L$818, 6, FALSE) * (U1412 / VLOOKUP(T1412, $E$5:$L$818, 2, FALSE)), "")</f>
        <v>0.75</v>
      </c>
      <c r="Z1412" s="568">
        <f t="shared" ref="Z1412:Z1419" si="742">IFERROR(VLOOKUP(T1412, $E$5:$L$818, 7, FALSE) * (U1412 / VLOOKUP(T1412, $E$5:$L$818, 2, FALSE)), "")</f>
        <v>70</v>
      </c>
      <c r="AA1412" s="568">
        <f t="shared" ref="AA1412:AA1419" si="743">IFERROR(VLOOKUP(T1412, $E$5:$L$818, 8, FALSE) * (U1412 / VLOOKUP(T1412, $E$5:$L$818, 2, FALSE)), "")</f>
        <v>1</v>
      </c>
      <c r="AB1412" s="584">
        <f t="shared" si="737"/>
        <v>0</v>
      </c>
      <c r="AC1412" s="565"/>
    </row>
    <row r="1413" spans="5:29">
      <c r="E1413" s="598"/>
      <c r="F1413" s="699"/>
      <c r="G1413" s="700"/>
      <c r="H1413" s="598"/>
      <c r="I1413" s="598"/>
      <c r="J1413" s="598"/>
      <c r="K1413" s="598"/>
      <c r="L1413" s="598"/>
      <c r="Q1413" s="563">
        <v>46118</v>
      </c>
      <c r="R1413" s="564">
        <v>0.54166666666666696</v>
      </c>
      <c r="S1413" s="565" t="s">
        <v>185</v>
      </c>
      <c r="T1413" s="565" t="s">
        <v>816</v>
      </c>
      <c r="U1413" s="566">
        <v>210</v>
      </c>
      <c r="V1413" s="567" t="str">
        <f t="shared" si="738"/>
        <v>g</v>
      </c>
      <c r="W1413" s="568">
        <f t="shared" si="739"/>
        <v>455.70000000000005</v>
      </c>
      <c r="X1413" s="568">
        <f t="shared" si="740"/>
        <v>54.6</v>
      </c>
      <c r="Y1413" s="568">
        <f t="shared" si="741"/>
        <v>25.200000000000003</v>
      </c>
      <c r="Z1413" s="568">
        <f t="shared" si="742"/>
        <v>0</v>
      </c>
      <c r="AA1413" s="568">
        <f t="shared" si="743"/>
        <v>0</v>
      </c>
      <c r="AB1413" s="584">
        <f t="shared" si="737"/>
        <v>0</v>
      </c>
      <c r="AC1413" s="565"/>
    </row>
    <row r="1414" spans="5:29">
      <c r="E1414" s="598"/>
      <c r="F1414" s="699"/>
      <c r="G1414" s="700"/>
      <c r="H1414" s="598"/>
      <c r="I1414" s="598"/>
      <c r="J1414" s="598"/>
      <c r="K1414" s="598"/>
      <c r="L1414" s="598"/>
      <c r="Q1414" s="563">
        <v>46118</v>
      </c>
      <c r="R1414" s="564">
        <v>0.58333333333333337</v>
      </c>
      <c r="S1414" s="565" t="s">
        <v>185</v>
      </c>
      <c r="T1414" s="565" t="s">
        <v>856</v>
      </c>
      <c r="U1414" s="566">
        <v>150</v>
      </c>
      <c r="V1414" s="567" t="str">
        <f t="shared" si="738"/>
        <v>g</v>
      </c>
      <c r="W1414" s="568">
        <f t="shared" si="739"/>
        <v>90</v>
      </c>
      <c r="X1414" s="568">
        <f t="shared" si="740"/>
        <v>1.5</v>
      </c>
      <c r="Y1414" s="568">
        <f t="shared" si="741"/>
        <v>0</v>
      </c>
      <c r="Z1414" s="568">
        <f t="shared" si="742"/>
        <v>22.5</v>
      </c>
      <c r="AA1414" s="568">
        <f t="shared" si="743"/>
        <v>3</v>
      </c>
      <c r="AB1414" s="584">
        <f t="shared" si="737"/>
        <v>0</v>
      </c>
      <c r="AC1414" s="565"/>
    </row>
    <row r="1415" spans="5:29">
      <c r="E1415" s="598"/>
      <c r="F1415" s="699"/>
      <c r="G1415" s="700"/>
      <c r="H1415" s="598"/>
      <c r="I1415" s="598"/>
      <c r="J1415" s="598"/>
      <c r="K1415" s="598"/>
      <c r="L1415" s="598"/>
      <c r="Q1415" s="563">
        <v>46118</v>
      </c>
      <c r="R1415" s="564">
        <v>0.58333333333333304</v>
      </c>
      <c r="S1415" s="565" t="s">
        <v>185</v>
      </c>
      <c r="T1415" s="565" t="s">
        <v>461</v>
      </c>
      <c r="U1415" s="566">
        <v>1</v>
      </c>
      <c r="V1415" s="567" t="str">
        <f t="shared" si="738"/>
        <v>chunks</v>
      </c>
      <c r="W1415" s="568">
        <f t="shared" si="739"/>
        <v>24.285714285714285</v>
      </c>
      <c r="X1415" s="568">
        <f t="shared" si="740"/>
        <v>0.42857142857142855</v>
      </c>
      <c r="Y1415" s="568">
        <f t="shared" si="741"/>
        <v>1.4285714285714284</v>
      </c>
      <c r="Z1415" s="568">
        <f t="shared" si="742"/>
        <v>2.5714285714285712</v>
      </c>
      <c r="AA1415" s="568">
        <f t="shared" si="743"/>
        <v>7.1428571428571425E-2</v>
      </c>
      <c r="AB1415" s="584">
        <f t="shared" si="737"/>
        <v>0</v>
      </c>
      <c r="AC1415" s="565"/>
    </row>
    <row r="1416" spans="5:29">
      <c r="E1416" s="598"/>
      <c r="F1416" s="699"/>
      <c r="G1416" s="700"/>
      <c r="H1416" s="598"/>
      <c r="I1416" s="598"/>
      <c r="J1416" s="598"/>
      <c r="K1416" s="598"/>
      <c r="L1416" s="598"/>
      <c r="Q1416" s="563">
        <v>46118</v>
      </c>
      <c r="R1416" s="564">
        <v>0.75</v>
      </c>
      <c r="S1416" s="565" t="s">
        <v>199</v>
      </c>
      <c r="T1416" s="565" t="s">
        <v>181</v>
      </c>
      <c r="U1416" s="566">
        <v>4</v>
      </c>
      <c r="V1416" s="567" t="str">
        <f t="shared" si="738"/>
        <v>slice</v>
      </c>
      <c r="W1416" s="568">
        <f t="shared" si="739"/>
        <v>280</v>
      </c>
      <c r="X1416" s="568">
        <f t="shared" si="740"/>
        <v>10</v>
      </c>
      <c r="Y1416" s="568">
        <f t="shared" si="741"/>
        <v>5</v>
      </c>
      <c r="Z1416" s="568">
        <f t="shared" si="742"/>
        <v>48</v>
      </c>
      <c r="AA1416" s="568">
        <f t="shared" si="743"/>
        <v>4</v>
      </c>
      <c r="AB1416" s="584">
        <f t="shared" si="737"/>
        <v>0</v>
      </c>
      <c r="AC1416" s="565"/>
    </row>
    <row r="1417" spans="5:29">
      <c r="E1417" s="598"/>
      <c r="F1417" s="699"/>
      <c r="G1417" s="700"/>
      <c r="H1417" s="598"/>
      <c r="I1417" s="598"/>
      <c r="J1417" s="598"/>
      <c r="K1417" s="598"/>
      <c r="L1417" s="598"/>
      <c r="Q1417" s="563">
        <v>46118</v>
      </c>
      <c r="R1417" s="564">
        <v>0.83333333333333337</v>
      </c>
      <c r="S1417" s="565" t="s">
        <v>199</v>
      </c>
      <c r="T1417" s="565" t="s">
        <v>461</v>
      </c>
      <c r="U1417" s="566">
        <v>1</v>
      </c>
      <c r="V1417" s="567" t="str">
        <f t="shared" si="738"/>
        <v>chunks</v>
      </c>
      <c r="W1417" s="568">
        <f t="shared" si="739"/>
        <v>24.285714285714285</v>
      </c>
      <c r="X1417" s="568">
        <f t="shared" si="740"/>
        <v>0.42857142857142855</v>
      </c>
      <c r="Y1417" s="568">
        <f t="shared" si="741"/>
        <v>1.4285714285714284</v>
      </c>
      <c r="Z1417" s="568">
        <f t="shared" si="742"/>
        <v>2.5714285714285712</v>
      </c>
      <c r="AA1417" s="568">
        <f t="shared" si="743"/>
        <v>7.1428571428571425E-2</v>
      </c>
      <c r="AB1417" s="584">
        <f t="shared" si="737"/>
        <v>0</v>
      </c>
      <c r="AC1417" s="565"/>
    </row>
    <row r="1418" spans="5:29">
      <c r="E1418" s="598"/>
      <c r="F1418" s="699"/>
      <c r="G1418" s="700"/>
      <c r="H1418" s="598"/>
      <c r="I1418" s="598"/>
      <c r="J1418" s="598"/>
      <c r="K1418" s="598"/>
      <c r="L1418" s="598"/>
      <c r="Q1418" s="563">
        <v>46118</v>
      </c>
      <c r="R1418" s="564">
        <v>0.83333333333333304</v>
      </c>
      <c r="S1418" s="565" t="s">
        <v>199</v>
      </c>
      <c r="T1418" s="565" t="s">
        <v>816</v>
      </c>
      <c r="U1418" s="566">
        <v>100</v>
      </c>
      <c r="V1418" s="567" t="str">
        <f t="shared" si="738"/>
        <v>g</v>
      </c>
      <c r="W1418" s="568">
        <f t="shared" si="739"/>
        <v>217</v>
      </c>
      <c r="X1418" s="568">
        <f t="shared" si="740"/>
        <v>26</v>
      </c>
      <c r="Y1418" s="568">
        <f t="shared" si="741"/>
        <v>12</v>
      </c>
      <c r="Z1418" s="568">
        <f t="shared" si="742"/>
        <v>0</v>
      </c>
      <c r="AA1418" s="568">
        <f t="shared" si="743"/>
        <v>0</v>
      </c>
      <c r="AB1418" s="584">
        <f t="shared" si="737"/>
        <v>0</v>
      </c>
      <c r="AC1418" s="565"/>
    </row>
    <row r="1419" spans="5:29">
      <c r="E1419" s="598"/>
      <c r="F1419" s="699"/>
      <c r="G1419" s="700"/>
      <c r="H1419" s="598"/>
      <c r="I1419" s="598"/>
      <c r="J1419" s="598"/>
      <c r="K1419" s="598"/>
      <c r="L1419" s="598"/>
      <c r="Q1419" s="563">
        <v>46118</v>
      </c>
      <c r="R1419" s="564">
        <v>0.83333333333333304</v>
      </c>
      <c r="S1419" s="565" t="s">
        <v>199</v>
      </c>
      <c r="T1419" s="565" t="s">
        <v>484</v>
      </c>
      <c r="U1419" s="566">
        <v>300</v>
      </c>
      <c r="V1419" s="567" t="str">
        <f t="shared" si="738"/>
        <v>g</v>
      </c>
      <c r="W1419" s="568">
        <f t="shared" si="739"/>
        <v>279</v>
      </c>
      <c r="X1419" s="568">
        <f t="shared" si="740"/>
        <v>7.5</v>
      </c>
      <c r="Y1419" s="568">
        <f t="shared" si="741"/>
        <v>0.60000000000000009</v>
      </c>
      <c r="Z1419" s="568">
        <f t="shared" si="742"/>
        <v>63</v>
      </c>
      <c r="AA1419" s="568">
        <f t="shared" si="743"/>
        <v>7.8000000000000007</v>
      </c>
      <c r="AB1419" s="584">
        <f t="shared" si="737"/>
        <v>0</v>
      </c>
      <c r="AC1419" s="565"/>
    </row>
    <row r="1420" spans="5:29">
      <c r="E1420" s="598"/>
      <c r="F1420" s="699"/>
      <c r="G1420" s="700"/>
      <c r="H1420" s="598"/>
      <c r="I1420" s="598"/>
      <c r="J1420" s="598"/>
      <c r="K1420" s="598"/>
      <c r="L1420" s="598"/>
      <c r="Q1420" s="563">
        <v>46118</v>
      </c>
      <c r="R1420" s="564">
        <v>0.875</v>
      </c>
      <c r="S1420" s="565" t="s">
        <v>199</v>
      </c>
      <c r="T1420" s="565" t="s">
        <v>786</v>
      </c>
      <c r="U1420" s="566">
        <v>1</v>
      </c>
      <c r="V1420" s="567" t="str">
        <f t="shared" ref="V1420:V1421" si="744">IFERROR(VLOOKUP(T1420, $E$5:$L$818, 3, FALSE), "")</f>
        <v>bottle</v>
      </c>
      <c r="W1420" s="568">
        <f t="shared" ref="W1420:W1421" si="745">IFERROR(VLOOKUP(T1420, $E$5:$L$818, 4, FALSE) * (U1420 / VLOOKUP(T1420, $E$5:$L$818, 2, FALSE)), "")</f>
        <v>90</v>
      </c>
      <c r="X1420" s="568">
        <f t="shared" ref="X1420:X1421" si="746">IFERROR(VLOOKUP(T1420, $E$5:$L$818, 5, FALSE) * (U1420 / VLOOKUP(T1420, $E$5:$L$818, 2, FALSE)), "")</f>
        <v>0</v>
      </c>
      <c r="Y1420" s="568">
        <f t="shared" ref="Y1420:Y1421" si="747">IFERROR(VLOOKUP(T1420, $E$5:$L$818, 6, FALSE) * (U1420 / VLOOKUP(T1420, $E$5:$L$818, 2, FALSE)), "")</f>
        <v>0</v>
      </c>
      <c r="Z1420" s="568">
        <f t="shared" ref="Z1420:Z1421" si="748">IFERROR(VLOOKUP(T1420, $E$5:$L$818, 7, FALSE) * (U1420 / VLOOKUP(T1420, $E$5:$L$818, 2, FALSE)), "")</f>
        <v>22</v>
      </c>
      <c r="AA1420" s="568">
        <f t="shared" ref="AA1420:AA1421" si="749">IFERROR(VLOOKUP(T1420, $E$5:$L$818, 8, FALSE) * (U1420 / VLOOKUP(T1420, $E$5:$L$818, 2, FALSE)), "")</f>
        <v>0</v>
      </c>
      <c r="AB1420" s="584">
        <f t="shared" si="737"/>
        <v>0</v>
      </c>
      <c r="AC1420" s="565"/>
    </row>
    <row r="1421" spans="5:29">
      <c r="E1421" s="598"/>
      <c r="F1421" s="699"/>
      <c r="G1421" s="700"/>
      <c r="H1421" s="598"/>
      <c r="I1421" s="598"/>
      <c r="J1421" s="598"/>
      <c r="K1421" s="598"/>
      <c r="L1421" s="598"/>
      <c r="Q1421" s="563">
        <v>46118</v>
      </c>
      <c r="R1421" s="564">
        <v>0.875</v>
      </c>
      <c r="S1421" s="565" t="s">
        <v>199</v>
      </c>
      <c r="T1421" s="565" t="s">
        <v>209</v>
      </c>
      <c r="U1421" s="566">
        <v>3.5</v>
      </c>
      <c r="V1421" s="567" t="str">
        <f t="shared" si="744"/>
        <v>tbsp</v>
      </c>
      <c r="W1421" s="568">
        <f t="shared" si="745"/>
        <v>70</v>
      </c>
      <c r="X1421" s="568">
        <f t="shared" si="746"/>
        <v>0</v>
      </c>
      <c r="Y1421" s="568">
        <f t="shared" si="747"/>
        <v>0</v>
      </c>
      <c r="Z1421" s="568">
        <f t="shared" si="748"/>
        <v>17.5</v>
      </c>
      <c r="AA1421" s="568">
        <f t="shared" si="749"/>
        <v>15.75</v>
      </c>
      <c r="AB1421" s="684">
        <f t="shared" si="737"/>
        <v>0</v>
      </c>
      <c r="AC1421" s="565"/>
    </row>
    <row r="1422" spans="5:29">
      <c r="E1422" s="598"/>
      <c r="F1422" s="699"/>
      <c r="G1422" s="700"/>
      <c r="H1422" s="598"/>
      <c r="I1422" s="598"/>
      <c r="J1422" s="598"/>
      <c r="K1422" s="598"/>
      <c r="L1422" s="598"/>
      <c r="Q1422" s="569"/>
      <c r="R1422" s="570" t="s">
        <v>217</v>
      </c>
      <c r="S1422" s="571"/>
      <c r="T1422" s="572"/>
      <c r="U1422" s="572"/>
      <c r="V1422" s="573"/>
      <c r="W1422" s="574">
        <f t="shared" ref="W1422:AB1422" si="750">SUM(W1406:W1421)</f>
        <v>2641.9380952380952</v>
      </c>
      <c r="X1422" s="574">
        <f t="shared" si="750"/>
        <v>163.1004761904762</v>
      </c>
      <c r="Y1422" s="574">
        <f t="shared" si="750"/>
        <v>63.1404761904762</v>
      </c>
      <c r="Z1422" s="574">
        <f t="shared" si="750"/>
        <v>349.19619047619051</v>
      </c>
      <c r="AA1422" s="687">
        <f t="shared" si="750"/>
        <v>41.159523809523812</v>
      </c>
      <c r="AB1422" s="691">
        <f t="shared" si="750"/>
        <v>0</v>
      </c>
      <c r="AC1422" s="570"/>
    </row>
    <row r="1423" spans="5:29">
      <c r="E1423" s="598"/>
      <c r="F1423" s="699"/>
      <c r="G1423" s="700"/>
      <c r="H1423" s="598"/>
      <c r="I1423" s="598"/>
      <c r="J1423" s="598"/>
      <c r="K1423" s="598"/>
      <c r="L1423" s="598"/>
      <c r="Q1423" s="569"/>
      <c r="R1423" s="570" t="s">
        <v>220</v>
      </c>
      <c r="S1423" s="571"/>
      <c r="T1423" s="572"/>
      <c r="U1423" s="572"/>
      <c r="V1423" s="573"/>
      <c r="W1423" s="575">
        <f>$B$27</f>
        <v>2834.5625</v>
      </c>
      <c r="X1423" s="575">
        <f>$B$29</f>
        <v>154</v>
      </c>
      <c r="Y1423" s="575">
        <f>$B$30</f>
        <v>63.91</v>
      </c>
      <c r="Z1423" s="575">
        <f>$B$31</f>
        <v>410.84312499999999</v>
      </c>
      <c r="AA1423" s="694">
        <f>$B$32</f>
        <v>39.683875</v>
      </c>
      <c r="AB1423" s="695">
        <f>$B$39</f>
        <v>500</v>
      </c>
      <c r="AC1423" s="570"/>
    </row>
    <row r="1424" spans="5:29">
      <c r="E1424" s="598"/>
      <c r="F1424" s="699"/>
      <c r="G1424" s="700"/>
      <c r="H1424" s="598"/>
      <c r="I1424" s="598"/>
      <c r="J1424" s="598"/>
      <c r="K1424" s="598"/>
      <c r="L1424" s="598"/>
      <c r="Q1424" s="569"/>
      <c r="R1424" s="570" t="s">
        <v>222</v>
      </c>
      <c r="S1424" s="571"/>
      <c r="T1424" s="572"/>
      <c r="U1424" s="572"/>
      <c r="V1424" s="573"/>
      <c r="W1424" s="284">
        <f t="shared" ref="W1424:AB1424" si="751">W1422-W1423</f>
        <v>-192.62440476190477</v>
      </c>
      <c r="X1424" s="284">
        <f t="shared" si="751"/>
        <v>9.1004761904762006</v>
      </c>
      <c r="Y1424" s="284">
        <f t="shared" si="751"/>
        <v>-0.76952380952379684</v>
      </c>
      <c r="Z1424" s="284">
        <f t="shared" si="751"/>
        <v>-61.646934523809477</v>
      </c>
      <c r="AA1424" s="690">
        <f t="shared" si="751"/>
        <v>1.4756488095238112</v>
      </c>
      <c r="AB1424" s="689">
        <f t="shared" si="751"/>
        <v>-500</v>
      </c>
      <c r="AC1424" s="570"/>
    </row>
    <row r="1425" spans="5:31">
      <c r="E1425" s="598"/>
      <c r="F1425" s="699"/>
      <c r="G1425" s="700"/>
      <c r="H1425" s="598"/>
      <c r="I1425" s="598"/>
      <c r="J1425" s="598"/>
      <c r="K1425" s="598"/>
      <c r="L1425" s="598"/>
      <c r="Q1425" s="563">
        <v>46119</v>
      </c>
      <c r="R1425" s="564">
        <v>0.33333333333333331</v>
      </c>
      <c r="S1425" s="565" t="s">
        <v>178</v>
      </c>
      <c r="T1425" s="565" t="s">
        <v>899</v>
      </c>
      <c r="U1425" s="566">
        <v>60</v>
      </c>
      <c r="V1425" s="567" t="str">
        <f t="shared" ref="V1425:V1438" si="752">IFERROR(VLOOKUP(T1425, $E$5:$L$818, 3, FALSE), "")</f>
        <v>g</v>
      </c>
      <c r="W1425" s="568">
        <f t="shared" ref="W1425:W1438" si="753">IFERROR(VLOOKUP(T1425, $E$5:$L$818, 4, FALSE) * (U1425 / VLOOKUP(T1425, $E$5:$L$818, 2, FALSE)), "")</f>
        <v>252</v>
      </c>
      <c r="X1425" s="568">
        <f t="shared" ref="X1425:X1438" si="754">IFERROR(VLOOKUP(T1425, $E$5:$L$818, 5, FALSE) * (U1425 / VLOOKUP(T1425, $E$5:$L$818, 2, FALSE)), "")</f>
        <v>7.1999999999999993</v>
      </c>
      <c r="Y1425" s="568">
        <f t="shared" ref="Y1425:Y1438" si="755">IFERROR(VLOOKUP(T1425, $E$5:$L$818, 6, FALSE) * (U1425 / VLOOKUP(T1425, $E$5:$L$818, 2, FALSE)), "")</f>
        <v>6</v>
      </c>
      <c r="Z1425" s="568">
        <f t="shared" ref="Z1425:Z1438" si="756">IFERROR(VLOOKUP(T1425, $E$5:$L$818, 7, FALSE) * (U1425 / VLOOKUP(T1425, $E$5:$L$818, 2, FALSE)), "")</f>
        <v>42</v>
      </c>
      <c r="AA1425" s="568">
        <f t="shared" ref="AA1425:AA1438" si="757">IFERROR(VLOOKUP(T1425, $E$5:$L$818, 8, FALSE) * (U1425 / VLOOKUP(T1425, $E$5:$L$818, 2, FALSE)), "")</f>
        <v>4.8</v>
      </c>
      <c r="AB1425" s="674">
        <f t="shared" ref="AB1425:AB1438" si="758">IFERROR(VLOOKUP(T1425, $E$5:$O$818, 9, FALSE) * (U1425 / VLOOKUP(T1425, $E$5:$O$818, 2, FALSE)), "")</f>
        <v>0</v>
      </c>
      <c r="AC1425" s="565"/>
    </row>
    <row r="1426" spans="5:31">
      <c r="E1426" s="598"/>
      <c r="F1426" s="699"/>
      <c r="G1426" s="700"/>
      <c r="H1426" s="598"/>
      <c r="I1426" s="598"/>
      <c r="J1426" s="598"/>
      <c r="K1426" s="598"/>
      <c r="L1426" s="598"/>
      <c r="Q1426" s="563">
        <v>46119</v>
      </c>
      <c r="R1426" s="564">
        <v>0.33333333333333298</v>
      </c>
      <c r="S1426" s="565" t="s">
        <v>178</v>
      </c>
      <c r="T1426" s="565" t="s">
        <v>918</v>
      </c>
      <c r="U1426" s="566">
        <v>200</v>
      </c>
      <c r="V1426" s="567" t="str">
        <f t="shared" si="752"/>
        <v>g</v>
      </c>
      <c r="W1426" s="568">
        <f t="shared" si="753"/>
        <v>213.33333333333331</v>
      </c>
      <c r="X1426" s="568">
        <f t="shared" si="754"/>
        <v>9.3333333333333321</v>
      </c>
      <c r="Y1426" s="568">
        <f t="shared" si="755"/>
        <v>14.666666666666666</v>
      </c>
      <c r="Z1426" s="568">
        <f t="shared" si="756"/>
        <v>10.666666666666666</v>
      </c>
      <c r="AA1426" s="568">
        <f t="shared" si="757"/>
        <v>0</v>
      </c>
      <c r="AB1426" s="584">
        <f t="shared" si="758"/>
        <v>0</v>
      </c>
      <c r="AC1426" s="565"/>
    </row>
    <row r="1427" spans="5:31">
      <c r="E1427" s="598"/>
      <c r="F1427" s="699"/>
      <c r="G1427" s="700"/>
      <c r="H1427" s="598"/>
      <c r="I1427" s="598"/>
      <c r="J1427" s="598"/>
      <c r="K1427" s="598"/>
      <c r="L1427" s="598"/>
      <c r="Q1427" s="563">
        <v>46119</v>
      </c>
      <c r="R1427" s="564">
        <v>0.33333333333333298</v>
      </c>
      <c r="S1427" s="565" t="s">
        <v>178</v>
      </c>
      <c r="T1427" s="565" t="s">
        <v>901</v>
      </c>
      <c r="U1427" s="566">
        <v>20</v>
      </c>
      <c r="V1427" s="567" t="str">
        <f t="shared" si="752"/>
        <v>g</v>
      </c>
      <c r="W1427" s="568">
        <f t="shared" si="753"/>
        <v>64</v>
      </c>
      <c r="X1427" s="568">
        <f t="shared" si="754"/>
        <v>0</v>
      </c>
      <c r="Y1427" s="568">
        <f t="shared" si="755"/>
        <v>0</v>
      </c>
      <c r="Z1427" s="568">
        <f t="shared" si="756"/>
        <v>16</v>
      </c>
      <c r="AA1427" s="568">
        <f t="shared" si="757"/>
        <v>0</v>
      </c>
      <c r="AB1427" s="584">
        <f t="shared" si="758"/>
        <v>0</v>
      </c>
      <c r="AC1427" s="565"/>
      <c r="AE1427" s="578"/>
    </row>
    <row r="1428" spans="5:31">
      <c r="E1428" s="598"/>
      <c r="F1428" s="699"/>
      <c r="G1428" s="700"/>
      <c r="H1428" s="598"/>
      <c r="I1428" s="598"/>
      <c r="J1428" s="598"/>
      <c r="K1428" s="598"/>
      <c r="L1428" s="598"/>
      <c r="Q1428" s="563">
        <v>46119</v>
      </c>
      <c r="R1428" s="564">
        <v>0.33333333333333298</v>
      </c>
      <c r="S1428" s="565" t="s">
        <v>178</v>
      </c>
      <c r="T1428" s="565" t="s">
        <v>900</v>
      </c>
      <c r="U1428" s="566">
        <v>20</v>
      </c>
      <c r="V1428" s="567" t="str">
        <f t="shared" si="752"/>
        <v>g</v>
      </c>
      <c r="W1428" s="568">
        <f t="shared" si="753"/>
        <v>120</v>
      </c>
      <c r="X1428" s="568">
        <f t="shared" si="754"/>
        <v>5.333333333333333</v>
      </c>
      <c r="Y1428" s="568">
        <f t="shared" si="755"/>
        <v>10.666666666666666</v>
      </c>
      <c r="Z1428" s="568">
        <f t="shared" si="756"/>
        <v>4</v>
      </c>
      <c r="AA1428" s="568">
        <f t="shared" si="757"/>
        <v>0</v>
      </c>
      <c r="AB1428" s="584">
        <f t="shared" si="758"/>
        <v>0</v>
      </c>
      <c r="AC1428" s="565"/>
      <c r="AE1428" s="578"/>
    </row>
    <row r="1429" spans="5:31">
      <c r="E1429" s="598"/>
      <c r="F1429" s="699"/>
      <c r="G1429" s="700"/>
      <c r="H1429" s="598"/>
      <c r="I1429" s="598"/>
      <c r="J1429" s="598"/>
      <c r="K1429" s="598"/>
      <c r="L1429" s="598"/>
      <c r="Q1429" s="563">
        <v>46119</v>
      </c>
      <c r="R1429" s="564">
        <v>0.33333333333333298</v>
      </c>
      <c r="S1429" s="565" t="s">
        <v>178</v>
      </c>
      <c r="T1429" s="565" t="s">
        <v>202</v>
      </c>
      <c r="U1429" s="566">
        <f>2/3</f>
        <v>0.66666666666666663</v>
      </c>
      <c r="V1429" s="567" t="str">
        <f t="shared" si="752"/>
        <v>tbsp</v>
      </c>
      <c r="W1429" s="568">
        <f t="shared" si="753"/>
        <v>40</v>
      </c>
      <c r="X1429" s="568">
        <f t="shared" si="754"/>
        <v>1.3333333333333333</v>
      </c>
      <c r="Y1429" s="568">
        <f t="shared" si="755"/>
        <v>2.6666666666666665</v>
      </c>
      <c r="Z1429" s="568">
        <f t="shared" si="756"/>
        <v>3.333333333333333</v>
      </c>
      <c r="AA1429" s="568">
        <f t="shared" si="757"/>
        <v>2.6666666666666665</v>
      </c>
      <c r="AB1429" s="584">
        <f t="shared" si="758"/>
        <v>0</v>
      </c>
      <c r="AC1429" s="565"/>
    </row>
    <row r="1430" spans="5:31">
      <c r="E1430" s="598"/>
      <c r="F1430" s="699"/>
      <c r="G1430" s="700"/>
      <c r="H1430" s="598"/>
      <c r="I1430" s="598"/>
      <c r="J1430" s="598"/>
      <c r="K1430" s="598"/>
      <c r="L1430" s="598"/>
      <c r="Q1430" s="563">
        <v>46119</v>
      </c>
      <c r="R1430" s="564">
        <v>0.41666666666666669</v>
      </c>
      <c r="S1430" s="565" t="s">
        <v>178</v>
      </c>
      <c r="T1430" s="565" t="s">
        <v>463</v>
      </c>
      <c r="U1430" s="566">
        <v>1</v>
      </c>
      <c r="V1430" s="567" t="str">
        <f t="shared" si="752"/>
        <v>bottle</v>
      </c>
      <c r="W1430" s="568">
        <f t="shared" si="753"/>
        <v>190</v>
      </c>
      <c r="X1430" s="568">
        <f t="shared" si="754"/>
        <v>35</v>
      </c>
      <c r="Y1430" s="568">
        <f t="shared" si="755"/>
        <v>2</v>
      </c>
      <c r="Z1430" s="568">
        <f t="shared" si="756"/>
        <v>9</v>
      </c>
      <c r="AA1430" s="568">
        <f t="shared" si="757"/>
        <v>0</v>
      </c>
      <c r="AB1430" s="584">
        <f t="shared" si="758"/>
        <v>0</v>
      </c>
      <c r="AC1430" s="565"/>
    </row>
    <row r="1431" spans="5:31">
      <c r="E1431" s="598"/>
      <c r="F1431" s="699"/>
      <c r="G1431" s="700"/>
      <c r="H1431" s="598"/>
      <c r="I1431" s="598"/>
      <c r="J1431" s="598"/>
      <c r="K1431" s="598"/>
      <c r="L1431" s="598"/>
      <c r="Q1431" s="563">
        <v>46119</v>
      </c>
      <c r="R1431" s="564">
        <v>0.54166666666666663</v>
      </c>
      <c r="S1431" s="565" t="s">
        <v>185</v>
      </c>
      <c r="T1431" s="565" t="s">
        <v>180</v>
      </c>
      <c r="U1431" s="566">
        <v>250</v>
      </c>
      <c r="V1431" s="567" t="str">
        <f t="shared" si="752"/>
        <v>g</v>
      </c>
      <c r="W1431" s="568">
        <f t="shared" si="753"/>
        <v>325</v>
      </c>
      <c r="X1431" s="568">
        <f t="shared" si="754"/>
        <v>6.75</v>
      </c>
      <c r="Y1431" s="568">
        <f t="shared" si="755"/>
        <v>0.75</v>
      </c>
      <c r="Z1431" s="568">
        <f t="shared" si="756"/>
        <v>70</v>
      </c>
      <c r="AA1431" s="568">
        <f t="shared" si="757"/>
        <v>1</v>
      </c>
      <c r="AB1431" s="584">
        <f t="shared" si="758"/>
        <v>0</v>
      </c>
      <c r="AC1431" s="565"/>
    </row>
    <row r="1432" spans="5:31">
      <c r="E1432" s="598"/>
      <c r="F1432" s="699"/>
      <c r="G1432" s="700"/>
      <c r="H1432" s="598"/>
      <c r="I1432" s="598"/>
      <c r="J1432" s="598"/>
      <c r="K1432" s="598"/>
      <c r="L1432" s="598"/>
      <c r="Q1432" s="563">
        <v>46119</v>
      </c>
      <c r="R1432" s="564">
        <v>0.54166666666666696</v>
      </c>
      <c r="S1432" s="565" t="s">
        <v>185</v>
      </c>
      <c r="T1432" s="565" t="s">
        <v>816</v>
      </c>
      <c r="U1432" s="566">
        <v>210</v>
      </c>
      <c r="V1432" s="567" t="str">
        <f t="shared" si="752"/>
        <v>g</v>
      </c>
      <c r="W1432" s="568">
        <f t="shared" si="753"/>
        <v>455.70000000000005</v>
      </c>
      <c r="X1432" s="568">
        <f t="shared" si="754"/>
        <v>54.6</v>
      </c>
      <c r="Y1432" s="568">
        <f t="shared" si="755"/>
        <v>25.200000000000003</v>
      </c>
      <c r="Z1432" s="568">
        <f t="shared" si="756"/>
        <v>0</v>
      </c>
      <c r="AA1432" s="568">
        <f t="shared" si="757"/>
        <v>0</v>
      </c>
      <c r="AB1432" s="584">
        <f t="shared" si="758"/>
        <v>0</v>
      </c>
      <c r="AC1432" s="565"/>
    </row>
    <row r="1433" spans="5:31">
      <c r="E1433" s="598"/>
      <c r="F1433" s="699"/>
      <c r="G1433" s="700"/>
      <c r="H1433" s="598"/>
      <c r="I1433" s="598"/>
      <c r="J1433" s="598"/>
      <c r="K1433" s="598"/>
      <c r="L1433" s="598"/>
      <c r="Q1433" s="563">
        <v>46119</v>
      </c>
      <c r="R1433" s="564">
        <v>0.54166666666666696</v>
      </c>
      <c r="S1433" s="565" t="s">
        <v>185</v>
      </c>
      <c r="T1433" s="565" t="s">
        <v>190</v>
      </c>
      <c r="U1433" s="566">
        <v>1.5</v>
      </c>
      <c r="V1433" s="567" t="str">
        <f t="shared" si="752"/>
        <v>medium</v>
      </c>
      <c r="W1433" s="568">
        <f t="shared" si="753"/>
        <v>93</v>
      </c>
      <c r="X1433" s="568">
        <f t="shared" si="754"/>
        <v>1.7999999999999998</v>
      </c>
      <c r="Y1433" s="568">
        <f t="shared" si="755"/>
        <v>0.30000000000000004</v>
      </c>
      <c r="Z1433" s="568">
        <f t="shared" si="756"/>
        <v>23.1</v>
      </c>
      <c r="AA1433" s="568">
        <f t="shared" si="757"/>
        <v>4.6500000000000004</v>
      </c>
      <c r="AB1433" s="584">
        <f t="shared" si="758"/>
        <v>0</v>
      </c>
      <c r="AC1433" s="565"/>
    </row>
    <row r="1434" spans="5:31">
      <c r="E1434" s="598"/>
      <c r="F1434" s="699"/>
      <c r="G1434" s="700"/>
      <c r="H1434" s="598"/>
      <c r="I1434" s="598"/>
      <c r="J1434" s="598"/>
      <c r="K1434" s="598"/>
      <c r="L1434" s="598"/>
      <c r="Q1434" s="563">
        <v>46119</v>
      </c>
      <c r="R1434" s="564">
        <v>0.79166666666666663</v>
      </c>
      <c r="S1434" s="565" t="s">
        <v>199</v>
      </c>
      <c r="T1434" s="565" t="s">
        <v>917</v>
      </c>
      <c r="U1434" s="566">
        <v>1</v>
      </c>
      <c r="V1434" s="567" t="str">
        <f t="shared" si="752"/>
        <v>can</v>
      </c>
      <c r="W1434" s="568">
        <f t="shared" si="753"/>
        <v>0</v>
      </c>
      <c r="X1434" s="568">
        <f t="shared" si="754"/>
        <v>0</v>
      </c>
      <c r="Y1434" s="568">
        <f t="shared" si="755"/>
        <v>0</v>
      </c>
      <c r="Z1434" s="568">
        <f t="shared" si="756"/>
        <v>0</v>
      </c>
      <c r="AA1434" s="568">
        <f t="shared" si="757"/>
        <v>0</v>
      </c>
      <c r="AB1434" s="584">
        <f t="shared" si="758"/>
        <v>0</v>
      </c>
      <c r="AC1434" s="565"/>
    </row>
    <row r="1435" spans="5:31">
      <c r="E1435" s="598"/>
      <c r="F1435" s="699"/>
      <c r="G1435" s="700"/>
      <c r="H1435" s="598"/>
      <c r="I1435" s="598"/>
      <c r="J1435" s="598"/>
      <c r="K1435" s="598"/>
      <c r="L1435" s="598"/>
      <c r="Q1435" s="563">
        <v>46119</v>
      </c>
      <c r="R1435" s="564">
        <v>0.79166666666666696</v>
      </c>
      <c r="S1435" s="565" t="s">
        <v>199</v>
      </c>
      <c r="T1435" s="565" t="s">
        <v>463</v>
      </c>
      <c r="U1435" s="566">
        <v>1</v>
      </c>
      <c r="V1435" s="567" t="str">
        <f t="shared" si="752"/>
        <v>bottle</v>
      </c>
      <c r="W1435" s="568">
        <f t="shared" si="753"/>
        <v>190</v>
      </c>
      <c r="X1435" s="568">
        <f t="shared" si="754"/>
        <v>35</v>
      </c>
      <c r="Y1435" s="568">
        <f t="shared" si="755"/>
        <v>2</v>
      </c>
      <c r="Z1435" s="568">
        <f t="shared" si="756"/>
        <v>9</v>
      </c>
      <c r="AA1435" s="568">
        <f t="shared" si="757"/>
        <v>0</v>
      </c>
      <c r="AB1435" s="584">
        <f t="shared" si="758"/>
        <v>0</v>
      </c>
      <c r="AC1435" s="565"/>
    </row>
    <row r="1436" spans="5:31">
      <c r="E1436" s="598"/>
      <c r="F1436" s="699"/>
      <c r="G1436" s="700"/>
      <c r="H1436" s="598"/>
      <c r="I1436" s="598"/>
      <c r="J1436" s="598"/>
      <c r="K1436" s="598"/>
      <c r="L1436" s="598"/>
      <c r="Q1436" s="563">
        <v>46119</v>
      </c>
      <c r="R1436" s="564">
        <v>0.79166666666666696</v>
      </c>
      <c r="S1436" s="565" t="s">
        <v>199</v>
      </c>
      <c r="T1436" s="565" t="s">
        <v>484</v>
      </c>
      <c r="U1436" s="566">
        <v>355</v>
      </c>
      <c r="V1436" s="567" t="str">
        <f t="shared" si="752"/>
        <v>g</v>
      </c>
      <c r="W1436" s="568">
        <f t="shared" si="753"/>
        <v>330.15</v>
      </c>
      <c r="X1436" s="568">
        <f t="shared" si="754"/>
        <v>8.875</v>
      </c>
      <c r="Y1436" s="568">
        <f t="shared" si="755"/>
        <v>0.71</v>
      </c>
      <c r="Z1436" s="568">
        <f t="shared" si="756"/>
        <v>74.55</v>
      </c>
      <c r="AA1436" s="568">
        <f t="shared" si="757"/>
        <v>9.23</v>
      </c>
      <c r="AB1436" s="584">
        <f t="shared" si="758"/>
        <v>0</v>
      </c>
      <c r="AC1436" s="565"/>
    </row>
    <row r="1437" spans="5:31">
      <c r="E1437" s="598"/>
      <c r="F1437" s="699"/>
      <c r="G1437" s="700"/>
      <c r="H1437" s="598"/>
      <c r="I1437" s="598"/>
      <c r="J1437" s="598"/>
      <c r="K1437" s="598"/>
      <c r="L1437" s="598"/>
      <c r="Q1437" s="563">
        <v>46119</v>
      </c>
      <c r="R1437" s="564">
        <v>0.79166666666666696</v>
      </c>
      <c r="S1437" s="565" t="s">
        <v>199</v>
      </c>
      <c r="T1437" s="565" t="s">
        <v>786</v>
      </c>
      <c r="U1437" s="566">
        <v>1</v>
      </c>
      <c r="V1437" s="567" t="str">
        <f t="shared" si="752"/>
        <v>bottle</v>
      </c>
      <c r="W1437" s="568">
        <f t="shared" si="753"/>
        <v>90</v>
      </c>
      <c r="X1437" s="568">
        <f t="shared" si="754"/>
        <v>0</v>
      </c>
      <c r="Y1437" s="568">
        <f t="shared" si="755"/>
        <v>0</v>
      </c>
      <c r="Z1437" s="568">
        <f t="shared" si="756"/>
        <v>22</v>
      </c>
      <c r="AA1437" s="568">
        <f t="shared" si="757"/>
        <v>0</v>
      </c>
      <c r="AB1437" s="584">
        <f t="shared" si="758"/>
        <v>0</v>
      </c>
      <c r="AC1437" s="565"/>
    </row>
    <row r="1438" spans="5:31">
      <c r="E1438" s="598"/>
      <c r="F1438" s="699"/>
      <c r="G1438" s="700"/>
      <c r="H1438" s="598"/>
      <c r="I1438" s="598"/>
      <c r="J1438" s="598"/>
      <c r="K1438" s="598"/>
      <c r="L1438" s="598"/>
      <c r="Q1438" s="563">
        <v>46119</v>
      </c>
      <c r="R1438" s="564">
        <v>0.79166666666666696</v>
      </c>
      <c r="S1438" s="565" t="s">
        <v>199</v>
      </c>
      <c r="T1438" s="565" t="s">
        <v>209</v>
      </c>
      <c r="U1438" s="566">
        <v>4</v>
      </c>
      <c r="V1438" s="567" t="str">
        <f t="shared" si="752"/>
        <v>tbsp</v>
      </c>
      <c r="W1438" s="568">
        <f t="shared" si="753"/>
        <v>80</v>
      </c>
      <c r="X1438" s="568">
        <f t="shared" si="754"/>
        <v>0</v>
      </c>
      <c r="Y1438" s="568">
        <f t="shared" si="755"/>
        <v>0</v>
      </c>
      <c r="Z1438" s="568">
        <f t="shared" si="756"/>
        <v>20</v>
      </c>
      <c r="AA1438" s="568">
        <f t="shared" si="757"/>
        <v>18</v>
      </c>
      <c r="AB1438" s="684">
        <f t="shared" si="758"/>
        <v>0</v>
      </c>
      <c r="AC1438" s="565"/>
    </row>
    <row r="1439" spans="5:31">
      <c r="E1439" s="598"/>
      <c r="F1439" s="699"/>
      <c r="G1439" s="700"/>
      <c r="H1439" s="598"/>
      <c r="I1439" s="598"/>
      <c r="J1439" s="598"/>
      <c r="K1439" s="598"/>
      <c r="L1439" s="598"/>
      <c r="Q1439" s="569"/>
      <c r="R1439" s="570" t="s">
        <v>217</v>
      </c>
      <c r="S1439" s="571"/>
      <c r="T1439" s="572"/>
      <c r="U1439" s="572"/>
      <c r="V1439" s="573"/>
      <c r="W1439" s="574">
        <f t="shared" ref="W1439:AB1439" si="759">SUM(W1425:W1438)</f>
        <v>2443.1833333333334</v>
      </c>
      <c r="X1439" s="574">
        <f t="shared" si="759"/>
        <v>165.22499999999997</v>
      </c>
      <c r="Y1439" s="574">
        <f t="shared" si="759"/>
        <v>64.959999999999994</v>
      </c>
      <c r="Z1439" s="574">
        <f t="shared" si="759"/>
        <v>303.64999999999998</v>
      </c>
      <c r="AA1439" s="687">
        <f t="shared" si="759"/>
        <v>40.346666666666664</v>
      </c>
      <c r="AB1439" s="691">
        <f t="shared" si="759"/>
        <v>0</v>
      </c>
      <c r="AC1439" s="570"/>
    </row>
    <row r="1440" spans="5:31">
      <c r="E1440" s="598"/>
      <c r="F1440" s="699"/>
      <c r="G1440" s="700"/>
      <c r="H1440" s="598"/>
      <c r="I1440" s="598"/>
      <c r="J1440" s="598"/>
      <c r="K1440" s="598"/>
      <c r="L1440" s="598"/>
      <c r="Q1440" s="569"/>
      <c r="R1440" s="570" t="s">
        <v>220</v>
      </c>
      <c r="S1440" s="571"/>
      <c r="T1440" s="572"/>
      <c r="U1440" s="572"/>
      <c r="V1440" s="573"/>
      <c r="W1440" s="575">
        <f>$B$27</f>
        <v>2834.5625</v>
      </c>
      <c r="X1440" s="575">
        <f>$B$29</f>
        <v>154</v>
      </c>
      <c r="Y1440" s="575">
        <f>$B$30</f>
        <v>63.91</v>
      </c>
      <c r="Z1440" s="575">
        <f>$B$31</f>
        <v>410.84312499999999</v>
      </c>
      <c r="AA1440" s="694">
        <f>$B$32</f>
        <v>39.683875</v>
      </c>
      <c r="AB1440" s="695">
        <f>$B$39</f>
        <v>500</v>
      </c>
      <c r="AC1440" s="570"/>
    </row>
    <row r="1441" spans="5:29">
      <c r="E1441" s="598"/>
      <c r="F1441" s="699"/>
      <c r="G1441" s="700"/>
      <c r="H1441" s="598"/>
      <c r="I1441" s="598"/>
      <c r="J1441" s="598"/>
      <c r="K1441" s="598"/>
      <c r="L1441" s="598"/>
      <c r="Q1441" s="569"/>
      <c r="R1441" s="570" t="s">
        <v>222</v>
      </c>
      <c r="S1441" s="571"/>
      <c r="T1441" s="572"/>
      <c r="U1441" s="572"/>
      <c r="V1441" s="573"/>
      <c r="W1441" s="284">
        <f t="shared" ref="W1441:AB1441" si="760">W1439-W1440</f>
        <v>-391.37916666666661</v>
      </c>
      <c r="X1441" s="284">
        <f t="shared" si="760"/>
        <v>11.224999999999966</v>
      </c>
      <c r="Y1441" s="284">
        <f t="shared" si="760"/>
        <v>1.0499999999999972</v>
      </c>
      <c r="Z1441" s="284">
        <f t="shared" si="760"/>
        <v>-107.19312500000001</v>
      </c>
      <c r="AA1441" s="690">
        <f t="shared" si="760"/>
        <v>0.66279166666666356</v>
      </c>
      <c r="AB1441" s="689">
        <f t="shared" si="760"/>
        <v>-500</v>
      </c>
      <c r="AC1441" s="570"/>
    </row>
    <row r="1442" spans="5:29">
      <c r="E1442" s="598"/>
      <c r="F1442" s="699"/>
      <c r="G1442" s="700"/>
      <c r="H1442" s="598"/>
      <c r="I1442" s="598"/>
      <c r="J1442" s="598"/>
      <c r="K1442" s="598"/>
      <c r="L1442" s="598"/>
      <c r="Q1442" s="579">
        <v>46120</v>
      </c>
      <c r="R1442" s="580">
        <v>0.33333333333333331</v>
      </c>
      <c r="S1442" s="581" t="s">
        <v>178</v>
      </c>
      <c r="T1442" s="581" t="s">
        <v>181</v>
      </c>
      <c r="U1442" s="582">
        <v>4</v>
      </c>
      <c r="V1442" s="583" t="str">
        <f t="shared" ref="V1442:V1453" si="761">IFERROR(VLOOKUP(T1442, $E$5:$L$818, 3, FALSE), "")</f>
        <v>slice</v>
      </c>
      <c r="W1442" s="584">
        <f t="shared" ref="W1442:W1453" si="762">IFERROR(VLOOKUP(T1442, $E$5:$L$818, 4, FALSE) * (U1442 / VLOOKUP(T1442, $E$5:$L$818, 2, FALSE)), "")</f>
        <v>280</v>
      </c>
      <c r="X1442" s="584">
        <f t="shared" ref="X1442:X1453" si="763">IFERROR(VLOOKUP(T1442, $E$5:$L$818, 5, FALSE) * (U1442 / VLOOKUP(T1442, $E$5:$L$818, 2, FALSE)), "")</f>
        <v>10</v>
      </c>
      <c r="Y1442" s="584">
        <f t="shared" ref="Y1442:Y1453" si="764">IFERROR(VLOOKUP(T1442, $E$5:$L$818, 6, FALSE) * (U1442 / VLOOKUP(T1442, $E$5:$L$818, 2, FALSE)), "")</f>
        <v>5</v>
      </c>
      <c r="Z1442" s="584">
        <f t="shared" ref="Z1442:Z1453" si="765">IFERROR(VLOOKUP(T1442, $E$5:$L$818, 7, FALSE) * (U1442 / VLOOKUP(T1442, $E$5:$L$818, 2, FALSE)), "")</f>
        <v>48</v>
      </c>
      <c r="AA1442" s="584">
        <f t="shared" ref="AA1442:AA1453" si="766">IFERROR(VLOOKUP(T1442, $E$5:$L$818, 8, FALSE) * (U1442 / VLOOKUP(T1442, $E$5:$L$818, 2, FALSE)), "")</f>
        <v>4</v>
      </c>
      <c r="AB1442" s="674">
        <f t="shared" ref="AB1442:AB1453" si="767">IFERROR(VLOOKUP(T1442, $E$5:$O$818, 9, FALSE) * (U1442 / VLOOKUP(T1442, $E$5:$O$818, 2, FALSE)), "")</f>
        <v>0</v>
      </c>
      <c r="AC1442" s="581"/>
    </row>
    <row r="1443" spans="5:29">
      <c r="E1443" s="598"/>
      <c r="F1443" s="699"/>
      <c r="G1443" s="700"/>
      <c r="H1443" s="598"/>
      <c r="I1443" s="598"/>
      <c r="J1443" s="598"/>
      <c r="K1443" s="598"/>
      <c r="L1443" s="598"/>
      <c r="Q1443" s="579">
        <v>46120</v>
      </c>
      <c r="R1443" s="580">
        <v>0.41666666666666669</v>
      </c>
      <c r="S1443" s="581" t="s">
        <v>178</v>
      </c>
      <c r="T1443" s="581" t="s">
        <v>463</v>
      </c>
      <c r="U1443" s="582">
        <v>1</v>
      </c>
      <c r="V1443" s="583" t="str">
        <f t="shared" si="761"/>
        <v>bottle</v>
      </c>
      <c r="W1443" s="584">
        <f t="shared" si="762"/>
        <v>190</v>
      </c>
      <c r="X1443" s="584">
        <f t="shared" si="763"/>
        <v>35</v>
      </c>
      <c r="Y1443" s="584">
        <f t="shared" si="764"/>
        <v>2</v>
      </c>
      <c r="Z1443" s="584">
        <f t="shared" si="765"/>
        <v>9</v>
      </c>
      <c r="AA1443" s="584">
        <f t="shared" si="766"/>
        <v>0</v>
      </c>
      <c r="AB1443" s="584">
        <f t="shared" si="767"/>
        <v>0</v>
      </c>
      <c r="AC1443" s="581"/>
    </row>
    <row r="1444" spans="5:29">
      <c r="E1444" s="598"/>
      <c r="F1444" s="699"/>
      <c r="G1444" s="700"/>
      <c r="H1444" s="598"/>
      <c r="I1444" s="598"/>
      <c r="J1444" s="598"/>
      <c r="K1444" s="598"/>
      <c r="L1444" s="598"/>
      <c r="Q1444" s="579">
        <v>46120</v>
      </c>
      <c r="R1444" s="580">
        <v>0.54166666666666663</v>
      </c>
      <c r="S1444" s="581" t="s">
        <v>185</v>
      </c>
      <c r="T1444" s="581" t="s">
        <v>180</v>
      </c>
      <c r="U1444" s="582">
        <v>250</v>
      </c>
      <c r="V1444" s="583" t="str">
        <f t="shared" si="761"/>
        <v>g</v>
      </c>
      <c r="W1444" s="584">
        <f t="shared" si="762"/>
        <v>325</v>
      </c>
      <c r="X1444" s="584">
        <f t="shared" si="763"/>
        <v>6.75</v>
      </c>
      <c r="Y1444" s="584">
        <f t="shared" si="764"/>
        <v>0.75</v>
      </c>
      <c r="Z1444" s="584">
        <f t="shared" si="765"/>
        <v>70</v>
      </c>
      <c r="AA1444" s="584">
        <f t="shared" si="766"/>
        <v>1</v>
      </c>
      <c r="AB1444" s="584">
        <f t="shared" si="767"/>
        <v>0</v>
      </c>
      <c r="AC1444" s="581"/>
    </row>
    <row r="1445" spans="5:29">
      <c r="E1445" s="598"/>
      <c r="F1445" s="699"/>
      <c r="G1445" s="700"/>
      <c r="H1445" s="598"/>
      <c r="I1445" s="598"/>
      <c r="J1445" s="598"/>
      <c r="K1445" s="598"/>
      <c r="L1445" s="598"/>
      <c r="Q1445" s="579">
        <v>46120</v>
      </c>
      <c r="R1445" s="580">
        <v>0.54166666666666696</v>
      </c>
      <c r="S1445" s="581" t="s">
        <v>185</v>
      </c>
      <c r="T1445" s="581" t="s">
        <v>816</v>
      </c>
      <c r="U1445" s="582">
        <v>200</v>
      </c>
      <c r="V1445" s="583" t="str">
        <f t="shared" si="761"/>
        <v>g</v>
      </c>
      <c r="W1445" s="584">
        <f t="shared" si="762"/>
        <v>434</v>
      </c>
      <c r="X1445" s="584">
        <f t="shared" si="763"/>
        <v>52</v>
      </c>
      <c r="Y1445" s="584">
        <f t="shared" si="764"/>
        <v>24</v>
      </c>
      <c r="Z1445" s="584">
        <f t="shared" si="765"/>
        <v>0</v>
      </c>
      <c r="AA1445" s="584">
        <f t="shared" si="766"/>
        <v>0</v>
      </c>
      <c r="AB1445" s="584">
        <f t="shared" si="767"/>
        <v>0</v>
      </c>
      <c r="AC1445" s="581"/>
    </row>
    <row r="1446" spans="5:29">
      <c r="E1446" s="598"/>
      <c r="F1446" s="699"/>
      <c r="G1446" s="700"/>
      <c r="H1446" s="598"/>
      <c r="I1446" s="598"/>
      <c r="J1446" s="598"/>
      <c r="K1446" s="598"/>
      <c r="L1446" s="598"/>
      <c r="Q1446" s="579">
        <v>46120</v>
      </c>
      <c r="R1446" s="580">
        <v>0.58333333333333337</v>
      </c>
      <c r="S1446" s="581" t="s">
        <v>289</v>
      </c>
      <c r="T1446" s="581" t="s">
        <v>268</v>
      </c>
      <c r="U1446" s="582">
        <v>2</v>
      </c>
      <c r="V1446" s="583" t="str">
        <f t="shared" si="761"/>
        <v>scoop</v>
      </c>
      <c r="W1446" s="584">
        <f t="shared" si="762"/>
        <v>320</v>
      </c>
      <c r="X1446" s="584">
        <f t="shared" si="763"/>
        <v>5</v>
      </c>
      <c r="Y1446" s="584">
        <f t="shared" si="764"/>
        <v>17</v>
      </c>
      <c r="Z1446" s="584">
        <f t="shared" si="765"/>
        <v>39</v>
      </c>
      <c r="AA1446" s="584">
        <f t="shared" si="766"/>
        <v>0</v>
      </c>
      <c r="AB1446" s="584">
        <f t="shared" si="767"/>
        <v>0</v>
      </c>
      <c r="AC1446" s="581"/>
    </row>
    <row r="1447" spans="5:29">
      <c r="E1447" s="598"/>
      <c r="F1447" s="699"/>
      <c r="G1447" s="700"/>
      <c r="H1447" s="598"/>
      <c r="I1447" s="598"/>
      <c r="J1447" s="598"/>
      <c r="K1447" s="598"/>
      <c r="L1447" s="598"/>
      <c r="Q1447" s="579">
        <v>46120</v>
      </c>
      <c r="R1447" s="580">
        <v>0.58333333333333337</v>
      </c>
      <c r="S1447" s="581" t="s">
        <v>289</v>
      </c>
      <c r="T1447" s="581" t="s">
        <v>190</v>
      </c>
      <c r="U1447" s="582">
        <v>3</v>
      </c>
      <c r="V1447" s="583" t="str">
        <f t="shared" si="761"/>
        <v>medium</v>
      </c>
      <c r="W1447" s="584">
        <f t="shared" si="762"/>
        <v>186</v>
      </c>
      <c r="X1447" s="584">
        <f t="shared" si="763"/>
        <v>3.5999999999999996</v>
      </c>
      <c r="Y1447" s="584">
        <f t="shared" si="764"/>
        <v>0.60000000000000009</v>
      </c>
      <c r="Z1447" s="584">
        <f t="shared" si="765"/>
        <v>46.2</v>
      </c>
      <c r="AA1447" s="584">
        <f t="shared" si="766"/>
        <v>9.3000000000000007</v>
      </c>
      <c r="AB1447" s="584">
        <f t="shared" si="767"/>
        <v>0</v>
      </c>
      <c r="AC1447" s="581"/>
    </row>
    <row r="1448" spans="5:29">
      <c r="E1448" s="598"/>
      <c r="F1448" s="699"/>
      <c r="G1448" s="700"/>
      <c r="H1448" s="598"/>
      <c r="I1448" s="598"/>
      <c r="J1448" s="598"/>
      <c r="K1448" s="598"/>
      <c r="L1448" s="598"/>
      <c r="Q1448" s="579">
        <v>46120</v>
      </c>
      <c r="R1448" s="580">
        <v>0.58333333333333337</v>
      </c>
      <c r="S1448" s="581" t="s">
        <v>289</v>
      </c>
      <c r="T1448" s="581" t="s">
        <v>464</v>
      </c>
      <c r="U1448" s="582">
        <v>1</v>
      </c>
      <c r="V1448" s="583" t="str">
        <f t="shared" si="761"/>
        <v>lozenge</v>
      </c>
      <c r="W1448" s="584">
        <f t="shared" si="762"/>
        <v>10</v>
      </c>
      <c r="X1448" s="584">
        <f t="shared" si="763"/>
        <v>0</v>
      </c>
      <c r="Y1448" s="584">
        <f t="shared" si="764"/>
        <v>0</v>
      </c>
      <c r="Z1448" s="584">
        <f t="shared" si="765"/>
        <v>3</v>
      </c>
      <c r="AA1448" s="584">
        <f t="shared" si="766"/>
        <v>0</v>
      </c>
      <c r="AB1448" s="584">
        <f t="shared" si="767"/>
        <v>0</v>
      </c>
      <c r="AC1448" s="581"/>
    </row>
    <row r="1449" spans="5:29">
      <c r="E1449" s="598"/>
      <c r="F1449" s="699"/>
      <c r="G1449" s="700"/>
      <c r="H1449" s="598"/>
      <c r="I1449" s="598"/>
      <c r="J1449" s="598"/>
      <c r="K1449" s="598"/>
      <c r="L1449" s="598"/>
      <c r="Q1449" s="579">
        <v>46120</v>
      </c>
      <c r="R1449" s="580">
        <v>0.79166666666666663</v>
      </c>
      <c r="S1449" s="581" t="s">
        <v>199</v>
      </c>
      <c r="T1449" s="581" t="s">
        <v>181</v>
      </c>
      <c r="U1449" s="582">
        <v>4</v>
      </c>
      <c r="V1449" s="583" t="str">
        <f t="shared" si="761"/>
        <v>slice</v>
      </c>
      <c r="W1449" s="584">
        <f t="shared" si="762"/>
        <v>280</v>
      </c>
      <c r="X1449" s="584">
        <f t="shared" si="763"/>
        <v>10</v>
      </c>
      <c r="Y1449" s="584">
        <f t="shared" si="764"/>
        <v>5</v>
      </c>
      <c r="Z1449" s="584">
        <f t="shared" si="765"/>
        <v>48</v>
      </c>
      <c r="AA1449" s="584">
        <f t="shared" si="766"/>
        <v>4</v>
      </c>
      <c r="AB1449" s="584">
        <f t="shared" si="767"/>
        <v>0</v>
      </c>
      <c r="AC1449" s="581"/>
    </row>
    <row r="1450" spans="5:29">
      <c r="E1450" s="598"/>
      <c r="F1450" s="699"/>
      <c r="G1450" s="700"/>
      <c r="H1450" s="598"/>
      <c r="I1450" s="598"/>
      <c r="J1450" s="598"/>
      <c r="K1450" s="598"/>
      <c r="L1450" s="598"/>
      <c r="Q1450" s="579">
        <v>46120</v>
      </c>
      <c r="R1450" s="580">
        <v>0.875</v>
      </c>
      <c r="S1450" s="581" t="s">
        <v>199</v>
      </c>
      <c r="T1450" s="581" t="s">
        <v>176</v>
      </c>
      <c r="U1450" s="582">
        <v>258</v>
      </c>
      <c r="V1450" s="583" t="str">
        <f t="shared" si="761"/>
        <v>g</v>
      </c>
      <c r="W1450" s="584">
        <f t="shared" si="762"/>
        <v>425.7</v>
      </c>
      <c r="X1450" s="584">
        <f t="shared" si="763"/>
        <v>64.5</v>
      </c>
      <c r="Y1450" s="584">
        <f t="shared" si="764"/>
        <v>9.2880000000000003</v>
      </c>
      <c r="Z1450" s="584">
        <f t="shared" si="765"/>
        <v>0</v>
      </c>
      <c r="AA1450" s="584">
        <f t="shared" si="766"/>
        <v>0</v>
      </c>
      <c r="AB1450" s="584">
        <f t="shared" si="767"/>
        <v>0</v>
      </c>
      <c r="AC1450" s="581"/>
    </row>
    <row r="1451" spans="5:29">
      <c r="E1451" s="598"/>
      <c r="F1451" s="699"/>
      <c r="G1451" s="700"/>
      <c r="H1451" s="598"/>
      <c r="I1451" s="598"/>
      <c r="J1451" s="598"/>
      <c r="K1451" s="598"/>
      <c r="L1451" s="598"/>
      <c r="Q1451" s="579">
        <v>46120</v>
      </c>
      <c r="R1451" s="580">
        <v>0.91666666666666663</v>
      </c>
      <c r="S1451" s="581" t="s">
        <v>199</v>
      </c>
      <c r="T1451" s="581" t="s">
        <v>786</v>
      </c>
      <c r="U1451" s="582">
        <v>1</v>
      </c>
      <c r="V1451" s="583" t="str">
        <f t="shared" si="761"/>
        <v>bottle</v>
      </c>
      <c r="W1451" s="584">
        <f t="shared" si="762"/>
        <v>90</v>
      </c>
      <c r="X1451" s="584">
        <f t="shared" si="763"/>
        <v>0</v>
      </c>
      <c r="Y1451" s="584">
        <f t="shared" si="764"/>
        <v>0</v>
      </c>
      <c r="Z1451" s="584">
        <f t="shared" si="765"/>
        <v>22</v>
      </c>
      <c r="AA1451" s="584">
        <f t="shared" si="766"/>
        <v>0</v>
      </c>
      <c r="AB1451" s="584">
        <f t="shared" si="767"/>
        <v>0</v>
      </c>
      <c r="AC1451" s="581"/>
    </row>
    <row r="1452" spans="5:29">
      <c r="E1452" s="598"/>
      <c r="F1452" s="699"/>
      <c r="G1452" s="700"/>
      <c r="H1452" s="598"/>
      <c r="I1452" s="598"/>
      <c r="J1452" s="598"/>
      <c r="K1452" s="598"/>
      <c r="L1452" s="598"/>
      <c r="Q1452" s="579">
        <v>46120</v>
      </c>
      <c r="R1452" s="580">
        <v>0.91666666666666663</v>
      </c>
      <c r="S1452" s="581" t="s">
        <v>199</v>
      </c>
      <c r="T1452" s="581" t="s">
        <v>209</v>
      </c>
      <c r="U1452" s="582">
        <v>5</v>
      </c>
      <c r="V1452" s="583" t="str">
        <f t="shared" si="761"/>
        <v>tbsp</v>
      </c>
      <c r="W1452" s="584">
        <f t="shared" si="762"/>
        <v>100</v>
      </c>
      <c r="X1452" s="584">
        <f t="shared" si="763"/>
        <v>0</v>
      </c>
      <c r="Y1452" s="584">
        <f t="shared" si="764"/>
        <v>0</v>
      </c>
      <c r="Z1452" s="584">
        <f t="shared" si="765"/>
        <v>25</v>
      </c>
      <c r="AA1452" s="584">
        <f t="shared" si="766"/>
        <v>22.5</v>
      </c>
      <c r="AB1452" s="584">
        <f t="shared" si="767"/>
        <v>0</v>
      </c>
      <c r="AC1452" s="581"/>
    </row>
    <row r="1453" spans="5:29">
      <c r="E1453" s="598"/>
      <c r="F1453" s="699"/>
      <c r="G1453" s="700"/>
      <c r="H1453" s="598"/>
      <c r="I1453" s="598"/>
      <c r="J1453" s="598"/>
      <c r="K1453" s="598"/>
      <c r="L1453" s="598"/>
      <c r="Q1453" s="579">
        <v>46120</v>
      </c>
      <c r="R1453" s="580">
        <v>0.95833333333333337</v>
      </c>
      <c r="S1453" s="581" t="s">
        <v>199</v>
      </c>
      <c r="T1453" s="581" t="s">
        <v>219</v>
      </c>
      <c r="U1453" s="582">
        <v>1</v>
      </c>
      <c r="V1453" s="583" t="str">
        <f t="shared" si="761"/>
        <v>bottle</v>
      </c>
      <c r="W1453" s="584">
        <f t="shared" si="762"/>
        <v>0</v>
      </c>
      <c r="X1453" s="584">
        <f t="shared" si="763"/>
        <v>0</v>
      </c>
      <c r="Y1453" s="584">
        <f t="shared" si="764"/>
        <v>0</v>
      </c>
      <c r="Z1453" s="584">
        <f t="shared" si="765"/>
        <v>0</v>
      </c>
      <c r="AA1453" s="584">
        <f t="shared" si="766"/>
        <v>0</v>
      </c>
      <c r="AB1453" s="684">
        <f t="shared" si="767"/>
        <v>0</v>
      </c>
      <c r="AC1453" s="581"/>
    </row>
    <row r="1454" spans="5:29">
      <c r="E1454" s="598"/>
      <c r="F1454" s="699"/>
      <c r="G1454" s="700"/>
      <c r="H1454" s="598"/>
      <c r="I1454" s="598"/>
      <c r="J1454" s="598"/>
      <c r="K1454" s="598"/>
      <c r="L1454" s="598"/>
      <c r="Q1454" s="585"/>
      <c r="R1454" s="586" t="s">
        <v>217</v>
      </c>
      <c r="S1454" s="587"/>
      <c r="T1454" s="588"/>
      <c r="U1454" s="588"/>
      <c r="V1454" s="589"/>
      <c r="W1454" s="590">
        <f t="shared" ref="W1454:AB1454" si="768">SUM(W1442:W1453)</f>
        <v>2640.7</v>
      </c>
      <c r="X1454" s="590">
        <f t="shared" si="768"/>
        <v>186.85</v>
      </c>
      <c r="Y1454" s="590">
        <f t="shared" si="768"/>
        <v>63.638000000000005</v>
      </c>
      <c r="Z1454" s="590">
        <f t="shared" si="768"/>
        <v>310.2</v>
      </c>
      <c r="AA1454" s="688">
        <f t="shared" si="768"/>
        <v>40.799999999999997</v>
      </c>
      <c r="AB1454" s="691">
        <f t="shared" si="768"/>
        <v>0</v>
      </c>
      <c r="AC1454" s="586"/>
    </row>
    <row r="1455" spans="5:29">
      <c r="E1455" s="598"/>
      <c r="F1455" s="699"/>
      <c r="G1455" s="700"/>
      <c r="H1455" s="598"/>
      <c r="I1455" s="598"/>
      <c r="J1455" s="598"/>
      <c r="K1455" s="598"/>
      <c r="L1455" s="598"/>
      <c r="Q1455" s="585"/>
      <c r="R1455" s="586" t="s">
        <v>220</v>
      </c>
      <c r="S1455" s="587"/>
      <c r="T1455" s="588"/>
      <c r="U1455" s="588"/>
      <c r="V1455" s="589"/>
      <c r="W1455" s="591">
        <f>$B$27</f>
        <v>2834.5625</v>
      </c>
      <c r="X1455" s="591">
        <f>$B$29</f>
        <v>154</v>
      </c>
      <c r="Y1455" s="591">
        <f>$B$30</f>
        <v>63.91</v>
      </c>
      <c r="Z1455" s="591">
        <f>$B$31</f>
        <v>410.84312499999999</v>
      </c>
      <c r="AA1455" s="642">
        <f>$B$32</f>
        <v>39.683875</v>
      </c>
      <c r="AB1455" s="695">
        <f>$B$39</f>
        <v>500</v>
      </c>
      <c r="AC1455" s="586"/>
    </row>
    <row r="1456" spans="5:29">
      <c r="E1456" s="598"/>
      <c r="F1456" s="699"/>
      <c r="G1456" s="700"/>
      <c r="H1456" s="598"/>
      <c r="I1456" s="598"/>
      <c r="J1456" s="598"/>
      <c r="K1456" s="598"/>
      <c r="L1456" s="598"/>
      <c r="Q1456" s="585"/>
      <c r="R1456" s="586" t="s">
        <v>222</v>
      </c>
      <c r="S1456" s="587"/>
      <c r="T1456" s="588"/>
      <c r="U1456" s="588"/>
      <c r="V1456" s="589"/>
      <c r="W1456" s="284">
        <f t="shared" ref="W1456:AB1456" si="769">W1454-W1455</f>
        <v>-193.86250000000018</v>
      </c>
      <c r="X1456" s="284">
        <f t="shared" si="769"/>
        <v>32.849999999999994</v>
      </c>
      <c r="Y1456" s="284">
        <f t="shared" si="769"/>
        <v>-0.27199999999999136</v>
      </c>
      <c r="Z1456" s="284">
        <f t="shared" si="769"/>
        <v>-100.643125</v>
      </c>
      <c r="AA1456" s="690">
        <f t="shared" si="769"/>
        <v>1.1161249999999967</v>
      </c>
      <c r="AB1456" s="689">
        <f t="shared" si="769"/>
        <v>-500</v>
      </c>
      <c r="AC1456" s="586"/>
    </row>
    <row r="1457" spans="5:29">
      <c r="E1457" s="598"/>
      <c r="F1457" s="699"/>
      <c r="G1457" s="700"/>
      <c r="H1457" s="598"/>
      <c r="I1457" s="598"/>
      <c r="J1457" s="598"/>
      <c r="K1457" s="598"/>
      <c r="L1457" s="598"/>
      <c r="Q1457" s="579">
        <v>46121</v>
      </c>
      <c r="R1457" s="580">
        <v>0.33333333333333331</v>
      </c>
      <c r="S1457" s="581" t="s">
        <v>178</v>
      </c>
      <c r="T1457" s="581" t="s">
        <v>899</v>
      </c>
      <c r="U1457" s="582">
        <v>50</v>
      </c>
      <c r="V1457" s="583" t="str">
        <f t="shared" ref="V1457:V1480" si="770">IFERROR(VLOOKUP(T1457, $E$5:$L$818, 3, FALSE), "")</f>
        <v>g</v>
      </c>
      <c r="W1457" s="584">
        <f t="shared" ref="W1457:W1480" si="771">IFERROR(VLOOKUP(T1457, $E$5:$L$818, 4, FALSE) * (U1457 / VLOOKUP(T1457, $E$5:$L$818, 2, FALSE)), "")</f>
        <v>210</v>
      </c>
      <c r="X1457" s="584">
        <f t="shared" ref="X1457:X1480" si="772">IFERROR(VLOOKUP(T1457, $E$5:$L$818, 5, FALSE) * (U1457 / VLOOKUP(T1457, $E$5:$L$818, 2, FALSE)), "")</f>
        <v>6</v>
      </c>
      <c r="Y1457" s="584">
        <f t="shared" ref="Y1457:Y1480" si="773">IFERROR(VLOOKUP(T1457, $E$5:$L$818, 6, FALSE) * (U1457 / VLOOKUP(T1457, $E$5:$L$818, 2, FALSE)), "")</f>
        <v>5</v>
      </c>
      <c r="Z1457" s="584">
        <f t="shared" ref="Z1457:Z1480" si="774">IFERROR(VLOOKUP(T1457, $E$5:$L$818, 7, FALSE) * (U1457 / VLOOKUP(T1457, $E$5:$L$818, 2, FALSE)), "")</f>
        <v>35</v>
      </c>
      <c r="AA1457" s="584">
        <f t="shared" ref="AA1457:AA1480" si="775">IFERROR(VLOOKUP(T1457, $E$5:$L$818, 8, FALSE) * (U1457 / VLOOKUP(T1457, $E$5:$L$818, 2, FALSE)), "")</f>
        <v>4</v>
      </c>
      <c r="AB1457" s="674">
        <f t="shared" ref="AB1457:AB1480" si="776">IFERROR(VLOOKUP(T1457, $E$5:$O$818, 9, FALSE) * (U1457 / VLOOKUP(T1457, $E$5:$O$818, 2, FALSE)), "")</f>
        <v>0</v>
      </c>
      <c r="AC1457" s="581"/>
    </row>
    <row r="1458" spans="5:29">
      <c r="Q1458" s="579">
        <v>46121</v>
      </c>
      <c r="R1458" s="580">
        <v>0.33333333333333298</v>
      </c>
      <c r="S1458" s="581" t="s">
        <v>178</v>
      </c>
      <c r="T1458" s="581" t="s">
        <v>918</v>
      </c>
      <c r="U1458" s="582">
        <v>100</v>
      </c>
      <c r="V1458" s="583" t="str">
        <f t="shared" si="770"/>
        <v>g</v>
      </c>
      <c r="W1458" s="584">
        <f t="shared" si="771"/>
        <v>106.66666666666666</v>
      </c>
      <c r="X1458" s="584">
        <f t="shared" si="772"/>
        <v>4.6666666666666661</v>
      </c>
      <c r="Y1458" s="584">
        <f t="shared" si="773"/>
        <v>7.333333333333333</v>
      </c>
      <c r="Z1458" s="584">
        <f t="shared" si="774"/>
        <v>5.333333333333333</v>
      </c>
      <c r="AA1458" s="584">
        <f t="shared" si="775"/>
        <v>0</v>
      </c>
      <c r="AB1458" s="584">
        <f t="shared" si="776"/>
        <v>0</v>
      </c>
      <c r="AC1458" s="581"/>
    </row>
    <row r="1459" spans="5:29">
      <c r="Q1459" s="579">
        <v>46121</v>
      </c>
      <c r="R1459" s="580">
        <v>0.33333333333333298</v>
      </c>
      <c r="S1459" s="581" t="s">
        <v>178</v>
      </c>
      <c r="T1459" s="581" t="s">
        <v>901</v>
      </c>
      <c r="U1459" s="582">
        <v>20</v>
      </c>
      <c r="V1459" s="583" t="str">
        <f t="shared" si="770"/>
        <v>g</v>
      </c>
      <c r="W1459" s="584">
        <f t="shared" si="771"/>
        <v>64</v>
      </c>
      <c r="X1459" s="584">
        <f t="shared" si="772"/>
        <v>0</v>
      </c>
      <c r="Y1459" s="584">
        <f t="shared" si="773"/>
        <v>0</v>
      </c>
      <c r="Z1459" s="584">
        <f t="shared" si="774"/>
        <v>16</v>
      </c>
      <c r="AA1459" s="584">
        <f t="shared" si="775"/>
        <v>0</v>
      </c>
      <c r="AB1459" s="584">
        <f t="shared" si="776"/>
        <v>0</v>
      </c>
      <c r="AC1459" s="581"/>
    </row>
    <row r="1460" spans="5:29">
      <c r="Q1460" s="579">
        <v>46121</v>
      </c>
      <c r="R1460" s="580">
        <v>0.33333333333333298</v>
      </c>
      <c r="S1460" s="581" t="s">
        <v>178</v>
      </c>
      <c r="T1460" s="581" t="s">
        <v>900</v>
      </c>
      <c r="U1460" s="582">
        <v>10</v>
      </c>
      <c r="V1460" s="583" t="str">
        <f t="shared" si="770"/>
        <v>g</v>
      </c>
      <c r="W1460" s="584">
        <f t="shared" si="771"/>
        <v>60</v>
      </c>
      <c r="X1460" s="584">
        <f t="shared" si="772"/>
        <v>2.6666666666666665</v>
      </c>
      <c r="Y1460" s="584">
        <f t="shared" si="773"/>
        <v>5.333333333333333</v>
      </c>
      <c r="Z1460" s="584">
        <f t="shared" si="774"/>
        <v>2</v>
      </c>
      <c r="AA1460" s="584">
        <f t="shared" si="775"/>
        <v>0</v>
      </c>
      <c r="AB1460" s="584">
        <f t="shared" si="776"/>
        <v>0</v>
      </c>
      <c r="AC1460" s="581"/>
    </row>
    <row r="1461" spans="5:29">
      <c r="Q1461" s="579">
        <v>46121</v>
      </c>
      <c r="R1461" s="580">
        <v>0.33333333333333298</v>
      </c>
      <c r="S1461" s="581" t="s">
        <v>178</v>
      </c>
      <c r="T1461" s="581" t="s">
        <v>202</v>
      </c>
      <c r="U1461" s="582">
        <f>2/3</f>
        <v>0.66666666666666663</v>
      </c>
      <c r="V1461" s="583" t="str">
        <f t="shared" si="770"/>
        <v>tbsp</v>
      </c>
      <c r="W1461" s="584">
        <f t="shared" si="771"/>
        <v>40</v>
      </c>
      <c r="X1461" s="584">
        <f t="shared" si="772"/>
        <v>1.3333333333333333</v>
      </c>
      <c r="Y1461" s="584">
        <f t="shared" si="773"/>
        <v>2.6666666666666665</v>
      </c>
      <c r="Z1461" s="584">
        <f t="shared" si="774"/>
        <v>3.333333333333333</v>
      </c>
      <c r="AA1461" s="584">
        <f t="shared" si="775"/>
        <v>2.6666666666666665</v>
      </c>
      <c r="AB1461" s="584">
        <f t="shared" si="776"/>
        <v>0</v>
      </c>
      <c r="AC1461" s="581"/>
    </row>
    <row r="1462" spans="5:29">
      <c r="Q1462" s="579">
        <v>46121</v>
      </c>
      <c r="R1462" s="580">
        <v>0.41666666666666669</v>
      </c>
      <c r="S1462" s="581" t="s">
        <v>178</v>
      </c>
      <c r="T1462" s="581" t="s">
        <v>463</v>
      </c>
      <c r="U1462" s="582">
        <v>1</v>
      </c>
      <c r="V1462" s="583" t="str">
        <f t="shared" si="770"/>
        <v>bottle</v>
      </c>
      <c r="W1462" s="584">
        <f t="shared" si="771"/>
        <v>190</v>
      </c>
      <c r="X1462" s="584">
        <f t="shared" si="772"/>
        <v>35</v>
      </c>
      <c r="Y1462" s="584">
        <f t="shared" si="773"/>
        <v>2</v>
      </c>
      <c r="Z1462" s="584">
        <f t="shared" si="774"/>
        <v>9</v>
      </c>
      <c r="AA1462" s="584">
        <f t="shared" si="775"/>
        <v>0</v>
      </c>
      <c r="AB1462" s="584">
        <f t="shared" si="776"/>
        <v>0</v>
      </c>
      <c r="AC1462" s="581"/>
    </row>
    <row r="1463" spans="5:29">
      <c r="Q1463" s="579">
        <v>46121</v>
      </c>
      <c r="R1463" s="580">
        <v>0.45833333333333331</v>
      </c>
      <c r="S1463" s="581" t="s">
        <v>289</v>
      </c>
      <c r="T1463" s="581" t="s">
        <v>1027</v>
      </c>
      <c r="U1463" s="582">
        <v>0.25</v>
      </c>
      <c r="V1463" s="583" t="str">
        <f t="shared" si="770"/>
        <v>bag</v>
      </c>
      <c r="W1463" s="584">
        <f t="shared" si="771"/>
        <v>85</v>
      </c>
      <c r="X1463" s="584">
        <f t="shared" si="772"/>
        <v>0.5</v>
      </c>
      <c r="Y1463" s="584">
        <f t="shared" si="773"/>
        <v>5.5</v>
      </c>
      <c r="Z1463" s="584">
        <f t="shared" si="774"/>
        <v>8.5</v>
      </c>
      <c r="AA1463" s="584">
        <f t="shared" si="775"/>
        <v>0</v>
      </c>
      <c r="AB1463" s="584">
        <f t="shared" si="776"/>
        <v>0</v>
      </c>
      <c r="AC1463" s="581"/>
    </row>
    <row r="1464" spans="5:29">
      <c r="Q1464" s="579">
        <v>46121</v>
      </c>
      <c r="R1464" s="580">
        <v>0.45833333333333331</v>
      </c>
      <c r="S1464" s="581" t="s">
        <v>289</v>
      </c>
      <c r="T1464" s="581" t="s">
        <v>464</v>
      </c>
      <c r="U1464" s="582">
        <v>1</v>
      </c>
      <c r="V1464" s="583" t="str">
        <f t="shared" si="770"/>
        <v>lozenge</v>
      </c>
      <c r="W1464" s="584">
        <f t="shared" si="771"/>
        <v>10</v>
      </c>
      <c r="X1464" s="584">
        <f t="shared" si="772"/>
        <v>0</v>
      </c>
      <c r="Y1464" s="584">
        <f t="shared" si="773"/>
        <v>0</v>
      </c>
      <c r="Z1464" s="584">
        <f t="shared" si="774"/>
        <v>3</v>
      </c>
      <c r="AA1464" s="584">
        <f t="shared" si="775"/>
        <v>0</v>
      </c>
      <c r="AB1464" s="584">
        <f t="shared" si="776"/>
        <v>0</v>
      </c>
      <c r="AC1464" s="581"/>
    </row>
    <row r="1465" spans="5:29">
      <c r="Q1465" s="579">
        <v>46121</v>
      </c>
      <c r="R1465" s="580">
        <v>0.45833333333333331</v>
      </c>
      <c r="S1465" s="581" t="s">
        <v>289</v>
      </c>
      <c r="T1465" s="581" t="s">
        <v>190</v>
      </c>
      <c r="U1465" s="582">
        <v>3</v>
      </c>
      <c r="V1465" s="583" t="str">
        <f t="shared" si="770"/>
        <v>medium</v>
      </c>
      <c r="W1465" s="584">
        <f t="shared" si="771"/>
        <v>186</v>
      </c>
      <c r="X1465" s="584">
        <f t="shared" si="772"/>
        <v>3.5999999999999996</v>
      </c>
      <c r="Y1465" s="584">
        <f t="shared" si="773"/>
        <v>0.60000000000000009</v>
      </c>
      <c r="Z1465" s="584">
        <f t="shared" si="774"/>
        <v>46.2</v>
      </c>
      <c r="AA1465" s="584">
        <f t="shared" si="775"/>
        <v>9.3000000000000007</v>
      </c>
      <c r="AB1465" s="584">
        <f t="shared" si="776"/>
        <v>0</v>
      </c>
      <c r="AC1465" s="581"/>
    </row>
    <row r="1466" spans="5:29">
      <c r="Q1466" s="579">
        <v>46121</v>
      </c>
      <c r="R1466" s="580">
        <v>0.45833333333333331</v>
      </c>
      <c r="S1466" s="581" t="s">
        <v>289</v>
      </c>
      <c r="T1466" s="581" t="s">
        <v>461</v>
      </c>
      <c r="U1466" s="582">
        <v>1</v>
      </c>
      <c r="V1466" s="583" t="str">
        <f t="shared" si="770"/>
        <v>chunks</v>
      </c>
      <c r="W1466" s="584">
        <f t="shared" si="771"/>
        <v>24.285714285714285</v>
      </c>
      <c r="X1466" s="584">
        <f t="shared" si="772"/>
        <v>0.42857142857142855</v>
      </c>
      <c r="Y1466" s="584">
        <f t="shared" si="773"/>
        <v>1.4285714285714284</v>
      </c>
      <c r="Z1466" s="584">
        <f t="shared" si="774"/>
        <v>2.5714285714285712</v>
      </c>
      <c r="AA1466" s="584">
        <f t="shared" si="775"/>
        <v>7.1428571428571425E-2</v>
      </c>
      <c r="AB1466" s="584">
        <f t="shared" si="776"/>
        <v>0</v>
      </c>
      <c r="AC1466" s="581"/>
    </row>
    <row r="1467" spans="5:29">
      <c r="Q1467" s="579">
        <v>46121</v>
      </c>
      <c r="R1467" s="580">
        <v>0.54166666666666696</v>
      </c>
      <c r="S1467" s="581" t="s">
        <v>185</v>
      </c>
      <c r="T1467" s="581" t="s">
        <v>180</v>
      </c>
      <c r="U1467" s="582">
        <v>250</v>
      </c>
      <c r="V1467" s="583" t="str">
        <f t="shared" si="770"/>
        <v>g</v>
      </c>
      <c r="W1467" s="584">
        <f t="shared" si="771"/>
        <v>325</v>
      </c>
      <c r="X1467" s="584">
        <f t="shared" si="772"/>
        <v>6.75</v>
      </c>
      <c r="Y1467" s="584">
        <f t="shared" si="773"/>
        <v>0.75</v>
      </c>
      <c r="Z1467" s="584">
        <f t="shared" si="774"/>
        <v>70</v>
      </c>
      <c r="AA1467" s="584">
        <f t="shared" si="775"/>
        <v>1</v>
      </c>
      <c r="AB1467" s="584">
        <f t="shared" si="776"/>
        <v>0</v>
      </c>
      <c r="AC1467" s="581"/>
    </row>
    <row r="1468" spans="5:29">
      <c r="Q1468" s="579">
        <v>46121</v>
      </c>
      <c r="R1468" s="580">
        <v>0.54166666666666696</v>
      </c>
      <c r="S1468" s="581" t="s">
        <v>185</v>
      </c>
      <c r="T1468" s="581" t="s">
        <v>176</v>
      </c>
      <c r="U1468" s="582">
        <v>300</v>
      </c>
      <c r="V1468" s="583" t="str">
        <f t="shared" si="770"/>
        <v>g</v>
      </c>
      <c r="W1468" s="584">
        <f t="shared" si="771"/>
        <v>495</v>
      </c>
      <c r="X1468" s="584">
        <f t="shared" si="772"/>
        <v>75</v>
      </c>
      <c r="Y1468" s="584">
        <f t="shared" si="773"/>
        <v>10.8</v>
      </c>
      <c r="Z1468" s="584">
        <f t="shared" si="774"/>
        <v>0</v>
      </c>
      <c r="AA1468" s="584">
        <f t="shared" si="775"/>
        <v>0</v>
      </c>
      <c r="AB1468" s="584">
        <f t="shared" si="776"/>
        <v>0</v>
      </c>
      <c r="AC1468" s="581"/>
    </row>
    <row r="1469" spans="5:29">
      <c r="Q1469" s="579">
        <v>46121</v>
      </c>
      <c r="R1469" s="580">
        <v>0.58333333333333337</v>
      </c>
      <c r="S1469" s="581" t="s">
        <v>289</v>
      </c>
      <c r="T1469" s="581" t="s">
        <v>268</v>
      </c>
      <c r="U1469" s="582">
        <v>2</v>
      </c>
      <c r="V1469" s="583" t="str">
        <f t="shared" si="770"/>
        <v>scoop</v>
      </c>
      <c r="W1469" s="584">
        <f t="shared" si="771"/>
        <v>320</v>
      </c>
      <c r="X1469" s="584">
        <f t="shared" si="772"/>
        <v>5</v>
      </c>
      <c r="Y1469" s="584">
        <f t="shared" si="773"/>
        <v>17</v>
      </c>
      <c r="Z1469" s="584">
        <f t="shared" si="774"/>
        <v>39</v>
      </c>
      <c r="AA1469" s="584">
        <f t="shared" si="775"/>
        <v>0</v>
      </c>
      <c r="AB1469" s="584">
        <f t="shared" si="776"/>
        <v>0</v>
      </c>
      <c r="AC1469" s="581"/>
    </row>
    <row r="1470" spans="5:29">
      <c r="Q1470" s="579">
        <v>46121</v>
      </c>
      <c r="R1470" s="580">
        <v>0.58333333333333337</v>
      </c>
      <c r="S1470" s="581" t="s">
        <v>289</v>
      </c>
      <c r="T1470" s="581" t="s">
        <v>897</v>
      </c>
      <c r="U1470" s="582">
        <v>0.5</v>
      </c>
      <c r="V1470" s="583" t="str">
        <f t="shared" si="770"/>
        <v>package</v>
      </c>
      <c r="W1470" s="584">
        <f t="shared" si="771"/>
        <v>25</v>
      </c>
      <c r="X1470" s="584">
        <f t="shared" si="772"/>
        <v>0.5</v>
      </c>
      <c r="Y1470" s="584">
        <f t="shared" si="773"/>
        <v>1</v>
      </c>
      <c r="Z1470" s="584">
        <f t="shared" si="774"/>
        <v>3.5</v>
      </c>
      <c r="AA1470" s="584">
        <f t="shared" si="775"/>
        <v>0</v>
      </c>
      <c r="AB1470" s="584">
        <f t="shared" si="776"/>
        <v>0</v>
      </c>
      <c r="AC1470" s="581"/>
    </row>
    <row r="1471" spans="5:29">
      <c r="Q1471" s="579">
        <v>46121</v>
      </c>
      <c r="R1471" s="580">
        <v>0.625</v>
      </c>
      <c r="S1471" s="581" t="s">
        <v>289</v>
      </c>
      <c r="T1471" s="581" t="s">
        <v>464</v>
      </c>
      <c r="U1471" s="582">
        <v>1</v>
      </c>
      <c r="V1471" s="583" t="str">
        <f t="shared" si="770"/>
        <v>lozenge</v>
      </c>
      <c r="W1471" s="584">
        <f t="shared" si="771"/>
        <v>10</v>
      </c>
      <c r="X1471" s="584">
        <f t="shared" si="772"/>
        <v>0</v>
      </c>
      <c r="Y1471" s="584">
        <f t="shared" si="773"/>
        <v>0</v>
      </c>
      <c r="Z1471" s="584">
        <f t="shared" si="774"/>
        <v>3</v>
      </c>
      <c r="AA1471" s="584">
        <f t="shared" si="775"/>
        <v>0</v>
      </c>
      <c r="AB1471" s="584">
        <f t="shared" si="776"/>
        <v>0</v>
      </c>
      <c r="AC1471" s="581"/>
    </row>
    <row r="1472" spans="5:29">
      <c r="Q1472" s="579">
        <v>46121</v>
      </c>
      <c r="R1472" s="580">
        <v>0.66666666666666663</v>
      </c>
      <c r="S1472" s="581" t="s">
        <v>289</v>
      </c>
      <c r="T1472" s="581" t="s">
        <v>190</v>
      </c>
      <c r="U1472" s="582">
        <v>1</v>
      </c>
      <c r="V1472" s="583" t="str">
        <f t="shared" si="770"/>
        <v>medium</v>
      </c>
      <c r="W1472" s="584">
        <f t="shared" si="771"/>
        <v>62</v>
      </c>
      <c r="X1472" s="584">
        <f t="shared" si="772"/>
        <v>1.2</v>
      </c>
      <c r="Y1472" s="584">
        <f t="shared" si="773"/>
        <v>0.2</v>
      </c>
      <c r="Z1472" s="584">
        <f t="shared" si="774"/>
        <v>15.4</v>
      </c>
      <c r="AA1472" s="584">
        <f t="shared" si="775"/>
        <v>3.1</v>
      </c>
      <c r="AB1472" s="584">
        <f t="shared" si="776"/>
        <v>0</v>
      </c>
      <c r="AC1472" s="581"/>
    </row>
    <row r="1473" spans="17:29">
      <c r="Q1473" s="579">
        <v>46121</v>
      </c>
      <c r="R1473" s="580">
        <v>0.66666666666666663</v>
      </c>
      <c r="S1473" s="581" t="s">
        <v>289</v>
      </c>
      <c r="T1473" s="581" t="s">
        <v>423</v>
      </c>
      <c r="U1473" s="582">
        <v>3</v>
      </c>
      <c r="V1473" s="583" t="str">
        <f t="shared" si="770"/>
        <v>pieces</v>
      </c>
      <c r="W1473" s="584">
        <f t="shared" si="771"/>
        <v>22.5</v>
      </c>
      <c r="X1473" s="584">
        <f t="shared" si="772"/>
        <v>0</v>
      </c>
      <c r="Y1473" s="584">
        <f t="shared" si="773"/>
        <v>0</v>
      </c>
      <c r="Z1473" s="584">
        <f t="shared" si="774"/>
        <v>4.5</v>
      </c>
      <c r="AA1473" s="584">
        <f t="shared" si="775"/>
        <v>0</v>
      </c>
      <c r="AB1473" s="584">
        <f t="shared" si="776"/>
        <v>0</v>
      </c>
      <c r="AC1473" s="581"/>
    </row>
    <row r="1474" spans="17:29">
      <c r="Q1474" s="579">
        <v>46121</v>
      </c>
      <c r="R1474" s="580">
        <v>0.66666666666666663</v>
      </c>
      <c r="S1474" s="581" t="s">
        <v>289</v>
      </c>
      <c r="T1474" s="581" t="s">
        <v>468</v>
      </c>
      <c r="U1474" s="582">
        <v>2</v>
      </c>
      <c r="V1474" s="583" t="str">
        <f>IFERROR(VLOOKUP(T1474, $E$5:$L$818, 3, FALSE), "")</f>
        <v>apple</v>
      </c>
      <c r="W1474" s="584">
        <f>IFERROR(VLOOKUP(T1474, $E$5:$L$818, 4, FALSE) * (U1474 / VLOOKUP(T1474, $E$5:$L$818, 2, FALSE)), "")</f>
        <v>190</v>
      </c>
      <c r="X1474" s="584">
        <f>IFERROR(VLOOKUP(T1474, $E$5:$L$818, 5, FALSE) * (U1474 / VLOOKUP(T1474, $E$5:$L$818, 2, FALSE)), "")</f>
        <v>1</v>
      </c>
      <c r="Y1474" s="584">
        <f>IFERROR(VLOOKUP(T1474, $E$5:$L$818, 6, FALSE) * (U1474 / VLOOKUP(T1474, $E$5:$L$818, 2, FALSE)), "")</f>
        <v>0.6</v>
      </c>
      <c r="Z1474" s="584">
        <f>IFERROR(VLOOKUP(T1474, $E$5:$L$818, 7, FALSE) * (U1474 / VLOOKUP(T1474, $E$5:$L$818, 2, FALSE)), "")</f>
        <v>50</v>
      </c>
      <c r="AA1474" s="584">
        <f>IFERROR(VLOOKUP(T1474, $E$5:$L$818, 8, FALSE) * (U1474 / VLOOKUP(T1474, $E$5:$L$818, 2, FALSE)), "")</f>
        <v>8</v>
      </c>
      <c r="AB1474" s="584">
        <f t="shared" si="776"/>
        <v>0</v>
      </c>
      <c r="AC1474" s="581"/>
    </row>
    <row r="1475" spans="17:29">
      <c r="Q1475" s="579">
        <v>46121</v>
      </c>
      <c r="R1475" s="580">
        <v>0.83333333333333337</v>
      </c>
      <c r="S1475" s="581" t="s">
        <v>289</v>
      </c>
      <c r="T1475" s="581" t="s">
        <v>917</v>
      </c>
      <c r="U1475" s="582">
        <v>1</v>
      </c>
      <c r="V1475" s="583" t="str">
        <f t="shared" si="770"/>
        <v>can</v>
      </c>
      <c r="W1475" s="584">
        <f t="shared" si="771"/>
        <v>0</v>
      </c>
      <c r="X1475" s="584">
        <f t="shared" si="772"/>
        <v>0</v>
      </c>
      <c r="Y1475" s="584">
        <f t="shared" si="773"/>
        <v>0</v>
      </c>
      <c r="Z1475" s="584">
        <f t="shared" si="774"/>
        <v>0</v>
      </c>
      <c r="AA1475" s="584">
        <f t="shared" si="775"/>
        <v>0</v>
      </c>
      <c r="AB1475" s="584">
        <f t="shared" si="776"/>
        <v>0</v>
      </c>
      <c r="AC1475" s="581"/>
    </row>
    <row r="1476" spans="17:29">
      <c r="Q1476" s="579">
        <v>46121</v>
      </c>
      <c r="R1476" s="580">
        <v>0.83333333333333337</v>
      </c>
      <c r="S1476" s="581" t="s">
        <v>199</v>
      </c>
      <c r="T1476" s="581" t="s">
        <v>484</v>
      </c>
      <c r="U1476" s="582">
        <v>250</v>
      </c>
      <c r="V1476" s="583" t="str">
        <f t="shared" si="770"/>
        <v>g</v>
      </c>
      <c r="W1476" s="584">
        <f t="shared" si="771"/>
        <v>232.5</v>
      </c>
      <c r="X1476" s="584">
        <f t="shared" si="772"/>
        <v>6.25</v>
      </c>
      <c r="Y1476" s="584">
        <f t="shared" si="773"/>
        <v>0.5</v>
      </c>
      <c r="Z1476" s="584">
        <f t="shared" si="774"/>
        <v>52.5</v>
      </c>
      <c r="AA1476" s="584">
        <f t="shared" si="775"/>
        <v>6.5</v>
      </c>
      <c r="AB1476" s="584">
        <f t="shared" si="776"/>
        <v>0</v>
      </c>
      <c r="AC1476" s="581"/>
    </row>
    <row r="1477" spans="17:29">
      <c r="Q1477" s="579">
        <v>46121</v>
      </c>
      <c r="R1477" s="580">
        <v>0.83333333333333337</v>
      </c>
      <c r="S1477" s="581" t="s">
        <v>199</v>
      </c>
      <c r="T1477" s="581" t="s">
        <v>176</v>
      </c>
      <c r="U1477" s="582">
        <v>50</v>
      </c>
      <c r="V1477" s="583" t="str">
        <f t="shared" si="770"/>
        <v>g</v>
      </c>
      <c r="W1477" s="584">
        <f t="shared" si="771"/>
        <v>82.5</v>
      </c>
      <c r="X1477" s="584">
        <f t="shared" si="772"/>
        <v>12.5</v>
      </c>
      <c r="Y1477" s="584">
        <f t="shared" si="773"/>
        <v>1.8</v>
      </c>
      <c r="Z1477" s="584">
        <f t="shared" si="774"/>
        <v>0</v>
      </c>
      <c r="AA1477" s="584">
        <f t="shared" si="775"/>
        <v>0</v>
      </c>
      <c r="AB1477" s="584">
        <f t="shared" si="776"/>
        <v>0</v>
      </c>
      <c r="AC1477" s="581"/>
    </row>
    <row r="1478" spans="17:29">
      <c r="Q1478" s="579">
        <v>46121</v>
      </c>
      <c r="R1478" s="580">
        <v>0.91666666666666663</v>
      </c>
      <c r="S1478" s="581" t="s">
        <v>199</v>
      </c>
      <c r="T1478" s="581" t="s">
        <v>786</v>
      </c>
      <c r="U1478" s="582">
        <v>1</v>
      </c>
      <c r="V1478" s="583" t="str">
        <f t="shared" si="770"/>
        <v>bottle</v>
      </c>
      <c r="W1478" s="584">
        <f t="shared" si="771"/>
        <v>90</v>
      </c>
      <c r="X1478" s="584">
        <f t="shared" si="772"/>
        <v>0</v>
      </c>
      <c r="Y1478" s="584">
        <f t="shared" si="773"/>
        <v>0</v>
      </c>
      <c r="Z1478" s="584">
        <f t="shared" si="774"/>
        <v>22</v>
      </c>
      <c r="AA1478" s="584">
        <f t="shared" si="775"/>
        <v>0</v>
      </c>
      <c r="AB1478" s="584">
        <f t="shared" si="776"/>
        <v>0</v>
      </c>
      <c r="AC1478" s="581"/>
    </row>
    <row r="1479" spans="17:29">
      <c r="Q1479" s="579">
        <v>46121</v>
      </c>
      <c r="R1479" s="580">
        <v>0.91666666666666663</v>
      </c>
      <c r="S1479" s="581" t="s">
        <v>199</v>
      </c>
      <c r="T1479" s="581" t="s">
        <v>209</v>
      </c>
      <c r="U1479" s="582">
        <v>1.5</v>
      </c>
      <c r="V1479" s="583" t="str">
        <f t="shared" si="770"/>
        <v>tbsp</v>
      </c>
      <c r="W1479" s="584">
        <f t="shared" si="771"/>
        <v>30</v>
      </c>
      <c r="X1479" s="584">
        <f t="shared" si="772"/>
        <v>0</v>
      </c>
      <c r="Y1479" s="584">
        <f t="shared" si="773"/>
        <v>0</v>
      </c>
      <c r="Z1479" s="584">
        <f t="shared" si="774"/>
        <v>7.5</v>
      </c>
      <c r="AA1479" s="584">
        <f t="shared" si="775"/>
        <v>6.75</v>
      </c>
      <c r="AB1479" s="584">
        <f t="shared" si="776"/>
        <v>0</v>
      </c>
      <c r="AC1479" s="581"/>
    </row>
    <row r="1480" spans="17:29">
      <c r="Q1480" s="579">
        <v>46121</v>
      </c>
      <c r="R1480" s="580">
        <v>0.91666666666666663</v>
      </c>
      <c r="S1480" s="581" t="s">
        <v>289</v>
      </c>
      <c r="T1480" s="581" t="s">
        <v>461</v>
      </c>
      <c r="U1480" s="582">
        <v>1</v>
      </c>
      <c r="V1480" s="583" t="str">
        <f t="shared" si="770"/>
        <v>chunks</v>
      </c>
      <c r="W1480" s="584">
        <f t="shared" si="771"/>
        <v>24.285714285714285</v>
      </c>
      <c r="X1480" s="584">
        <f t="shared" si="772"/>
        <v>0.42857142857142855</v>
      </c>
      <c r="Y1480" s="584">
        <f t="shared" si="773"/>
        <v>1.4285714285714284</v>
      </c>
      <c r="Z1480" s="584">
        <f t="shared" si="774"/>
        <v>2.5714285714285712</v>
      </c>
      <c r="AA1480" s="584">
        <f t="shared" si="775"/>
        <v>7.1428571428571425E-2</v>
      </c>
      <c r="AB1480" s="684">
        <f t="shared" si="776"/>
        <v>0</v>
      </c>
      <c r="AC1480" s="581"/>
    </row>
    <row r="1481" spans="17:29">
      <c r="Q1481" s="585"/>
      <c r="R1481" s="586" t="s">
        <v>217</v>
      </c>
      <c r="S1481" s="587"/>
      <c r="T1481" s="588"/>
      <c r="U1481" s="588"/>
      <c r="V1481" s="589"/>
      <c r="W1481" s="590">
        <f t="shared" ref="W1481:AB1481" si="777">SUM(W1457:W1480)</f>
        <v>2884.738095238095</v>
      </c>
      <c r="X1481" s="590">
        <f t="shared" si="777"/>
        <v>162.8238095238095</v>
      </c>
      <c r="Y1481" s="590">
        <f t="shared" si="777"/>
        <v>63.940476190476197</v>
      </c>
      <c r="Z1481" s="590">
        <f t="shared" si="777"/>
        <v>400.90952380952382</v>
      </c>
      <c r="AA1481" s="688">
        <f t="shared" si="777"/>
        <v>41.459523809523809</v>
      </c>
      <c r="AB1481" s="691">
        <f t="shared" si="777"/>
        <v>0</v>
      </c>
      <c r="AC1481" s="586"/>
    </row>
    <row r="1482" spans="17:29">
      <c r="Q1482" s="585"/>
      <c r="R1482" s="586" t="s">
        <v>220</v>
      </c>
      <c r="S1482" s="587"/>
      <c r="T1482" s="588"/>
      <c r="U1482" s="588"/>
      <c r="V1482" s="589"/>
      <c r="W1482" s="591">
        <f>$B$27</f>
        <v>2834.5625</v>
      </c>
      <c r="X1482" s="591">
        <f>$B$29</f>
        <v>154</v>
      </c>
      <c r="Y1482" s="591">
        <f>$B$30</f>
        <v>63.91</v>
      </c>
      <c r="Z1482" s="591">
        <f>$B$31</f>
        <v>410.84312499999999</v>
      </c>
      <c r="AA1482" s="642">
        <f>$B$32</f>
        <v>39.683875</v>
      </c>
      <c r="AB1482" s="695">
        <f>$B$39</f>
        <v>500</v>
      </c>
      <c r="AC1482" s="586"/>
    </row>
    <row r="1483" spans="17:29">
      <c r="Q1483" s="585"/>
      <c r="R1483" s="586" t="s">
        <v>222</v>
      </c>
      <c r="S1483" s="587"/>
      <c r="T1483" s="588"/>
      <c r="U1483" s="588"/>
      <c r="V1483" s="589"/>
      <c r="W1483" s="284">
        <f t="shared" ref="W1483:AB1483" si="778">W1481-W1482</f>
        <v>50.175595238094957</v>
      </c>
      <c r="X1483" s="284">
        <f t="shared" si="778"/>
        <v>8.8238095238095013</v>
      </c>
      <c r="Y1483" s="284">
        <f t="shared" si="778"/>
        <v>3.0476190476200316E-2</v>
      </c>
      <c r="Z1483" s="284">
        <f t="shared" si="778"/>
        <v>-9.9336011904761676</v>
      </c>
      <c r="AA1483" s="690">
        <f t="shared" si="778"/>
        <v>1.7756488095238083</v>
      </c>
      <c r="AB1483" s="689">
        <f t="shared" si="778"/>
        <v>-500</v>
      </c>
      <c r="AC1483" s="586"/>
    </row>
    <row r="1484" spans="17:29">
      <c r="Q1484" s="579">
        <v>46122</v>
      </c>
      <c r="R1484" s="580">
        <v>0.25</v>
      </c>
      <c r="S1484" s="581" t="s">
        <v>178</v>
      </c>
      <c r="T1484" s="581" t="s">
        <v>202</v>
      </c>
      <c r="U1484" s="582">
        <f>2/3</f>
        <v>0.66666666666666663</v>
      </c>
      <c r="V1484" s="583" t="str">
        <f t="shared" ref="V1484:V1498" si="779">IFERROR(VLOOKUP(T1484, $E$5:$L$818, 3, FALSE), "")</f>
        <v>tbsp</v>
      </c>
      <c r="W1484" s="584">
        <f t="shared" ref="W1484:W1498" si="780">IFERROR(VLOOKUP(T1484, $E$5:$L$818, 4, FALSE) * (U1484 / VLOOKUP(T1484, $E$5:$L$818, 2, FALSE)), "")</f>
        <v>40</v>
      </c>
      <c r="X1484" s="584">
        <f t="shared" ref="X1484:X1498" si="781">IFERROR(VLOOKUP(T1484, $E$5:$L$818, 5, FALSE) * (U1484 / VLOOKUP(T1484, $E$5:$L$818, 2, FALSE)), "")</f>
        <v>1.3333333333333333</v>
      </c>
      <c r="Y1484" s="584">
        <f t="shared" ref="Y1484:Y1498" si="782">IFERROR(VLOOKUP(T1484, $E$5:$L$818, 6, FALSE) * (U1484 / VLOOKUP(T1484, $E$5:$L$818, 2, FALSE)), "")</f>
        <v>2.6666666666666665</v>
      </c>
      <c r="Z1484" s="584">
        <f t="shared" ref="Z1484:Z1498" si="783">IFERROR(VLOOKUP(T1484, $E$5:$L$818, 7, FALSE) * (U1484 / VLOOKUP(T1484, $E$5:$L$818, 2, FALSE)), "")</f>
        <v>3.333333333333333</v>
      </c>
      <c r="AA1484" s="584">
        <f t="shared" ref="AA1484:AA1498" si="784">IFERROR(VLOOKUP(T1484, $E$5:$L$818, 8, FALSE) * (U1484 / VLOOKUP(T1484, $E$5:$L$818, 2, FALSE)), "")</f>
        <v>2.6666666666666665</v>
      </c>
      <c r="AB1484" s="674">
        <f t="shared" ref="AB1484:AB1498" si="785">IFERROR(VLOOKUP(T1484, $E$5:$O$818, 9, FALSE) * (U1484 / VLOOKUP(T1484, $E$5:$O$818, 2, FALSE)), "")</f>
        <v>0</v>
      </c>
      <c r="AC1484" s="581"/>
    </row>
    <row r="1485" spans="17:29">
      <c r="Q1485" s="579">
        <v>46122</v>
      </c>
      <c r="R1485" s="580">
        <v>0.33333333333333331</v>
      </c>
      <c r="S1485" s="581" t="s">
        <v>289</v>
      </c>
      <c r="T1485" s="581" t="s">
        <v>855</v>
      </c>
      <c r="U1485" s="582">
        <v>200</v>
      </c>
      <c r="V1485" s="583" t="str">
        <f t="shared" si="779"/>
        <v>g</v>
      </c>
      <c r="W1485" s="584">
        <f t="shared" si="780"/>
        <v>120</v>
      </c>
      <c r="X1485" s="584">
        <f t="shared" si="781"/>
        <v>2</v>
      </c>
      <c r="Y1485" s="584">
        <f t="shared" si="782"/>
        <v>0</v>
      </c>
      <c r="Z1485" s="584">
        <f t="shared" si="783"/>
        <v>30</v>
      </c>
      <c r="AA1485" s="584">
        <f t="shared" si="784"/>
        <v>4</v>
      </c>
      <c r="AB1485" s="584">
        <f t="shared" si="785"/>
        <v>0</v>
      </c>
      <c r="AC1485" s="581"/>
    </row>
    <row r="1486" spans="17:29">
      <c r="Q1486" s="579">
        <v>46122</v>
      </c>
      <c r="R1486" s="580">
        <v>0.375</v>
      </c>
      <c r="S1486" s="581" t="s">
        <v>178</v>
      </c>
      <c r="T1486" s="581" t="s">
        <v>295</v>
      </c>
      <c r="U1486" s="582">
        <v>1</v>
      </c>
      <c r="V1486" s="583" t="str">
        <f t="shared" si="779"/>
        <v>bottle</v>
      </c>
      <c r="W1486" s="584">
        <f t="shared" si="780"/>
        <v>200</v>
      </c>
      <c r="X1486" s="584">
        <f t="shared" si="781"/>
        <v>35</v>
      </c>
      <c r="Y1486" s="584">
        <f t="shared" si="782"/>
        <v>2.5</v>
      </c>
      <c r="Z1486" s="584">
        <f t="shared" si="783"/>
        <v>9</v>
      </c>
      <c r="AA1486" s="584">
        <f t="shared" si="784"/>
        <v>0</v>
      </c>
      <c r="AB1486" s="584">
        <f t="shared" si="785"/>
        <v>0</v>
      </c>
      <c r="AC1486" s="581"/>
    </row>
    <row r="1487" spans="17:29">
      <c r="Q1487" s="579">
        <v>46122</v>
      </c>
      <c r="R1487" s="580">
        <v>0.41666666666666669</v>
      </c>
      <c r="S1487" s="581" t="s">
        <v>178</v>
      </c>
      <c r="T1487" s="581" t="s">
        <v>461</v>
      </c>
      <c r="U1487" s="582">
        <v>0.5</v>
      </c>
      <c r="V1487" s="583" t="str">
        <f t="shared" si="779"/>
        <v>chunks</v>
      </c>
      <c r="W1487" s="584">
        <f t="shared" si="780"/>
        <v>12.142857142857142</v>
      </c>
      <c r="X1487" s="584">
        <f t="shared" si="781"/>
        <v>0.21428571428571427</v>
      </c>
      <c r="Y1487" s="584">
        <f t="shared" si="782"/>
        <v>0.71428571428571419</v>
      </c>
      <c r="Z1487" s="584">
        <f t="shared" si="783"/>
        <v>1.2857142857142856</v>
      </c>
      <c r="AA1487" s="584">
        <f t="shared" si="784"/>
        <v>3.5714285714285712E-2</v>
      </c>
      <c r="AB1487" s="584">
        <f t="shared" si="785"/>
        <v>0</v>
      </c>
      <c r="AC1487" s="581"/>
    </row>
    <row r="1488" spans="17:29">
      <c r="Q1488" s="579">
        <v>46122</v>
      </c>
      <c r="R1488" s="580">
        <v>0.45833333333333331</v>
      </c>
      <c r="S1488" s="581" t="s">
        <v>289</v>
      </c>
      <c r="T1488" s="581" t="s">
        <v>268</v>
      </c>
      <c r="U1488" s="582">
        <v>0.5</v>
      </c>
      <c r="V1488" s="583" t="str">
        <f t="shared" si="779"/>
        <v>scoop</v>
      </c>
      <c r="W1488" s="584">
        <f t="shared" si="780"/>
        <v>80</v>
      </c>
      <c r="X1488" s="584">
        <f t="shared" si="781"/>
        <v>1.25</v>
      </c>
      <c r="Y1488" s="584">
        <f t="shared" si="782"/>
        <v>4.25</v>
      </c>
      <c r="Z1488" s="584">
        <f t="shared" si="783"/>
        <v>9.75</v>
      </c>
      <c r="AA1488" s="584">
        <f t="shared" si="784"/>
        <v>0</v>
      </c>
      <c r="AB1488" s="584">
        <f t="shared" si="785"/>
        <v>0</v>
      </c>
      <c r="AC1488" s="581"/>
    </row>
    <row r="1489" spans="17:29">
      <c r="Q1489" s="579">
        <v>46122</v>
      </c>
      <c r="R1489" s="580">
        <v>0.45833333333333331</v>
      </c>
      <c r="S1489" s="581" t="s">
        <v>289</v>
      </c>
      <c r="T1489" s="581" t="s">
        <v>464</v>
      </c>
      <c r="U1489" s="582">
        <v>1</v>
      </c>
      <c r="V1489" s="583" t="str">
        <f t="shared" si="779"/>
        <v>lozenge</v>
      </c>
      <c r="W1489" s="584">
        <f t="shared" si="780"/>
        <v>10</v>
      </c>
      <c r="X1489" s="584">
        <f t="shared" si="781"/>
        <v>0</v>
      </c>
      <c r="Y1489" s="584">
        <f t="shared" si="782"/>
        <v>0</v>
      </c>
      <c r="Z1489" s="584">
        <f t="shared" si="783"/>
        <v>3</v>
      </c>
      <c r="AA1489" s="584">
        <f t="shared" si="784"/>
        <v>0</v>
      </c>
      <c r="AB1489" s="584">
        <f t="shared" si="785"/>
        <v>0</v>
      </c>
      <c r="AC1489" s="581"/>
    </row>
    <row r="1490" spans="17:29">
      <c r="Q1490" s="579">
        <v>46122</v>
      </c>
      <c r="R1490" s="580">
        <v>0.54166666666666696</v>
      </c>
      <c r="S1490" s="581" t="s">
        <v>185</v>
      </c>
      <c r="T1490" s="581" t="s">
        <v>176</v>
      </c>
      <c r="U1490" s="582">
        <v>250</v>
      </c>
      <c r="V1490" s="583" t="str">
        <f t="shared" si="779"/>
        <v>g</v>
      </c>
      <c r="W1490" s="584">
        <f t="shared" si="780"/>
        <v>412.5</v>
      </c>
      <c r="X1490" s="584">
        <f t="shared" si="781"/>
        <v>62.5</v>
      </c>
      <c r="Y1490" s="584">
        <f t="shared" si="782"/>
        <v>9</v>
      </c>
      <c r="Z1490" s="584">
        <f t="shared" si="783"/>
        <v>0</v>
      </c>
      <c r="AA1490" s="584">
        <f t="shared" si="784"/>
        <v>0</v>
      </c>
      <c r="AB1490" s="584">
        <f t="shared" si="785"/>
        <v>0</v>
      </c>
      <c r="AC1490" s="581"/>
    </row>
    <row r="1491" spans="17:29">
      <c r="Q1491" s="579">
        <v>46122</v>
      </c>
      <c r="R1491" s="580">
        <v>0.54166666666666696</v>
      </c>
      <c r="S1491" s="581" t="s">
        <v>185</v>
      </c>
      <c r="T1491" s="581" t="s">
        <v>180</v>
      </c>
      <c r="U1491" s="582">
        <v>200</v>
      </c>
      <c r="V1491" s="583" t="str">
        <f t="shared" si="779"/>
        <v>g</v>
      </c>
      <c r="W1491" s="584">
        <f t="shared" si="780"/>
        <v>260</v>
      </c>
      <c r="X1491" s="584">
        <f t="shared" si="781"/>
        <v>5.4</v>
      </c>
      <c r="Y1491" s="584">
        <f t="shared" si="782"/>
        <v>0.6</v>
      </c>
      <c r="Z1491" s="584">
        <f t="shared" si="783"/>
        <v>56</v>
      </c>
      <c r="AA1491" s="584">
        <f t="shared" si="784"/>
        <v>0.8</v>
      </c>
      <c r="AB1491" s="584">
        <f t="shared" si="785"/>
        <v>0</v>
      </c>
      <c r="AC1491" s="581"/>
    </row>
    <row r="1492" spans="17:29">
      <c r="Q1492" s="579">
        <v>46122</v>
      </c>
      <c r="R1492" s="580">
        <v>0.54166666666666696</v>
      </c>
      <c r="S1492" s="581" t="s">
        <v>289</v>
      </c>
      <c r="T1492" s="581" t="s">
        <v>268</v>
      </c>
      <c r="U1492" s="582">
        <v>2</v>
      </c>
      <c r="V1492" s="583" t="str">
        <f t="shared" si="779"/>
        <v>scoop</v>
      </c>
      <c r="W1492" s="584">
        <f t="shared" si="780"/>
        <v>320</v>
      </c>
      <c r="X1492" s="584">
        <f t="shared" si="781"/>
        <v>5</v>
      </c>
      <c r="Y1492" s="584">
        <f t="shared" si="782"/>
        <v>17</v>
      </c>
      <c r="Z1492" s="584">
        <f t="shared" si="783"/>
        <v>39</v>
      </c>
      <c r="AA1492" s="584">
        <f t="shared" si="784"/>
        <v>0</v>
      </c>
      <c r="AB1492" s="584">
        <f t="shared" si="785"/>
        <v>0</v>
      </c>
      <c r="AC1492" s="581"/>
    </row>
    <row r="1493" spans="17:29">
      <c r="Q1493" s="579">
        <v>46122</v>
      </c>
      <c r="R1493" s="580">
        <v>0.54166666666666696</v>
      </c>
      <c r="S1493" s="581" t="s">
        <v>199</v>
      </c>
      <c r="T1493" s="581" t="s">
        <v>176</v>
      </c>
      <c r="U1493" s="582">
        <v>200</v>
      </c>
      <c r="V1493" s="583" t="str">
        <f t="shared" si="779"/>
        <v>g</v>
      </c>
      <c r="W1493" s="584">
        <f t="shared" si="780"/>
        <v>330</v>
      </c>
      <c r="X1493" s="584">
        <f t="shared" si="781"/>
        <v>50</v>
      </c>
      <c r="Y1493" s="584">
        <f t="shared" si="782"/>
        <v>7.2</v>
      </c>
      <c r="Z1493" s="584">
        <f t="shared" si="783"/>
        <v>0</v>
      </c>
      <c r="AA1493" s="584">
        <f t="shared" si="784"/>
        <v>0</v>
      </c>
      <c r="AB1493" s="584">
        <f t="shared" si="785"/>
        <v>0</v>
      </c>
      <c r="AC1493" s="581"/>
    </row>
    <row r="1494" spans="17:29">
      <c r="Q1494" s="579">
        <v>46122</v>
      </c>
      <c r="R1494" s="580">
        <v>0.54166666666666696</v>
      </c>
      <c r="S1494" s="581" t="s">
        <v>199</v>
      </c>
      <c r="T1494" s="581" t="s">
        <v>180</v>
      </c>
      <c r="U1494" s="582">
        <v>100</v>
      </c>
      <c r="V1494" s="583" t="str">
        <f t="shared" si="779"/>
        <v>g</v>
      </c>
      <c r="W1494" s="584">
        <f t="shared" si="780"/>
        <v>130</v>
      </c>
      <c r="X1494" s="584">
        <f t="shared" si="781"/>
        <v>2.7</v>
      </c>
      <c r="Y1494" s="584">
        <f t="shared" si="782"/>
        <v>0.3</v>
      </c>
      <c r="Z1494" s="584">
        <f t="shared" si="783"/>
        <v>28</v>
      </c>
      <c r="AA1494" s="584">
        <f t="shared" si="784"/>
        <v>0.4</v>
      </c>
      <c r="AB1494" s="584">
        <f t="shared" si="785"/>
        <v>0</v>
      </c>
      <c r="AC1494" s="581"/>
    </row>
    <row r="1495" spans="17:29">
      <c r="Q1495" s="579">
        <v>46122</v>
      </c>
      <c r="R1495" s="580">
        <v>0.54166666666666696</v>
      </c>
      <c r="S1495" s="581" t="s">
        <v>289</v>
      </c>
      <c r="T1495" s="581" t="s">
        <v>214</v>
      </c>
      <c r="U1495" s="582">
        <v>1</v>
      </c>
      <c r="V1495" s="583" t="str">
        <f t="shared" si="779"/>
        <v>bar</v>
      </c>
      <c r="W1495" s="584">
        <f t="shared" si="780"/>
        <v>67</v>
      </c>
      <c r="X1495" s="584">
        <f t="shared" si="781"/>
        <v>1</v>
      </c>
      <c r="Y1495" s="584">
        <f t="shared" si="782"/>
        <v>3.5</v>
      </c>
      <c r="Z1495" s="584">
        <f t="shared" si="783"/>
        <v>22</v>
      </c>
      <c r="AA1495" s="584">
        <f t="shared" si="784"/>
        <v>0.3</v>
      </c>
      <c r="AB1495" s="584">
        <f t="shared" si="785"/>
        <v>0</v>
      </c>
      <c r="AC1495" s="581"/>
    </row>
    <row r="1496" spans="17:29">
      <c r="Q1496" s="579">
        <v>46122</v>
      </c>
      <c r="R1496" s="580">
        <v>0.95833333333333337</v>
      </c>
      <c r="S1496" s="581" t="s">
        <v>289</v>
      </c>
      <c r="T1496" s="581" t="s">
        <v>181</v>
      </c>
      <c r="U1496" s="582">
        <v>4</v>
      </c>
      <c r="V1496" s="583" t="str">
        <f t="shared" si="779"/>
        <v>slice</v>
      </c>
      <c r="W1496" s="584">
        <f t="shared" si="780"/>
        <v>280</v>
      </c>
      <c r="X1496" s="584">
        <f t="shared" si="781"/>
        <v>10</v>
      </c>
      <c r="Y1496" s="584">
        <f t="shared" si="782"/>
        <v>5</v>
      </c>
      <c r="Z1496" s="584">
        <f t="shared" si="783"/>
        <v>48</v>
      </c>
      <c r="AA1496" s="584">
        <f t="shared" si="784"/>
        <v>4</v>
      </c>
      <c r="AB1496" s="584">
        <f t="shared" si="785"/>
        <v>0</v>
      </c>
      <c r="AC1496" s="581"/>
    </row>
    <row r="1497" spans="17:29">
      <c r="Q1497" s="579">
        <v>46122</v>
      </c>
      <c r="R1497" s="580">
        <v>0.95833333333333337</v>
      </c>
      <c r="S1497" s="581" t="s">
        <v>199</v>
      </c>
      <c r="T1497" s="581" t="s">
        <v>786</v>
      </c>
      <c r="U1497" s="582">
        <v>1</v>
      </c>
      <c r="V1497" s="583" t="str">
        <f t="shared" si="779"/>
        <v>bottle</v>
      </c>
      <c r="W1497" s="584">
        <f t="shared" si="780"/>
        <v>90</v>
      </c>
      <c r="X1497" s="584">
        <f t="shared" si="781"/>
        <v>0</v>
      </c>
      <c r="Y1497" s="584">
        <f t="shared" si="782"/>
        <v>0</v>
      </c>
      <c r="Z1497" s="584">
        <f t="shared" si="783"/>
        <v>22</v>
      </c>
      <c r="AA1497" s="584">
        <f t="shared" si="784"/>
        <v>0</v>
      </c>
      <c r="AB1497" s="584">
        <f t="shared" si="785"/>
        <v>0</v>
      </c>
      <c r="AC1497" s="581"/>
    </row>
    <row r="1498" spans="17:29">
      <c r="Q1498" s="579">
        <v>46122</v>
      </c>
      <c r="R1498" s="580">
        <v>0.95833333333333337</v>
      </c>
      <c r="S1498" s="581" t="s">
        <v>199</v>
      </c>
      <c r="T1498" s="581" t="s">
        <v>209</v>
      </c>
      <c r="U1498" s="582">
        <v>6</v>
      </c>
      <c r="V1498" s="583" t="str">
        <f t="shared" si="779"/>
        <v>tbsp</v>
      </c>
      <c r="W1498" s="584">
        <f t="shared" si="780"/>
        <v>120</v>
      </c>
      <c r="X1498" s="584">
        <f t="shared" si="781"/>
        <v>0</v>
      </c>
      <c r="Y1498" s="584">
        <f t="shared" si="782"/>
        <v>0</v>
      </c>
      <c r="Z1498" s="584">
        <f t="shared" si="783"/>
        <v>30</v>
      </c>
      <c r="AA1498" s="584">
        <f t="shared" si="784"/>
        <v>27</v>
      </c>
      <c r="AB1498" s="584">
        <f t="shared" si="785"/>
        <v>0</v>
      </c>
      <c r="AC1498" s="581"/>
    </row>
    <row r="1499" spans="17:29">
      <c r="Q1499" s="585"/>
      <c r="R1499" s="586" t="s">
        <v>217</v>
      </c>
      <c r="S1499" s="587"/>
      <c r="T1499" s="588"/>
      <c r="U1499" s="588"/>
      <c r="V1499" s="589"/>
      <c r="W1499" s="590">
        <f t="shared" ref="W1499:AB1499" si="786">SUM(W1484:W1498)</f>
        <v>2471.6428571428569</v>
      </c>
      <c r="X1499" s="590">
        <f t="shared" si="786"/>
        <v>176.39761904761906</v>
      </c>
      <c r="Y1499" s="590">
        <f t="shared" si="786"/>
        <v>52.730952380952381</v>
      </c>
      <c r="Z1499" s="590">
        <f t="shared" si="786"/>
        <v>301.36904761904759</v>
      </c>
      <c r="AA1499" s="688">
        <f t="shared" si="786"/>
        <v>39.202380952380949</v>
      </c>
      <c r="AB1499" s="691">
        <f t="shared" si="786"/>
        <v>0</v>
      </c>
      <c r="AC1499" s="586"/>
    </row>
    <row r="1500" spans="17:29">
      <c r="Q1500" s="585"/>
      <c r="R1500" s="586" t="s">
        <v>220</v>
      </c>
      <c r="S1500" s="587"/>
      <c r="T1500" s="588"/>
      <c r="U1500" s="588"/>
      <c r="V1500" s="589"/>
      <c r="W1500" s="591">
        <f>$B$27</f>
        <v>2834.5625</v>
      </c>
      <c r="X1500" s="591">
        <f>$B$29</f>
        <v>154</v>
      </c>
      <c r="Y1500" s="591">
        <f>$B$30</f>
        <v>63.91</v>
      </c>
      <c r="Z1500" s="591">
        <f>$B$31</f>
        <v>410.84312499999999</v>
      </c>
      <c r="AA1500" s="642">
        <f>$B$32</f>
        <v>39.683875</v>
      </c>
      <c r="AB1500" s="695">
        <f>$B$39</f>
        <v>500</v>
      </c>
      <c r="AC1500" s="586"/>
    </row>
    <row r="1501" spans="17:29">
      <c r="Q1501" s="585"/>
      <c r="R1501" s="586" t="s">
        <v>222</v>
      </c>
      <c r="S1501" s="587"/>
      <c r="T1501" s="588"/>
      <c r="U1501" s="588"/>
      <c r="V1501" s="589"/>
      <c r="W1501" s="284">
        <f t="shared" ref="W1501:AB1501" si="787">W1499-W1500</f>
        <v>-362.91964285714312</v>
      </c>
      <c r="X1501" s="284">
        <f t="shared" si="787"/>
        <v>22.39761904761906</v>
      </c>
      <c r="Y1501" s="284">
        <f t="shared" si="787"/>
        <v>-11.179047619047616</v>
      </c>
      <c r="Z1501" s="284">
        <f t="shared" si="787"/>
        <v>-109.47407738095239</v>
      </c>
      <c r="AA1501" s="690">
        <f t="shared" si="787"/>
        <v>-0.48149404761905146</v>
      </c>
      <c r="AB1501" s="689">
        <f t="shared" si="787"/>
        <v>-500</v>
      </c>
      <c r="AC1501" s="586"/>
    </row>
    <row r="1502" spans="17:29">
      <c r="Q1502" s="579">
        <v>46123</v>
      </c>
      <c r="R1502" s="580">
        <v>0.25</v>
      </c>
      <c r="S1502" s="581" t="s">
        <v>178</v>
      </c>
      <c r="T1502" s="581" t="s">
        <v>202</v>
      </c>
      <c r="U1502" s="582">
        <f>2/3</f>
        <v>0.66666666666666663</v>
      </c>
      <c r="V1502" s="583" t="str">
        <f t="shared" ref="V1502:V1508" si="788">IFERROR(VLOOKUP(T1502, $E$5:$L$818, 3, FALSE), "")</f>
        <v>tbsp</v>
      </c>
      <c r="W1502" s="584">
        <f t="shared" ref="W1502:W1508" si="789">IFERROR(VLOOKUP(T1502, $E$5:$L$818, 4, FALSE) * (U1502 / VLOOKUP(T1502, $E$5:$L$818, 2, FALSE)), "")</f>
        <v>40</v>
      </c>
      <c r="X1502" s="584">
        <f t="shared" ref="X1502:X1508" si="790">IFERROR(VLOOKUP(T1502, $E$5:$L$818, 5, FALSE) * (U1502 / VLOOKUP(T1502, $E$5:$L$818, 2, FALSE)), "")</f>
        <v>1.3333333333333333</v>
      </c>
      <c r="Y1502" s="584">
        <f t="shared" ref="Y1502:Y1508" si="791">IFERROR(VLOOKUP(T1502, $E$5:$L$818, 6, FALSE) * (U1502 / VLOOKUP(T1502, $E$5:$L$818, 2, FALSE)), "")</f>
        <v>2.6666666666666665</v>
      </c>
      <c r="Z1502" s="584">
        <f t="shared" ref="Z1502:Z1508" si="792">IFERROR(VLOOKUP(T1502, $E$5:$L$818, 7, FALSE) * (U1502 / VLOOKUP(T1502, $E$5:$L$818, 2, FALSE)), "")</f>
        <v>3.333333333333333</v>
      </c>
      <c r="AA1502" s="584">
        <f t="shared" ref="AA1502:AA1508" si="793">IFERROR(VLOOKUP(T1502, $E$5:$L$818, 8, FALSE) * (U1502 / VLOOKUP(T1502, $E$5:$L$818, 2, FALSE)), "")</f>
        <v>2.6666666666666665</v>
      </c>
      <c r="AB1502" s="674">
        <f>IFERROR(VLOOKUP(T1502, $E$5:$O$818, 9, FALSE) * (U1502 / VLOOKUP(T1502, $E$5:$O$818, 2, FALSE)), "")</f>
        <v>0</v>
      </c>
      <c r="AC1502" s="581"/>
    </row>
    <row r="1503" spans="17:29">
      <c r="Q1503" s="579">
        <v>46123</v>
      </c>
      <c r="R1503" s="580">
        <v>0.33333333333333331</v>
      </c>
      <c r="S1503" s="581" t="s">
        <v>289</v>
      </c>
      <c r="T1503" s="581" t="s">
        <v>176</v>
      </c>
      <c r="U1503" s="582">
        <v>375</v>
      </c>
      <c r="V1503" s="583" t="str">
        <f t="shared" si="788"/>
        <v>g</v>
      </c>
      <c r="W1503" s="584">
        <f t="shared" si="789"/>
        <v>618.75</v>
      </c>
      <c r="X1503" s="584">
        <f t="shared" si="790"/>
        <v>93.75</v>
      </c>
      <c r="Y1503" s="584">
        <f t="shared" si="791"/>
        <v>13.5</v>
      </c>
      <c r="Z1503" s="584">
        <f t="shared" si="792"/>
        <v>0</v>
      </c>
      <c r="AA1503" s="584">
        <f t="shared" si="793"/>
        <v>0</v>
      </c>
      <c r="AB1503" s="584">
        <f>IFERROR(VLOOKUP(T1503, $E$5:$O$818, 9, FALSE) * (U1503 / VLOOKUP(T1503, $E$5:$O$818, 2, FALSE)), "")</f>
        <v>0</v>
      </c>
      <c r="AC1503" s="581"/>
    </row>
    <row r="1504" spans="17:29">
      <c r="Q1504" s="579">
        <v>46123</v>
      </c>
      <c r="R1504" s="580">
        <v>0.33333333333333331</v>
      </c>
      <c r="S1504" s="581" t="s">
        <v>289</v>
      </c>
      <c r="T1504" s="581" t="s">
        <v>461</v>
      </c>
      <c r="U1504" s="582">
        <v>1</v>
      </c>
      <c r="V1504" s="583" t="str">
        <f t="shared" si="788"/>
        <v>chunks</v>
      </c>
      <c r="W1504" s="584">
        <f t="shared" si="789"/>
        <v>24.285714285714285</v>
      </c>
      <c r="X1504" s="584">
        <f t="shared" si="790"/>
        <v>0.42857142857142855</v>
      </c>
      <c r="Y1504" s="584">
        <f t="shared" si="791"/>
        <v>1.4285714285714284</v>
      </c>
      <c r="Z1504" s="584">
        <f t="shared" si="792"/>
        <v>2.5714285714285712</v>
      </c>
      <c r="AA1504" s="584">
        <f t="shared" si="793"/>
        <v>7.1428571428571425E-2</v>
      </c>
      <c r="AB1504" s="584">
        <f>IFERROR(VLOOKUP(T1504, $E$5:$O$818, 9, FALSE) * (U1504 / VLOOKUP(T1504, $E$5:$O$818, 2, FALSE)), "")</f>
        <v>0</v>
      </c>
      <c r="AC1504" s="581"/>
    </row>
    <row r="1505" spans="17:29">
      <c r="Q1505" s="579">
        <v>46123</v>
      </c>
      <c r="R1505" s="580">
        <v>0.54166666666666696</v>
      </c>
      <c r="S1505" s="581" t="s">
        <v>185</v>
      </c>
      <c r="T1505" s="581" t="s">
        <v>176</v>
      </c>
      <c r="U1505" s="582">
        <v>250</v>
      </c>
      <c r="V1505" s="583" t="str">
        <f t="shared" si="788"/>
        <v>g</v>
      </c>
      <c r="W1505" s="584">
        <f t="shared" si="789"/>
        <v>412.5</v>
      </c>
      <c r="X1505" s="584">
        <f t="shared" si="790"/>
        <v>62.5</v>
      </c>
      <c r="Y1505" s="584">
        <f t="shared" si="791"/>
        <v>9</v>
      </c>
      <c r="Z1505" s="584">
        <f t="shared" si="792"/>
        <v>0</v>
      </c>
      <c r="AA1505" s="584">
        <f t="shared" si="793"/>
        <v>0</v>
      </c>
      <c r="AB1505" s="584"/>
      <c r="AC1505" s="581"/>
    </row>
    <row r="1506" spans="17:29">
      <c r="Q1506" s="579">
        <v>46123</v>
      </c>
      <c r="R1506" s="580">
        <v>0.54166666666666696</v>
      </c>
      <c r="S1506" s="581" t="s">
        <v>185</v>
      </c>
      <c r="T1506" s="581" t="s">
        <v>180</v>
      </c>
      <c r="U1506" s="582">
        <v>200</v>
      </c>
      <c r="V1506" s="583" t="str">
        <f t="shared" si="788"/>
        <v>g</v>
      </c>
      <c r="W1506" s="584">
        <f t="shared" si="789"/>
        <v>260</v>
      </c>
      <c r="X1506" s="584">
        <f t="shared" si="790"/>
        <v>5.4</v>
      </c>
      <c r="Y1506" s="584">
        <f t="shared" si="791"/>
        <v>0.6</v>
      </c>
      <c r="Z1506" s="584">
        <f t="shared" si="792"/>
        <v>56</v>
      </c>
      <c r="AA1506" s="584">
        <f t="shared" si="793"/>
        <v>0.8</v>
      </c>
      <c r="AB1506" s="584"/>
      <c r="AC1506" s="581"/>
    </row>
    <row r="1507" spans="17:29">
      <c r="Q1507" s="579">
        <v>46123</v>
      </c>
      <c r="R1507" s="580">
        <v>0.95833333333333337</v>
      </c>
      <c r="S1507" s="581" t="s">
        <v>199</v>
      </c>
      <c r="T1507" s="581" t="s">
        <v>176</v>
      </c>
      <c r="U1507" s="582">
        <v>250</v>
      </c>
      <c r="V1507" s="583" t="str">
        <f t="shared" si="788"/>
        <v>g</v>
      </c>
      <c r="W1507" s="584">
        <f t="shared" si="789"/>
        <v>412.5</v>
      </c>
      <c r="X1507" s="584">
        <f t="shared" si="790"/>
        <v>62.5</v>
      </c>
      <c r="Y1507" s="584">
        <f t="shared" si="791"/>
        <v>9</v>
      </c>
      <c r="Z1507" s="584">
        <f t="shared" si="792"/>
        <v>0</v>
      </c>
      <c r="AA1507" s="584">
        <f t="shared" si="793"/>
        <v>0</v>
      </c>
      <c r="AB1507" s="584"/>
      <c r="AC1507" s="581"/>
    </row>
    <row r="1508" spans="17:29">
      <c r="Q1508" s="579">
        <v>46123</v>
      </c>
      <c r="R1508" s="580">
        <v>0.95833333333333337</v>
      </c>
      <c r="S1508" s="581" t="s">
        <v>199</v>
      </c>
      <c r="T1508" s="581" t="s">
        <v>180</v>
      </c>
      <c r="U1508" s="582">
        <v>200</v>
      </c>
      <c r="V1508" s="583" t="str">
        <f t="shared" si="788"/>
        <v>g</v>
      </c>
      <c r="W1508" s="584">
        <f t="shared" si="789"/>
        <v>260</v>
      </c>
      <c r="X1508" s="584">
        <f t="shared" si="790"/>
        <v>5.4</v>
      </c>
      <c r="Y1508" s="584">
        <f t="shared" si="791"/>
        <v>0.6</v>
      </c>
      <c r="Z1508" s="584">
        <f t="shared" si="792"/>
        <v>56</v>
      </c>
      <c r="AA1508" s="584">
        <f t="shared" si="793"/>
        <v>0.8</v>
      </c>
      <c r="AB1508" s="584"/>
      <c r="AC1508" s="581"/>
    </row>
    <row r="1509" spans="17:29">
      <c r="Q1509" s="585"/>
      <c r="R1509" s="586" t="s">
        <v>217</v>
      </c>
      <c r="S1509" s="587"/>
      <c r="T1509" s="588"/>
      <c r="U1509" s="588"/>
      <c r="V1509" s="589"/>
      <c r="W1509" s="590">
        <f t="shared" ref="W1509:AB1509" si="794">SUM(W1502:W1508)</f>
        <v>2028.0357142857142</v>
      </c>
      <c r="X1509" s="590">
        <f t="shared" si="794"/>
        <v>231.31190476190477</v>
      </c>
      <c r="Y1509" s="590">
        <f t="shared" si="794"/>
        <v>36.795238095238098</v>
      </c>
      <c r="Z1509" s="590">
        <f t="shared" si="794"/>
        <v>117.9047619047619</v>
      </c>
      <c r="AA1509" s="688">
        <f t="shared" si="794"/>
        <v>4.3380952380952378</v>
      </c>
      <c r="AB1509" s="691">
        <f t="shared" si="794"/>
        <v>0</v>
      </c>
      <c r="AC1509" s="586"/>
    </row>
    <row r="1510" spans="17:29">
      <c r="Q1510" s="585"/>
      <c r="R1510" s="586" t="s">
        <v>220</v>
      </c>
      <c r="S1510" s="587"/>
      <c r="T1510" s="588"/>
      <c r="U1510" s="588"/>
      <c r="V1510" s="589"/>
      <c r="W1510" s="591">
        <f>$B$27</f>
        <v>2834.5625</v>
      </c>
      <c r="X1510" s="591">
        <f>$B$29</f>
        <v>154</v>
      </c>
      <c r="Y1510" s="591">
        <f>$B$30</f>
        <v>63.91</v>
      </c>
      <c r="Z1510" s="591">
        <f>$B$31</f>
        <v>410.84312499999999</v>
      </c>
      <c r="AA1510" s="642">
        <f>$B$32</f>
        <v>39.683875</v>
      </c>
      <c r="AB1510" s="695">
        <f>$B$39</f>
        <v>500</v>
      </c>
      <c r="AC1510" s="586"/>
    </row>
    <row r="1511" spans="17:29">
      <c r="Q1511" s="585"/>
      <c r="R1511" s="586" t="s">
        <v>222</v>
      </c>
      <c r="S1511" s="587"/>
      <c r="T1511" s="588"/>
      <c r="U1511" s="588"/>
      <c r="V1511" s="589"/>
      <c r="W1511" s="284">
        <f t="shared" ref="W1511:AB1511" si="795">W1509-W1510</f>
        <v>-806.52678571428578</v>
      </c>
      <c r="X1511" s="284">
        <f t="shared" si="795"/>
        <v>77.311904761904771</v>
      </c>
      <c r="Y1511" s="284">
        <f t="shared" si="795"/>
        <v>-27.114761904761899</v>
      </c>
      <c r="Z1511" s="284">
        <f t="shared" si="795"/>
        <v>-292.93836309523806</v>
      </c>
      <c r="AA1511" s="690">
        <f t="shared" si="795"/>
        <v>-35.345779761904765</v>
      </c>
      <c r="AB1511" s="689">
        <f t="shared" si="795"/>
        <v>-500</v>
      </c>
      <c r="AC1511" s="586"/>
    </row>
    <row r="1512" spans="17:29">
      <c r="Q1512" s="579">
        <v>46124</v>
      </c>
      <c r="R1512" s="580">
        <v>0.33333333333333331</v>
      </c>
      <c r="S1512" s="581" t="s">
        <v>178</v>
      </c>
      <c r="T1512" s="581" t="s">
        <v>295</v>
      </c>
      <c r="U1512" s="582">
        <v>1</v>
      </c>
      <c r="V1512" s="583" t="str">
        <f t="shared" ref="V1512:V1525" si="796">IFERROR(VLOOKUP(T1512, $E$5:$L$818, 3, FALSE), "")</f>
        <v>bottle</v>
      </c>
      <c r="W1512" s="584">
        <f t="shared" ref="W1512:W1525" si="797">IFERROR(VLOOKUP(T1512, $E$5:$L$818, 4, FALSE) * (U1512 / VLOOKUP(T1512, $E$5:$L$818, 2, FALSE)), "")</f>
        <v>200</v>
      </c>
      <c r="X1512" s="584">
        <f t="shared" ref="X1512:X1525" si="798">IFERROR(VLOOKUP(T1512, $E$5:$L$818, 5, FALSE) * (U1512 / VLOOKUP(T1512, $E$5:$L$818, 2, FALSE)), "")</f>
        <v>35</v>
      </c>
      <c r="Y1512" s="584">
        <f t="shared" ref="Y1512:Y1525" si="799">IFERROR(VLOOKUP(T1512, $E$5:$L$818, 6, FALSE) * (U1512 / VLOOKUP(T1512, $E$5:$L$818, 2, FALSE)), "")</f>
        <v>2.5</v>
      </c>
      <c r="Z1512" s="584">
        <f t="shared" ref="Z1512:Z1525" si="800">IFERROR(VLOOKUP(T1512, $E$5:$L$818, 7, FALSE) * (U1512 / VLOOKUP(T1512, $E$5:$L$818, 2, FALSE)), "")</f>
        <v>9</v>
      </c>
      <c r="AA1512" s="584">
        <f t="shared" ref="AA1512:AA1525" si="801">IFERROR(VLOOKUP(T1512, $E$5:$L$818, 8, FALSE) * (U1512 / VLOOKUP(T1512, $E$5:$L$818, 2, FALSE)), "")</f>
        <v>0</v>
      </c>
      <c r="AB1512" s="584">
        <f t="shared" ref="AB1512:AB1525" si="802">IFERROR(VLOOKUP(T1512, $E$5:$O$818, 9, FALSE) * (U1512 / VLOOKUP(T1512, $E$5:$O$818, 2, FALSE)), "")</f>
        <v>0</v>
      </c>
      <c r="AC1512" s="581"/>
    </row>
    <row r="1513" spans="17:29">
      <c r="Q1513" s="579">
        <v>46124</v>
      </c>
      <c r="R1513" s="580">
        <v>0.58333333333333337</v>
      </c>
      <c r="S1513" s="581" t="s">
        <v>289</v>
      </c>
      <c r="T1513" s="581" t="s">
        <v>461</v>
      </c>
      <c r="U1513" s="582">
        <v>2</v>
      </c>
      <c r="V1513" s="583" t="str">
        <f t="shared" si="796"/>
        <v>chunks</v>
      </c>
      <c r="W1513" s="584">
        <f t="shared" si="797"/>
        <v>48.571428571428569</v>
      </c>
      <c r="X1513" s="584">
        <f t="shared" si="798"/>
        <v>0.8571428571428571</v>
      </c>
      <c r="Y1513" s="584">
        <f t="shared" si="799"/>
        <v>2.8571428571428568</v>
      </c>
      <c r="Z1513" s="584">
        <f t="shared" si="800"/>
        <v>5.1428571428571423</v>
      </c>
      <c r="AA1513" s="584">
        <f t="shared" si="801"/>
        <v>0.14285714285714285</v>
      </c>
      <c r="AB1513" s="584">
        <f t="shared" si="802"/>
        <v>0</v>
      </c>
      <c r="AC1513" s="581"/>
    </row>
    <row r="1514" spans="17:29">
      <c r="Q1514" s="579">
        <v>46124</v>
      </c>
      <c r="R1514" s="580">
        <v>0.58333333333333337</v>
      </c>
      <c r="S1514" s="581" t="s">
        <v>289</v>
      </c>
      <c r="T1514" s="581" t="s">
        <v>214</v>
      </c>
      <c r="U1514" s="582">
        <v>1</v>
      </c>
      <c r="V1514" s="583" t="str">
        <f t="shared" si="796"/>
        <v>bar</v>
      </c>
      <c r="W1514" s="584">
        <f t="shared" si="797"/>
        <v>67</v>
      </c>
      <c r="X1514" s="584">
        <f t="shared" si="798"/>
        <v>1</v>
      </c>
      <c r="Y1514" s="584">
        <f t="shared" si="799"/>
        <v>3.5</v>
      </c>
      <c r="Z1514" s="584">
        <f t="shared" si="800"/>
        <v>22</v>
      </c>
      <c r="AA1514" s="584">
        <f t="shared" si="801"/>
        <v>0.3</v>
      </c>
      <c r="AB1514" s="584">
        <f t="shared" si="802"/>
        <v>0</v>
      </c>
      <c r="AC1514" s="581"/>
    </row>
    <row r="1515" spans="17:29">
      <c r="Q1515" s="579">
        <v>46124</v>
      </c>
      <c r="R1515" s="580">
        <v>0.66666666666666663</v>
      </c>
      <c r="S1515" s="581" t="s">
        <v>289</v>
      </c>
      <c r="T1515" s="581" t="s">
        <v>855</v>
      </c>
      <c r="U1515" s="582">
        <v>50</v>
      </c>
      <c r="V1515" s="583" t="str">
        <f t="shared" si="796"/>
        <v>g</v>
      </c>
      <c r="W1515" s="584">
        <f t="shared" si="797"/>
        <v>30</v>
      </c>
      <c r="X1515" s="584">
        <f t="shared" si="798"/>
        <v>0.5</v>
      </c>
      <c r="Y1515" s="584">
        <f t="shared" si="799"/>
        <v>0</v>
      </c>
      <c r="Z1515" s="584">
        <f t="shared" si="800"/>
        <v>7.5</v>
      </c>
      <c r="AA1515" s="584">
        <f t="shared" si="801"/>
        <v>1</v>
      </c>
      <c r="AB1515" s="584">
        <f t="shared" si="802"/>
        <v>0</v>
      </c>
      <c r="AC1515" s="581"/>
    </row>
    <row r="1516" spans="17:29">
      <c r="Q1516" s="579">
        <v>46124</v>
      </c>
      <c r="R1516" s="580">
        <v>0.66666666666666663</v>
      </c>
      <c r="S1516" s="581" t="s">
        <v>289</v>
      </c>
      <c r="T1516" s="581" t="s">
        <v>468</v>
      </c>
      <c r="U1516" s="582">
        <v>2</v>
      </c>
      <c r="V1516" s="583" t="str">
        <f t="shared" si="796"/>
        <v>apple</v>
      </c>
      <c r="W1516" s="584">
        <f t="shared" si="797"/>
        <v>190</v>
      </c>
      <c r="X1516" s="584">
        <f t="shared" si="798"/>
        <v>1</v>
      </c>
      <c r="Y1516" s="584">
        <f t="shared" si="799"/>
        <v>0.6</v>
      </c>
      <c r="Z1516" s="584">
        <f t="shared" si="800"/>
        <v>50</v>
      </c>
      <c r="AA1516" s="584">
        <f t="shared" si="801"/>
        <v>8</v>
      </c>
      <c r="AB1516" s="584">
        <f t="shared" si="802"/>
        <v>0</v>
      </c>
      <c r="AC1516" s="581"/>
    </row>
    <row r="1517" spans="17:29">
      <c r="Q1517" s="579">
        <v>46124</v>
      </c>
      <c r="R1517" s="580">
        <v>0.66666666666666663</v>
      </c>
      <c r="S1517" s="581" t="s">
        <v>289</v>
      </c>
      <c r="T1517" s="581" t="s">
        <v>181</v>
      </c>
      <c r="U1517" s="582">
        <v>4</v>
      </c>
      <c r="V1517" s="583" t="str">
        <f t="shared" si="796"/>
        <v>slice</v>
      </c>
      <c r="W1517" s="584">
        <f t="shared" si="797"/>
        <v>280</v>
      </c>
      <c r="X1517" s="584">
        <f t="shared" si="798"/>
        <v>10</v>
      </c>
      <c r="Y1517" s="584">
        <f t="shared" si="799"/>
        <v>5</v>
      </c>
      <c r="Z1517" s="584">
        <f t="shared" si="800"/>
        <v>48</v>
      </c>
      <c r="AA1517" s="584">
        <f t="shared" si="801"/>
        <v>4</v>
      </c>
      <c r="AB1517" s="584">
        <f t="shared" si="802"/>
        <v>0</v>
      </c>
      <c r="AC1517" s="581"/>
    </row>
    <row r="1518" spans="17:29">
      <c r="Q1518" s="579">
        <v>46124</v>
      </c>
      <c r="R1518" s="580">
        <v>0.66666666666666663</v>
      </c>
      <c r="S1518" s="581" t="s">
        <v>185</v>
      </c>
      <c r="T1518" s="581" t="s">
        <v>849</v>
      </c>
      <c r="U1518" s="582">
        <v>2</v>
      </c>
      <c r="V1518" s="583" t="str">
        <f t="shared" si="796"/>
        <v>bowl</v>
      </c>
      <c r="W1518" s="584">
        <f t="shared" si="797"/>
        <v>640</v>
      </c>
      <c r="X1518" s="584">
        <f t="shared" si="798"/>
        <v>44</v>
      </c>
      <c r="Y1518" s="584">
        <f t="shared" si="799"/>
        <v>16</v>
      </c>
      <c r="Z1518" s="584">
        <f t="shared" si="800"/>
        <v>84</v>
      </c>
      <c r="AA1518" s="584">
        <f t="shared" si="801"/>
        <v>8</v>
      </c>
      <c r="AB1518" s="584">
        <f t="shared" si="802"/>
        <v>0</v>
      </c>
      <c r="AC1518" s="581"/>
    </row>
    <row r="1519" spans="17:29">
      <c r="Q1519" s="579">
        <v>46124</v>
      </c>
      <c r="R1519" s="580">
        <v>0.66666666666666663</v>
      </c>
      <c r="S1519" s="581" t="s">
        <v>185</v>
      </c>
      <c r="T1519" s="581" t="s">
        <v>176</v>
      </c>
      <c r="U1519" s="582">
        <v>150</v>
      </c>
      <c r="V1519" s="583" t="str">
        <f t="shared" si="796"/>
        <v>g</v>
      </c>
      <c r="W1519" s="584">
        <f t="shared" si="797"/>
        <v>247.5</v>
      </c>
      <c r="X1519" s="584">
        <f t="shared" si="798"/>
        <v>37.5</v>
      </c>
      <c r="Y1519" s="584">
        <f t="shared" si="799"/>
        <v>5.4</v>
      </c>
      <c r="Z1519" s="584">
        <f t="shared" si="800"/>
        <v>0</v>
      </c>
      <c r="AA1519" s="584">
        <f t="shared" si="801"/>
        <v>0</v>
      </c>
      <c r="AB1519" s="584">
        <f t="shared" si="802"/>
        <v>0</v>
      </c>
      <c r="AC1519" s="581"/>
    </row>
    <row r="1520" spans="17:29">
      <c r="Q1520" s="579">
        <v>46124</v>
      </c>
      <c r="R1520" s="580">
        <v>0.75</v>
      </c>
      <c r="S1520" s="581" t="s">
        <v>289</v>
      </c>
      <c r="T1520" s="581" t="s">
        <v>461</v>
      </c>
      <c r="U1520" s="582">
        <v>1</v>
      </c>
      <c r="V1520" s="583" t="str">
        <f t="shared" si="796"/>
        <v>chunks</v>
      </c>
      <c r="W1520" s="584">
        <f t="shared" si="797"/>
        <v>24.285714285714285</v>
      </c>
      <c r="X1520" s="584">
        <f t="shared" si="798"/>
        <v>0.42857142857142855</v>
      </c>
      <c r="Y1520" s="584">
        <f t="shared" si="799"/>
        <v>1.4285714285714284</v>
      </c>
      <c r="Z1520" s="584">
        <f t="shared" si="800"/>
        <v>2.5714285714285712</v>
      </c>
      <c r="AA1520" s="584">
        <f t="shared" si="801"/>
        <v>7.1428571428571425E-2</v>
      </c>
      <c r="AB1520" s="584">
        <f t="shared" si="802"/>
        <v>0</v>
      </c>
      <c r="AC1520" s="581"/>
    </row>
    <row r="1521" spans="17:29">
      <c r="Q1521" s="579">
        <v>46124</v>
      </c>
      <c r="R1521" s="580">
        <v>0.79166666666666663</v>
      </c>
      <c r="S1521" s="581" t="s">
        <v>289</v>
      </c>
      <c r="T1521" s="581" t="s">
        <v>295</v>
      </c>
      <c r="U1521" s="582">
        <v>1</v>
      </c>
      <c r="V1521" s="583" t="str">
        <f t="shared" si="796"/>
        <v>bottle</v>
      </c>
      <c r="W1521" s="584">
        <f t="shared" si="797"/>
        <v>200</v>
      </c>
      <c r="X1521" s="584">
        <f t="shared" si="798"/>
        <v>35</v>
      </c>
      <c r="Y1521" s="584">
        <f t="shared" si="799"/>
        <v>2.5</v>
      </c>
      <c r="Z1521" s="584">
        <f t="shared" si="800"/>
        <v>9</v>
      </c>
      <c r="AA1521" s="584">
        <f t="shared" si="801"/>
        <v>0</v>
      </c>
      <c r="AB1521" s="584">
        <f t="shared" si="802"/>
        <v>0</v>
      </c>
      <c r="AC1521" s="581"/>
    </row>
    <row r="1522" spans="17:29">
      <c r="Q1522" s="579">
        <v>46124</v>
      </c>
      <c r="R1522" s="580">
        <v>0.91666666666666663</v>
      </c>
      <c r="S1522" s="581" t="s">
        <v>289</v>
      </c>
      <c r="T1522" s="581" t="s">
        <v>181</v>
      </c>
      <c r="U1522" s="582">
        <v>4</v>
      </c>
      <c r="V1522" s="583" t="str">
        <f t="shared" si="796"/>
        <v>slice</v>
      </c>
      <c r="W1522" s="584">
        <f t="shared" si="797"/>
        <v>280</v>
      </c>
      <c r="X1522" s="584">
        <f t="shared" si="798"/>
        <v>10</v>
      </c>
      <c r="Y1522" s="584">
        <f t="shared" si="799"/>
        <v>5</v>
      </c>
      <c r="Z1522" s="584">
        <f t="shared" si="800"/>
        <v>48</v>
      </c>
      <c r="AA1522" s="584">
        <f t="shared" si="801"/>
        <v>4</v>
      </c>
      <c r="AB1522" s="584">
        <f t="shared" si="802"/>
        <v>0</v>
      </c>
      <c r="AC1522" s="581"/>
    </row>
    <row r="1523" spans="17:29">
      <c r="Q1523" s="579">
        <v>46124</v>
      </c>
      <c r="R1523" s="580">
        <v>0.95833333333333337</v>
      </c>
      <c r="S1523" s="581" t="s">
        <v>289</v>
      </c>
      <c r="T1523" s="581" t="s">
        <v>214</v>
      </c>
      <c r="U1523" s="582">
        <v>1</v>
      </c>
      <c r="V1523" s="583" t="str">
        <f t="shared" si="796"/>
        <v>bar</v>
      </c>
      <c r="W1523" s="584">
        <f t="shared" si="797"/>
        <v>67</v>
      </c>
      <c r="X1523" s="584">
        <f t="shared" si="798"/>
        <v>1</v>
      </c>
      <c r="Y1523" s="584">
        <f t="shared" si="799"/>
        <v>3.5</v>
      </c>
      <c r="Z1523" s="584">
        <f t="shared" si="800"/>
        <v>22</v>
      </c>
      <c r="AA1523" s="584">
        <f t="shared" si="801"/>
        <v>0.3</v>
      </c>
      <c r="AB1523" s="584">
        <f t="shared" si="802"/>
        <v>0</v>
      </c>
      <c r="AC1523" s="581"/>
    </row>
    <row r="1524" spans="17:29">
      <c r="Q1524" s="579">
        <v>46124</v>
      </c>
      <c r="R1524" s="580">
        <v>0.95833333333333337</v>
      </c>
      <c r="S1524" s="581" t="s">
        <v>289</v>
      </c>
      <c r="T1524" s="581" t="s">
        <v>786</v>
      </c>
      <c r="U1524" s="582">
        <v>1</v>
      </c>
      <c r="V1524" s="583" t="str">
        <f t="shared" si="796"/>
        <v>bottle</v>
      </c>
      <c r="W1524" s="584">
        <f t="shared" si="797"/>
        <v>90</v>
      </c>
      <c r="X1524" s="584">
        <f t="shared" si="798"/>
        <v>0</v>
      </c>
      <c r="Y1524" s="584">
        <f t="shared" si="799"/>
        <v>0</v>
      </c>
      <c r="Z1524" s="584">
        <f t="shared" si="800"/>
        <v>22</v>
      </c>
      <c r="AA1524" s="584">
        <f t="shared" si="801"/>
        <v>0</v>
      </c>
      <c r="AB1524" s="584">
        <f t="shared" si="802"/>
        <v>0</v>
      </c>
      <c r="AC1524" s="581"/>
    </row>
    <row r="1525" spans="17:29">
      <c r="Q1525" s="579">
        <v>46124</v>
      </c>
      <c r="R1525" s="580">
        <v>0.95833333333333337</v>
      </c>
      <c r="S1525" s="581" t="s">
        <v>289</v>
      </c>
      <c r="T1525" s="581" t="s">
        <v>209</v>
      </c>
      <c r="U1525" s="582">
        <v>3</v>
      </c>
      <c r="V1525" s="583" t="str">
        <f t="shared" si="796"/>
        <v>tbsp</v>
      </c>
      <c r="W1525" s="584">
        <f t="shared" si="797"/>
        <v>60</v>
      </c>
      <c r="X1525" s="584">
        <f t="shared" si="798"/>
        <v>0</v>
      </c>
      <c r="Y1525" s="584">
        <f t="shared" si="799"/>
        <v>0</v>
      </c>
      <c r="Z1525" s="584">
        <f t="shared" si="800"/>
        <v>15</v>
      </c>
      <c r="AA1525" s="584">
        <f t="shared" si="801"/>
        <v>13.5</v>
      </c>
      <c r="AB1525" s="584">
        <f t="shared" si="802"/>
        <v>0</v>
      </c>
      <c r="AC1525" s="581"/>
    </row>
    <row r="1526" spans="17:29">
      <c r="Q1526" s="585"/>
      <c r="R1526" s="586" t="s">
        <v>217</v>
      </c>
      <c r="S1526" s="587"/>
      <c r="T1526" s="588"/>
      <c r="U1526" s="588"/>
      <c r="V1526" s="589"/>
      <c r="W1526" s="590">
        <f t="shared" ref="W1526:AB1526" si="803">SUM(W1512:W1525)</f>
        <v>2424.3571428571427</v>
      </c>
      <c r="X1526" s="590">
        <f t="shared" si="803"/>
        <v>176.28571428571428</v>
      </c>
      <c r="Y1526" s="590">
        <f t="shared" si="803"/>
        <v>48.285714285714285</v>
      </c>
      <c r="Z1526" s="590">
        <f t="shared" si="803"/>
        <v>344.21428571428572</v>
      </c>
      <c r="AA1526" s="688">
        <f t="shared" si="803"/>
        <v>39.314285714285717</v>
      </c>
      <c r="AB1526" s="691">
        <f t="shared" si="803"/>
        <v>0</v>
      </c>
      <c r="AC1526" s="586"/>
    </row>
    <row r="1527" spans="17:29">
      <c r="Q1527" s="585"/>
      <c r="R1527" s="586" t="s">
        <v>220</v>
      </c>
      <c r="S1527" s="587"/>
      <c r="T1527" s="588"/>
      <c r="U1527" s="588"/>
      <c r="V1527" s="589"/>
      <c r="W1527" s="591">
        <f>$B$27</f>
        <v>2834.5625</v>
      </c>
      <c r="X1527" s="591">
        <f>$B$29</f>
        <v>154</v>
      </c>
      <c r="Y1527" s="591">
        <f>$B$30</f>
        <v>63.91</v>
      </c>
      <c r="Z1527" s="591">
        <f>$B$31</f>
        <v>410.84312499999999</v>
      </c>
      <c r="AA1527" s="642">
        <f>$B$32</f>
        <v>39.683875</v>
      </c>
      <c r="AB1527" s="695">
        <f>$B$39</f>
        <v>500</v>
      </c>
      <c r="AC1527" s="586"/>
    </row>
    <row r="1528" spans="17:29">
      <c r="Q1528" s="585"/>
      <c r="R1528" s="586" t="s">
        <v>222</v>
      </c>
      <c r="S1528" s="587"/>
      <c r="T1528" s="588"/>
      <c r="U1528" s="588"/>
      <c r="V1528" s="589"/>
      <c r="W1528" s="284">
        <f t="shared" ref="W1528:AB1528" si="804">W1526-W1527</f>
        <v>-410.20535714285734</v>
      </c>
      <c r="X1528" s="284">
        <f t="shared" si="804"/>
        <v>22.285714285714278</v>
      </c>
      <c r="Y1528" s="284">
        <f t="shared" si="804"/>
        <v>-15.624285714285712</v>
      </c>
      <c r="Z1528" s="284">
        <f t="shared" si="804"/>
        <v>-66.628839285714264</v>
      </c>
      <c r="AA1528" s="690">
        <f t="shared" si="804"/>
        <v>-0.36958928571428373</v>
      </c>
      <c r="AB1528" s="689">
        <f t="shared" si="804"/>
        <v>-500</v>
      </c>
      <c r="AC1528" s="586"/>
    </row>
    <row r="1529" spans="17:29">
      <c r="Q1529" s="579">
        <v>46125</v>
      </c>
      <c r="R1529" s="580">
        <v>0.41666666666666669</v>
      </c>
      <c r="S1529" s="581" t="s">
        <v>178</v>
      </c>
      <c r="T1529" s="581" t="s">
        <v>202</v>
      </c>
      <c r="U1529" s="582">
        <f>1/3</f>
        <v>0.33333333333333331</v>
      </c>
      <c r="V1529" s="583" t="str">
        <f t="shared" ref="V1529:V1543" si="805">IFERROR(VLOOKUP(T1529, $E$5:$L$818, 3, FALSE), "")</f>
        <v>tbsp</v>
      </c>
      <c r="W1529" s="584">
        <f t="shared" ref="W1529:W1543" si="806">IFERROR(VLOOKUP(T1529, $E$5:$L$818, 4, FALSE) * (U1529 / VLOOKUP(T1529, $E$5:$L$818, 2, FALSE)), "")</f>
        <v>20</v>
      </c>
      <c r="X1529" s="584">
        <f t="shared" ref="X1529:X1543" si="807">IFERROR(VLOOKUP(T1529, $E$5:$L$818, 5, FALSE) * (U1529 / VLOOKUP(T1529, $E$5:$L$818, 2, FALSE)), "")</f>
        <v>0.66666666666666663</v>
      </c>
      <c r="Y1529" s="584">
        <f t="shared" ref="Y1529:Y1543" si="808">IFERROR(VLOOKUP(T1529, $E$5:$L$818, 6, FALSE) * (U1529 / VLOOKUP(T1529, $E$5:$L$818, 2, FALSE)), "")</f>
        <v>1.3333333333333333</v>
      </c>
      <c r="Z1529" s="584">
        <f t="shared" ref="Z1529:Z1543" si="809">IFERROR(VLOOKUP(T1529, $E$5:$L$818, 7, FALSE) * (U1529 / VLOOKUP(T1529, $E$5:$L$818, 2, FALSE)), "")</f>
        <v>1.6666666666666665</v>
      </c>
      <c r="AA1529" s="584">
        <f t="shared" ref="AA1529:AA1543" si="810">IFERROR(VLOOKUP(T1529, $E$5:$L$818, 8, FALSE) * (U1529 / VLOOKUP(T1529, $E$5:$L$818, 2, FALSE)), "")</f>
        <v>1.3333333333333333</v>
      </c>
      <c r="AB1529" s="674">
        <f t="shared" ref="AB1529:AB1543" si="811">IFERROR(VLOOKUP(T1529, $E$5:$O$818, 9, FALSE) * (U1529 / VLOOKUP(T1529, $E$5:$O$818, 2, FALSE)), "")</f>
        <v>0</v>
      </c>
      <c r="AC1529" s="581"/>
    </row>
    <row r="1530" spans="17:29">
      <c r="Q1530" s="579">
        <v>46125</v>
      </c>
      <c r="R1530" s="580">
        <v>0.41666666666666669</v>
      </c>
      <c r="S1530" s="581" t="s">
        <v>178</v>
      </c>
      <c r="T1530" s="581" t="s">
        <v>915</v>
      </c>
      <c r="U1530" s="582">
        <v>1</v>
      </c>
      <c r="V1530" s="583" t="str">
        <f t="shared" si="805"/>
        <v>piece</v>
      </c>
      <c r="W1530" s="584">
        <f t="shared" si="806"/>
        <v>245</v>
      </c>
      <c r="X1530" s="584">
        <f t="shared" si="807"/>
        <v>9</v>
      </c>
      <c r="Y1530" s="584">
        <f t="shared" si="808"/>
        <v>2</v>
      </c>
      <c r="Z1530" s="584">
        <f t="shared" si="809"/>
        <v>48</v>
      </c>
      <c r="AA1530" s="584">
        <f t="shared" si="810"/>
        <v>2</v>
      </c>
      <c r="AB1530" s="584">
        <f t="shared" si="811"/>
        <v>0</v>
      </c>
      <c r="AC1530" s="581"/>
    </row>
    <row r="1531" spans="17:29">
      <c r="Q1531" s="579">
        <v>46125</v>
      </c>
      <c r="R1531" s="580">
        <v>0.41666666666666669</v>
      </c>
      <c r="S1531" s="581" t="s">
        <v>178</v>
      </c>
      <c r="T1531" s="581" t="s">
        <v>204</v>
      </c>
      <c r="U1531" s="582">
        <v>4</v>
      </c>
      <c r="V1531" s="583" t="str">
        <f t="shared" si="805"/>
        <v>tbsp</v>
      </c>
      <c r="W1531" s="584">
        <f t="shared" si="806"/>
        <v>200</v>
      </c>
      <c r="X1531" s="584">
        <f t="shared" si="807"/>
        <v>4</v>
      </c>
      <c r="Y1531" s="584">
        <f t="shared" si="808"/>
        <v>20</v>
      </c>
      <c r="Z1531" s="584">
        <f t="shared" si="809"/>
        <v>4</v>
      </c>
      <c r="AA1531" s="584">
        <f t="shared" si="810"/>
        <v>0</v>
      </c>
      <c r="AB1531" s="584">
        <f t="shared" si="811"/>
        <v>0</v>
      </c>
      <c r="AC1531" s="581"/>
    </row>
    <row r="1532" spans="17:29">
      <c r="Q1532" s="579">
        <v>46125</v>
      </c>
      <c r="R1532" s="580">
        <v>0.41666666666666669</v>
      </c>
      <c r="S1532" s="581" t="s">
        <v>178</v>
      </c>
      <c r="T1532" s="581" t="s">
        <v>295</v>
      </c>
      <c r="U1532" s="582">
        <v>1</v>
      </c>
      <c r="V1532" s="583" t="str">
        <f t="shared" si="805"/>
        <v>bottle</v>
      </c>
      <c r="W1532" s="584">
        <f t="shared" si="806"/>
        <v>200</v>
      </c>
      <c r="X1532" s="584">
        <f t="shared" si="807"/>
        <v>35</v>
      </c>
      <c r="Y1532" s="584">
        <f t="shared" si="808"/>
        <v>2.5</v>
      </c>
      <c r="Z1532" s="584">
        <f t="shared" si="809"/>
        <v>9</v>
      </c>
      <c r="AA1532" s="584">
        <f t="shared" si="810"/>
        <v>0</v>
      </c>
      <c r="AB1532" s="584">
        <f t="shared" si="811"/>
        <v>0</v>
      </c>
      <c r="AC1532" s="581"/>
    </row>
    <row r="1533" spans="17:29">
      <c r="Q1533" s="579">
        <v>46125</v>
      </c>
      <c r="R1533" s="580">
        <v>0.41666666666666669</v>
      </c>
      <c r="S1533" s="581" t="s">
        <v>178</v>
      </c>
      <c r="T1533" s="581" t="s">
        <v>181</v>
      </c>
      <c r="U1533" s="582">
        <v>4</v>
      </c>
      <c r="V1533" s="583" t="str">
        <f t="shared" si="805"/>
        <v>slice</v>
      </c>
      <c r="W1533" s="584">
        <f t="shared" si="806"/>
        <v>280</v>
      </c>
      <c r="X1533" s="584">
        <f t="shared" si="807"/>
        <v>10</v>
      </c>
      <c r="Y1533" s="584">
        <f t="shared" si="808"/>
        <v>5</v>
      </c>
      <c r="Z1533" s="584">
        <f t="shared" si="809"/>
        <v>48</v>
      </c>
      <c r="AA1533" s="584">
        <f t="shared" si="810"/>
        <v>4</v>
      </c>
      <c r="AB1533" s="584">
        <f t="shared" si="811"/>
        <v>0</v>
      </c>
      <c r="AC1533" s="581"/>
    </row>
    <row r="1534" spans="17:29">
      <c r="Q1534" s="579">
        <v>46125</v>
      </c>
      <c r="R1534" s="580">
        <v>0.5</v>
      </c>
      <c r="S1534" s="581" t="s">
        <v>289</v>
      </c>
      <c r="T1534" s="581" t="s">
        <v>461</v>
      </c>
      <c r="U1534" s="582">
        <v>1</v>
      </c>
      <c r="V1534" s="583" t="str">
        <f t="shared" si="805"/>
        <v>chunks</v>
      </c>
      <c r="W1534" s="584">
        <f t="shared" si="806"/>
        <v>24.285714285714285</v>
      </c>
      <c r="X1534" s="584">
        <f t="shared" si="807"/>
        <v>0.42857142857142855</v>
      </c>
      <c r="Y1534" s="584">
        <f t="shared" si="808"/>
        <v>1.4285714285714284</v>
      </c>
      <c r="Z1534" s="584">
        <f t="shared" si="809"/>
        <v>2.5714285714285712</v>
      </c>
      <c r="AA1534" s="584">
        <f t="shared" si="810"/>
        <v>7.1428571428571425E-2</v>
      </c>
      <c r="AB1534" s="584">
        <f t="shared" si="811"/>
        <v>0</v>
      </c>
      <c r="AC1534" s="581"/>
    </row>
    <row r="1535" spans="17:29">
      <c r="Q1535" s="579">
        <v>46125</v>
      </c>
      <c r="R1535" s="580">
        <v>0.58333333333333337</v>
      </c>
      <c r="S1535" s="581" t="s">
        <v>289</v>
      </c>
      <c r="T1535" s="581" t="s">
        <v>214</v>
      </c>
      <c r="U1535" s="582">
        <v>1</v>
      </c>
      <c r="V1535" s="583" t="str">
        <f t="shared" si="805"/>
        <v>bar</v>
      </c>
      <c r="W1535" s="584">
        <f t="shared" si="806"/>
        <v>67</v>
      </c>
      <c r="X1535" s="584">
        <f t="shared" si="807"/>
        <v>1</v>
      </c>
      <c r="Y1535" s="584">
        <f t="shared" si="808"/>
        <v>3.5</v>
      </c>
      <c r="Z1535" s="584">
        <f t="shared" si="809"/>
        <v>22</v>
      </c>
      <c r="AA1535" s="584">
        <f t="shared" si="810"/>
        <v>0.3</v>
      </c>
      <c r="AB1535" s="584">
        <f t="shared" si="811"/>
        <v>0</v>
      </c>
      <c r="AC1535" s="581"/>
    </row>
    <row r="1536" spans="17:29">
      <c r="Q1536" s="579">
        <v>46125</v>
      </c>
      <c r="R1536" s="580">
        <v>0.625</v>
      </c>
      <c r="S1536" s="581" t="s">
        <v>289</v>
      </c>
      <c r="T1536" s="581" t="s">
        <v>181</v>
      </c>
      <c r="U1536" s="582">
        <v>4</v>
      </c>
      <c r="V1536" s="583" t="str">
        <f t="shared" si="805"/>
        <v>slice</v>
      </c>
      <c r="W1536" s="584">
        <f t="shared" si="806"/>
        <v>280</v>
      </c>
      <c r="X1536" s="584">
        <f t="shared" si="807"/>
        <v>10</v>
      </c>
      <c r="Y1536" s="584">
        <f t="shared" si="808"/>
        <v>5</v>
      </c>
      <c r="Z1536" s="584">
        <f t="shared" si="809"/>
        <v>48</v>
      </c>
      <c r="AA1536" s="584">
        <f t="shared" si="810"/>
        <v>4</v>
      </c>
      <c r="AB1536" s="584">
        <f t="shared" si="811"/>
        <v>0</v>
      </c>
      <c r="AC1536" s="581"/>
    </row>
    <row r="1537" spans="17:29">
      <c r="Q1537" s="579">
        <v>46125</v>
      </c>
      <c r="R1537" s="580">
        <v>0.625</v>
      </c>
      <c r="S1537" s="581" t="s">
        <v>289</v>
      </c>
      <c r="T1537" s="581" t="s">
        <v>204</v>
      </c>
      <c r="U1537" s="582">
        <v>2</v>
      </c>
      <c r="V1537" s="583" t="str">
        <f t="shared" si="805"/>
        <v>tbsp</v>
      </c>
      <c r="W1537" s="584">
        <f t="shared" si="806"/>
        <v>100</v>
      </c>
      <c r="X1537" s="584">
        <f t="shared" si="807"/>
        <v>2</v>
      </c>
      <c r="Y1537" s="584">
        <f t="shared" si="808"/>
        <v>10</v>
      </c>
      <c r="Z1537" s="584">
        <f t="shared" si="809"/>
        <v>2</v>
      </c>
      <c r="AA1537" s="584">
        <f t="shared" si="810"/>
        <v>0</v>
      </c>
      <c r="AB1537" s="584">
        <f t="shared" si="811"/>
        <v>0</v>
      </c>
      <c r="AC1537" s="581"/>
    </row>
    <row r="1538" spans="17:29">
      <c r="Q1538" s="579">
        <v>46125</v>
      </c>
      <c r="R1538" s="580">
        <v>0.875</v>
      </c>
      <c r="S1538" s="581" t="s">
        <v>289</v>
      </c>
      <c r="T1538" s="581" t="s">
        <v>917</v>
      </c>
      <c r="U1538" s="582">
        <v>1</v>
      </c>
      <c r="V1538" s="583" t="str">
        <f t="shared" si="805"/>
        <v>can</v>
      </c>
      <c r="W1538" s="584">
        <f t="shared" si="806"/>
        <v>0</v>
      </c>
      <c r="X1538" s="584">
        <f t="shared" si="807"/>
        <v>0</v>
      </c>
      <c r="Y1538" s="584">
        <f t="shared" si="808"/>
        <v>0</v>
      </c>
      <c r="Z1538" s="584">
        <f t="shared" si="809"/>
        <v>0</v>
      </c>
      <c r="AA1538" s="584">
        <f t="shared" si="810"/>
        <v>0</v>
      </c>
      <c r="AB1538" s="584">
        <f t="shared" si="811"/>
        <v>0</v>
      </c>
      <c r="AC1538" s="581"/>
    </row>
    <row r="1539" spans="17:29">
      <c r="Q1539" s="579">
        <v>46125</v>
      </c>
      <c r="R1539" s="580">
        <v>0.875</v>
      </c>
      <c r="S1539" s="581" t="s">
        <v>199</v>
      </c>
      <c r="T1539" s="581" t="s">
        <v>176</v>
      </c>
      <c r="U1539" s="582">
        <v>300</v>
      </c>
      <c r="V1539" s="583" t="str">
        <f t="shared" si="805"/>
        <v>g</v>
      </c>
      <c r="W1539" s="584">
        <f t="shared" si="806"/>
        <v>495</v>
      </c>
      <c r="X1539" s="584">
        <f t="shared" si="807"/>
        <v>75</v>
      </c>
      <c r="Y1539" s="584">
        <f t="shared" si="808"/>
        <v>10.8</v>
      </c>
      <c r="Z1539" s="584">
        <f t="shared" si="809"/>
        <v>0</v>
      </c>
      <c r="AA1539" s="584">
        <f t="shared" si="810"/>
        <v>0</v>
      </c>
      <c r="AB1539" s="584">
        <f t="shared" si="811"/>
        <v>0</v>
      </c>
      <c r="AC1539" s="581"/>
    </row>
    <row r="1540" spans="17:29">
      <c r="Q1540" s="579">
        <v>46125</v>
      </c>
      <c r="R1540" s="580">
        <v>0.875</v>
      </c>
      <c r="S1540" s="581" t="s">
        <v>199</v>
      </c>
      <c r="T1540" s="581" t="s">
        <v>180</v>
      </c>
      <c r="U1540" s="582">
        <f>265+175</f>
        <v>440</v>
      </c>
      <c r="V1540" s="583" t="str">
        <f t="shared" si="805"/>
        <v>g</v>
      </c>
      <c r="W1540" s="584">
        <f t="shared" si="806"/>
        <v>572</v>
      </c>
      <c r="X1540" s="584">
        <f t="shared" si="807"/>
        <v>11.880000000000003</v>
      </c>
      <c r="Y1540" s="584">
        <f t="shared" si="808"/>
        <v>1.32</v>
      </c>
      <c r="Z1540" s="584">
        <f t="shared" si="809"/>
        <v>123.20000000000002</v>
      </c>
      <c r="AA1540" s="584">
        <f t="shared" si="810"/>
        <v>1.7600000000000002</v>
      </c>
      <c r="AB1540" s="584">
        <f t="shared" si="811"/>
        <v>0</v>
      </c>
      <c r="AC1540" s="581"/>
    </row>
    <row r="1541" spans="17:29">
      <c r="Q1541" s="579">
        <v>46125</v>
      </c>
      <c r="R1541" s="580">
        <v>0.95833333333333337</v>
      </c>
      <c r="S1541" s="581" t="s">
        <v>289</v>
      </c>
      <c r="T1541" s="581" t="s">
        <v>468</v>
      </c>
      <c r="U1541" s="582">
        <v>2</v>
      </c>
      <c r="V1541" s="583" t="str">
        <f t="shared" si="805"/>
        <v>apple</v>
      </c>
      <c r="W1541" s="584">
        <f t="shared" si="806"/>
        <v>190</v>
      </c>
      <c r="X1541" s="584">
        <f t="shared" si="807"/>
        <v>1</v>
      </c>
      <c r="Y1541" s="584">
        <f t="shared" si="808"/>
        <v>0.6</v>
      </c>
      <c r="Z1541" s="584">
        <f t="shared" si="809"/>
        <v>50</v>
      </c>
      <c r="AA1541" s="584">
        <f t="shared" si="810"/>
        <v>8</v>
      </c>
      <c r="AB1541" s="584">
        <f t="shared" si="811"/>
        <v>0</v>
      </c>
      <c r="AC1541" s="581"/>
    </row>
    <row r="1542" spans="17:29">
      <c r="Q1542" s="579">
        <v>46125</v>
      </c>
      <c r="R1542" s="580">
        <v>0.95833333333333337</v>
      </c>
      <c r="S1542" s="581" t="s">
        <v>289</v>
      </c>
      <c r="T1542" s="581" t="s">
        <v>209</v>
      </c>
      <c r="U1542" s="582">
        <v>4</v>
      </c>
      <c r="V1542" s="583" t="str">
        <f t="shared" si="805"/>
        <v>tbsp</v>
      </c>
      <c r="W1542" s="584">
        <f t="shared" si="806"/>
        <v>80</v>
      </c>
      <c r="X1542" s="584">
        <f t="shared" si="807"/>
        <v>0</v>
      </c>
      <c r="Y1542" s="584">
        <f t="shared" si="808"/>
        <v>0</v>
      </c>
      <c r="Z1542" s="584">
        <f t="shared" si="809"/>
        <v>20</v>
      </c>
      <c r="AA1542" s="584">
        <f t="shared" si="810"/>
        <v>18</v>
      </c>
      <c r="AB1542" s="584">
        <f t="shared" si="811"/>
        <v>0</v>
      </c>
      <c r="AC1542" s="581"/>
    </row>
    <row r="1543" spans="17:29">
      <c r="Q1543" s="579">
        <v>46125</v>
      </c>
      <c r="R1543" s="580">
        <v>0.95833333333333337</v>
      </c>
      <c r="S1543" s="581" t="s">
        <v>289</v>
      </c>
      <c r="T1543" s="581" t="s">
        <v>1076</v>
      </c>
      <c r="U1543" s="582">
        <v>1</v>
      </c>
      <c r="V1543" s="583" t="str">
        <f t="shared" si="805"/>
        <v>pounch</v>
      </c>
      <c r="W1543" s="584">
        <f t="shared" si="806"/>
        <v>45</v>
      </c>
      <c r="X1543" s="584">
        <f t="shared" si="807"/>
        <v>0</v>
      </c>
      <c r="Y1543" s="584">
        <f t="shared" si="808"/>
        <v>0</v>
      </c>
      <c r="Z1543" s="584">
        <f t="shared" si="809"/>
        <v>11</v>
      </c>
      <c r="AA1543" s="584">
        <f t="shared" si="810"/>
        <v>0</v>
      </c>
      <c r="AB1543" s="584">
        <f t="shared" si="811"/>
        <v>0</v>
      </c>
      <c r="AC1543" s="581"/>
    </row>
    <row r="1544" spans="17:29">
      <c r="Q1544" s="585"/>
      <c r="R1544" s="586" t="s">
        <v>217</v>
      </c>
      <c r="S1544" s="587"/>
      <c r="T1544" s="588"/>
      <c r="U1544" s="588"/>
      <c r="V1544" s="589"/>
      <c r="W1544" s="590">
        <f t="shared" ref="W1544:AB1544" si="812">SUM(W1529:W1543)</f>
        <v>2798.2857142857142</v>
      </c>
      <c r="X1544" s="590">
        <f t="shared" si="812"/>
        <v>159.9752380952381</v>
      </c>
      <c r="Y1544" s="590">
        <f t="shared" si="812"/>
        <v>63.481904761904758</v>
      </c>
      <c r="Z1544" s="590">
        <f t="shared" si="812"/>
        <v>389.43809523809523</v>
      </c>
      <c r="AA1544" s="688">
        <f t="shared" si="812"/>
        <v>39.4647619047619</v>
      </c>
      <c r="AB1544" s="691">
        <f t="shared" si="812"/>
        <v>0</v>
      </c>
      <c r="AC1544" s="586"/>
    </row>
    <row r="1545" spans="17:29">
      <c r="Q1545" s="585"/>
      <c r="R1545" s="586" t="s">
        <v>220</v>
      </c>
      <c r="S1545" s="587"/>
      <c r="T1545" s="588"/>
      <c r="U1545" s="588"/>
      <c r="V1545" s="589"/>
      <c r="W1545" s="591">
        <f>$B$27</f>
        <v>2834.5625</v>
      </c>
      <c r="X1545" s="591">
        <f>$B$29</f>
        <v>154</v>
      </c>
      <c r="Y1545" s="591">
        <f>$B$30</f>
        <v>63.91</v>
      </c>
      <c r="Z1545" s="591">
        <f>$B$31</f>
        <v>410.84312499999999</v>
      </c>
      <c r="AA1545" s="642">
        <f>$B$32</f>
        <v>39.683875</v>
      </c>
      <c r="AB1545" s="695">
        <f>$B$39</f>
        <v>500</v>
      </c>
      <c r="AC1545" s="586"/>
    </row>
    <row r="1546" spans="17:29">
      <c r="Q1546" s="585"/>
      <c r="R1546" s="586" t="s">
        <v>222</v>
      </c>
      <c r="S1546" s="587"/>
      <c r="T1546" s="588"/>
      <c r="U1546" s="588"/>
      <c r="V1546" s="589"/>
      <c r="W1546" s="284">
        <f t="shared" ref="W1546:AB1546" si="813">W1544-W1545</f>
        <v>-36.276785714285779</v>
      </c>
      <c r="X1546" s="284">
        <f t="shared" si="813"/>
        <v>5.9752380952380975</v>
      </c>
      <c r="Y1546" s="284">
        <f t="shared" si="813"/>
        <v>-0.42809523809523853</v>
      </c>
      <c r="Z1546" s="284">
        <f t="shared" si="813"/>
        <v>-21.405029761904757</v>
      </c>
      <c r="AA1546" s="690">
        <f t="shared" si="813"/>
        <v>-0.21911309523810019</v>
      </c>
      <c r="AB1546" s="689">
        <f t="shared" si="813"/>
        <v>-500</v>
      </c>
      <c r="AC1546" s="586"/>
    </row>
    <row r="1547" spans="17:29">
      <c r="Q1547" s="579">
        <v>46126</v>
      </c>
      <c r="R1547" s="580">
        <v>0.41666666666666669</v>
      </c>
      <c r="S1547" s="581" t="s">
        <v>178</v>
      </c>
      <c r="T1547" s="581" t="s">
        <v>202</v>
      </c>
      <c r="U1547" s="582">
        <f>1/3</f>
        <v>0.33333333333333331</v>
      </c>
      <c r="V1547" s="583" t="str">
        <f t="shared" ref="V1547:V1556" si="814">IFERROR(VLOOKUP(T1547, $E$5:$L$818, 3, FALSE), "")</f>
        <v>tbsp</v>
      </c>
      <c r="W1547" s="584">
        <f t="shared" ref="W1547:W1556" si="815">IFERROR(VLOOKUP(T1547, $E$5:$L$818, 4, FALSE) * (U1547 / VLOOKUP(T1547, $E$5:$L$818, 2, FALSE)), "")</f>
        <v>20</v>
      </c>
      <c r="X1547" s="584">
        <f t="shared" ref="X1547:X1556" si="816">IFERROR(VLOOKUP(T1547, $E$5:$L$818, 5, FALSE) * (U1547 / VLOOKUP(T1547, $E$5:$L$818, 2, FALSE)), "")</f>
        <v>0.66666666666666663</v>
      </c>
      <c r="Y1547" s="584">
        <f t="shared" ref="Y1547:Y1556" si="817">IFERROR(VLOOKUP(T1547, $E$5:$L$818, 6, FALSE) * (U1547 / VLOOKUP(T1547, $E$5:$L$818, 2, FALSE)), "")</f>
        <v>1.3333333333333333</v>
      </c>
      <c r="Z1547" s="584">
        <f t="shared" ref="Z1547:Z1556" si="818">IFERROR(VLOOKUP(T1547, $E$5:$L$818, 7, FALSE) * (U1547 / VLOOKUP(T1547, $E$5:$L$818, 2, FALSE)), "")</f>
        <v>1.6666666666666665</v>
      </c>
      <c r="AA1547" s="584">
        <f t="shared" ref="AA1547:AA1556" si="819">IFERROR(VLOOKUP(T1547, $E$5:$L$818, 8, FALSE) * (U1547 / VLOOKUP(T1547, $E$5:$L$818, 2, FALSE)), "")</f>
        <v>1.3333333333333333</v>
      </c>
      <c r="AB1547" s="674">
        <f>IFERROR(VLOOKUP(T1547, $E$5:$O$818, 9, FALSE) * (U1547 / VLOOKUP(T1547, $E$5:$O$818, 2, FALSE)), "")</f>
        <v>0</v>
      </c>
      <c r="AC1547" s="581"/>
    </row>
    <row r="1548" spans="17:29">
      <c r="Q1548" s="579">
        <v>46126</v>
      </c>
      <c r="R1548" s="580">
        <v>0.41666666666666669</v>
      </c>
      <c r="S1548" s="581" t="s">
        <v>178</v>
      </c>
      <c r="T1548" s="581" t="s">
        <v>899</v>
      </c>
      <c r="U1548" s="582">
        <v>50</v>
      </c>
      <c r="V1548" s="583" t="str">
        <f t="shared" si="814"/>
        <v>g</v>
      </c>
      <c r="W1548" s="584">
        <f t="shared" si="815"/>
        <v>210</v>
      </c>
      <c r="X1548" s="584">
        <f t="shared" si="816"/>
        <v>6</v>
      </c>
      <c r="Y1548" s="584">
        <f t="shared" si="817"/>
        <v>5</v>
      </c>
      <c r="Z1548" s="584">
        <f t="shared" si="818"/>
        <v>35</v>
      </c>
      <c r="AA1548" s="584">
        <f t="shared" si="819"/>
        <v>4</v>
      </c>
      <c r="AB1548" s="584">
        <f>IFERROR(VLOOKUP(T1548, $E$5:$O$818, 9, FALSE) * (U1548 / VLOOKUP(T1548, $E$5:$O$818, 2, FALSE)), "")</f>
        <v>0</v>
      </c>
      <c r="AC1548" s="581"/>
    </row>
    <row r="1549" spans="17:29">
      <c r="Q1549" s="579">
        <v>46126</v>
      </c>
      <c r="R1549" s="580">
        <v>0.41666666666666669</v>
      </c>
      <c r="S1549" s="581" t="s">
        <v>178</v>
      </c>
      <c r="T1549" s="581" t="s">
        <v>918</v>
      </c>
      <c r="U1549" s="582">
        <v>50</v>
      </c>
      <c r="V1549" s="583" t="str">
        <f t="shared" si="814"/>
        <v>g</v>
      </c>
      <c r="W1549" s="584">
        <f t="shared" si="815"/>
        <v>53.333333333333329</v>
      </c>
      <c r="X1549" s="584">
        <f t="shared" si="816"/>
        <v>2.333333333333333</v>
      </c>
      <c r="Y1549" s="584">
        <f t="shared" si="817"/>
        <v>3.6666666666666665</v>
      </c>
      <c r="Z1549" s="584">
        <f t="shared" si="818"/>
        <v>2.6666666666666665</v>
      </c>
      <c r="AA1549" s="584">
        <f t="shared" si="819"/>
        <v>0</v>
      </c>
      <c r="AB1549" s="584">
        <f>IFERROR(VLOOKUP(T1549, $E$5:$O$818, 9, FALSE) * (U1549 / VLOOKUP(T1549, $E$5:$O$818, 2, FALSE)), "")</f>
        <v>0</v>
      </c>
      <c r="AC1549" s="581"/>
    </row>
    <row r="1550" spans="17:29">
      <c r="Q1550" s="579">
        <v>46126</v>
      </c>
      <c r="R1550" s="580">
        <v>0.54166666666666663</v>
      </c>
      <c r="S1550" s="581" t="s">
        <v>185</v>
      </c>
      <c r="T1550" s="581" t="s">
        <v>176</v>
      </c>
      <c r="U1550" s="582">
        <v>200</v>
      </c>
      <c r="V1550" s="583" t="str">
        <f t="shared" si="814"/>
        <v>g</v>
      </c>
      <c r="W1550" s="584">
        <f t="shared" si="815"/>
        <v>330</v>
      </c>
      <c r="X1550" s="584">
        <f t="shared" si="816"/>
        <v>50</v>
      </c>
      <c r="Y1550" s="584">
        <f t="shared" si="817"/>
        <v>7.2</v>
      </c>
      <c r="Z1550" s="584">
        <f t="shared" si="818"/>
        <v>0</v>
      </c>
      <c r="AA1550" s="584">
        <f t="shared" si="819"/>
        <v>0</v>
      </c>
      <c r="AB1550" s="584"/>
      <c r="AC1550" s="581"/>
    </row>
    <row r="1551" spans="17:29">
      <c r="Q1551" s="579">
        <v>46126</v>
      </c>
      <c r="R1551" s="580">
        <v>0.54166666666666663</v>
      </c>
      <c r="S1551" s="581" t="s">
        <v>185</v>
      </c>
      <c r="T1551" s="581" t="s">
        <v>180</v>
      </c>
      <c r="U1551" s="582">
        <v>200</v>
      </c>
      <c r="V1551" s="583" t="str">
        <f t="shared" si="814"/>
        <v>g</v>
      </c>
      <c r="W1551" s="584">
        <f t="shared" si="815"/>
        <v>260</v>
      </c>
      <c r="X1551" s="584">
        <f t="shared" si="816"/>
        <v>5.4</v>
      </c>
      <c r="Y1551" s="584">
        <f t="shared" si="817"/>
        <v>0.6</v>
      </c>
      <c r="Z1551" s="584">
        <f t="shared" si="818"/>
        <v>56</v>
      </c>
      <c r="AA1551" s="584">
        <f t="shared" si="819"/>
        <v>0.8</v>
      </c>
      <c r="AB1551" s="584"/>
      <c r="AC1551" s="581"/>
    </row>
    <row r="1552" spans="17:29">
      <c r="Q1552" s="579">
        <v>46126</v>
      </c>
      <c r="R1552" s="580">
        <v>0.83333333333333337</v>
      </c>
      <c r="S1552" s="581" t="s">
        <v>199</v>
      </c>
      <c r="T1552" s="581" t="s">
        <v>176</v>
      </c>
      <c r="U1552" s="582">
        <v>200</v>
      </c>
      <c r="V1552" s="583" t="str">
        <f t="shared" si="814"/>
        <v>g</v>
      </c>
      <c r="W1552" s="584">
        <f t="shared" si="815"/>
        <v>330</v>
      </c>
      <c r="X1552" s="584">
        <f t="shared" si="816"/>
        <v>50</v>
      </c>
      <c r="Y1552" s="584">
        <f t="shared" si="817"/>
        <v>7.2</v>
      </c>
      <c r="Z1552" s="584">
        <f t="shared" si="818"/>
        <v>0</v>
      </c>
      <c r="AA1552" s="584">
        <f t="shared" si="819"/>
        <v>0</v>
      </c>
      <c r="AB1552" s="584"/>
      <c r="AC1552" s="581"/>
    </row>
    <row r="1553" spans="17:29">
      <c r="Q1553" s="579">
        <v>46126</v>
      </c>
      <c r="R1553" s="580">
        <v>0.83333333333333337</v>
      </c>
      <c r="S1553" s="581" t="s">
        <v>199</v>
      </c>
      <c r="T1553" s="581" t="s">
        <v>180</v>
      </c>
      <c r="U1553" s="582">
        <v>200</v>
      </c>
      <c r="V1553" s="583" t="str">
        <f t="shared" si="814"/>
        <v>g</v>
      </c>
      <c r="W1553" s="584">
        <f t="shared" si="815"/>
        <v>260</v>
      </c>
      <c r="X1553" s="584">
        <f t="shared" si="816"/>
        <v>5.4</v>
      </c>
      <c r="Y1553" s="584">
        <f t="shared" si="817"/>
        <v>0.6</v>
      </c>
      <c r="Z1553" s="584">
        <f t="shared" si="818"/>
        <v>56</v>
      </c>
      <c r="AA1553" s="584">
        <f t="shared" si="819"/>
        <v>0.8</v>
      </c>
      <c r="AB1553" s="584"/>
      <c r="AC1553" s="581"/>
    </row>
    <row r="1554" spans="17:29">
      <c r="Q1554" s="579">
        <v>46126</v>
      </c>
      <c r="R1554" s="580">
        <v>0.95833333333333337</v>
      </c>
      <c r="S1554" s="581" t="s">
        <v>289</v>
      </c>
      <c r="T1554" s="581" t="s">
        <v>295</v>
      </c>
      <c r="U1554" s="582">
        <v>1</v>
      </c>
      <c r="V1554" s="583" t="str">
        <f t="shared" si="814"/>
        <v>bottle</v>
      </c>
      <c r="W1554" s="584">
        <f t="shared" si="815"/>
        <v>200</v>
      </c>
      <c r="X1554" s="584">
        <f t="shared" si="816"/>
        <v>35</v>
      </c>
      <c r="Y1554" s="584">
        <f t="shared" si="817"/>
        <v>2.5</v>
      </c>
      <c r="Z1554" s="584">
        <f t="shared" si="818"/>
        <v>9</v>
      </c>
      <c r="AA1554" s="584">
        <f t="shared" si="819"/>
        <v>0</v>
      </c>
      <c r="AB1554" s="584">
        <f>IFERROR(VLOOKUP(T1554, $E$5:$O$818, 9, FALSE) * (U1554 / VLOOKUP(T1554, $E$5:$O$818, 2, FALSE)), "")</f>
        <v>0</v>
      </c>
      <c r="AC1554" s="581"/>
    </row>
    <row r="1555" spans="17:29">
      <c r="Q1555" s="579">
        <v>46126</v>
      </c>
      <c r="R1555" s="580">
        <v>1</v>
      </c>
      <c r="S1555" s="581" t="s">
        <v>289</v>
      </c>
      <c r="T1555" s="581" t="s">
        <v>786</v>
      </c>
      <c r="U1555" s="582">
        <v>1</v>
      </c>
      <c r="V1555" s="583" t="str">
        <f t="shared" si="814"/>
        <v>bottle</v>
      </c>
      <c r="W1555" s="584">
        <f t="shared" si="815"/>
        <v>90</v>
      </c>
      <c r="X1555" s="584">
        <f t="shared" si="816"/>
        <v>0</v>
      </c>
      <c r="Y1555" s="584">
        <f t="shared" si="817"/>
        <v>0</v>
      </c>
      <c r="Z1555" s="584">
        <f t="shared" si="818"/>
        <v>22</v>
      </c>
      <c r="AA1555" s="584">
        <f t="shared" si="819"/>
        <v>0</v>
      </c>
      <c r="AB1555" s="584">
        <f>IFERROR(VLOOKUP(T1555, $E$5:$O$818, 9, FALSE) * (U1555 / VLOOKUP(T1555, $E$5:$O$818, 2, FALSE)), "")</f>
        <v>0</v>
      </c>
      <c r="AC1555" s="581"/>
    </row>
    <row r="1556" spans="17:29">
      <c r="Q1556" s="579">
        <v>46126</v>
      </c>
      <c r="R1556" s="580">
        <v>1</v>
      </c>
      <c r="S1556" s="581" t="s">
        <v>289</v>
      </c>
      <c r="T1556" s="581" t="s">
        <v>209</v>
      </c>
      <c r="U1556" s="582">
        <v>8</v>
      </c>
      <c r="V1556" s="583" t="str">
        <f t="shared" si="814"/>
        <v>tbsp</v>
      </c>
      <c r="W1556" s="584">
        <f t="shared" si="815"/>
        <v>160</v>
      </c>
      <c r="X1556" s="584">
        <f t="shared" si="816"/>
        <v>0</v>
      </c>
      <c r="Y1556" s="584">
        <f t="shared" si="817"/>
        <v>0</v>
      </c>
      <c r="Z1556" s="584">
        <f t="shared" si="818"/>
        <v>40</v>
      </c>
      <c r="AA1556" s="584">
        <f t="shared" si="819"/>
        <v>36</v>
      </c>
      <c r="AB1556" s="584">
        <f>IFERROR(VLOOKUP(T1556, $E$5:$O$818, 9, FALSE) * (U1556 / VLOOKUP(T1556, $E$5:$O$818, 2, FALSE)), "")</f>
        <v>0</v>
      </c>
      <c r="AC1556" s="581"/>
    </row>
    <row r="1557" spans="17:29">
      <c r="Q1557" s="585"/>
      <c r="R1557" s="586" t="s">
        <v>217</v>
      </c>
      <c r="S1557" s="587"/>
      <c r="T1557" s="588"/>
      <c r="U1557" s="588"/>
      <c r="V1557" s="589"/>
      <c r="W1557" s="590">
        <f t="shared" ref="W1557:AB1557" si="820">SUM(W1547:W1556)</f>
        <v>1913.3333333333333</v>
      </c>
      <c r="X1557" s="590">
        <f t="shared" si="820"/>
        <v>154.80000000000001</v>
      </c>
      <c r="Y1557" s="590">
        <f t="shared" si="820"/>
        <v>28.1</v>
      </c>
      <c r="Z1557" s="590">
        <f t="shared" si="820"/>
        <v>222.33333333333331</v>
      </c>
      <c r="AA1557" s="688">
        <f t="shared" si="820"/>
        <v>42.93333333333333</v>
      </c>
      <c r="AB1557" s="691">
        <f t="shared" si="820"/>
        <v>0</v>
      </c>
      <c r="AC1557" s="586"/>
    </row>
    <row r="1558" spans="17:29">
      <c r="Q1558" s="585"/>
      <c r="R1558" s="586" t="s">
        <v>220</v>
      </c>
      <c r="S1558" s="587"/>
      <c r="T1558" s="588"/>
      <c r="U1558" s="588"/>
      <c r="V1558" s="589"/>
      <c r="W1558" s="591">
        <f>$B$27</f>
        <v>2834.5625</v>
      </c>
      <c r="X1558" s="591">
        <f>$B$29</f>
        <v>154</v>
      </c>
      <c r="Y1558" s="591">
        <f>$B$30</f>
        <v>63.91</v>
      </c>
      <c r="Z1558" s="591">
        <f>$B$31</f>
        <v>410.84312499999999</v>
      </c>
      <c r="AA1558" s="642">
        <f>$B$32</f>
        <v>39.683875</v>
      </c>
      <c r="AB1558" s="695">
        <f>$B$39</f>
        <v>500</v>
      </c>
      <c r="AC1558" s="586"/>
    </row>
    <row r="1559" spans="17:29">
      <c r="Q1559" s="585"/>
      <c r="R1559" s="586" t="s">
        <v>222</v>
      </c>
      <c r="S1559" s="587"/>
      <c r="T1559" s="588"/>
      <c r="U1559" s="588"/>
      <c r="V1559" s="589"/>
      <c r="W1559" s="284">
        <f t="shared" ref="W1559:AB1559" si="821">W1557-W1558</f>
        <v>-921.22916666666674</v>
      </c>
      <c r="X1559" s="284">
        <f t="shared" si="821"/>
        <v>0.80000000000001137</v>
      </c>
      <c r="Y1559" s="284">
        <f t="shared" si="821"/>
        <v>-35.809999999999995</v>
      </c>
      <c r="Z1559" s="284">
        <f t="shared" si="821"/>
        <v>-188.50979166666667</v>
      </c>
      <c r="AA1559" s="690">
        <f t="shared" si="821"/>
        <v>3.2494583333333296</v>
      </c>
      <c r="AB1559" s="689">
        <f t="shared" si="821"/>
        <v>-500</v>
      </c>
      <c r="AC1559" s="586"/>
    </row>
    <row r="1560" spans="17:29">
      <c r="Q1560" s="579">
        <v>46127</v>
      </c>
      <c r="R1560" s="580">
        <v>0.41666666666666669</v>
      </c>
      <c r="S1560" s="581" t="s">
        <v>178</v>
      </c>
      <c r="T1560" s="581" t="s">
        <v>202</v>
      </c>
      <c r="U1560" s="582">
        <f>1/3</f>
        <v>0.33333333333333331</v>
      </c>
      <c r="V1560" s="583" t="str">
        <f t="shared" ref="V1560:V1574" si="822">IFERROR(VLOOKUP(T1560, $E$5:$L$818, 3, FALSE), "")</f>
        <v>tbsp</v>
      </c>
      <c r="W1560" s="584">
        <f t="shared" ref="W1560:W1574" si="823">IFERROR(VLOOKUP(T1560, $E$5:$L$818, 4, FALSE) * (U1560 / VLOOKUP(T1560, $E$5:$L$818, 2, FALSE)), "")</f>
        <v>20</v>
      </c>
      <c r="X1560" s="584">
        <f t="shared" ref="X1560:X1574" si="824">IFERROR(VLOOKUP(T1560, $E$5:$L$818, 5, FALSE) * (U1560 / VLOOKUP(T1560, $E$5:$L$818, 2, FALSE)), "")</f>
        <v>0.66666666666666663</v>
      </c>
      <c r="Y1560" s="584">
        <f t="shared" ref="Y1560:Y1574" si="825">IFERROR(VLOOKUP(T1560, $E$5:$L$818, 6, FALSE) * (U1560 / VLOOKUP(T1560, $E$5:$L$818, 2, FALSE)), "")</f>
        <v>1.3333333333333333</v>
      </c>
      <c r="Z1560" s="584">
        <f t="shared" ref="Z1560:Z1574" si="826">IFERROR(VLOOKUP(T1560, $E$5:$L$818, 7, FALSE) * (U1560 / VLOOKUP(T1560, $E$5:$L$818, 2, FALSE)), "")</f>
        <v>1.6666666666666665</v>
      </c>
      <c r="AA1560" s="584">
        <f t="shared" ref="AA1560:AA1574" si="827">IFERROR(VLOOKUP(T1560, $E$5:$L$818, 8, FALSE) * (U1560 / VLOOKUP(T1560, $E$5:$L$818, 2, FALSE)), "")</f>
        <v>1.3333333333333333</v>
      </c>
      <c r="AB1560" s="674">
        <f t="shared" ref="AB1560:AB1574" si="828">IFERROR(VLOOKUP(T1560, $E$5:$O$818, 9, FALSE) * (U1560 / VLOOKUP(T1560, $E$5:$O$818, 2, FALSE)), "")</f>
        <v>0</v>
      </c>
      <c r="AC1560" s="581"/>
    </row>
    <row r="1561" spans="17:29">
      <c r="Q1561" s="579">
        <v>46127</v>
      </c>
      <c r="R1561" s="580">
        <v>0.54166666666666663</v>
      </c>
      <c r="S1561" s="581" t="s">
        <v>185</v>
      </c>
      <c r="T1561" s="581" t="s">
        <v>176</v>
      </c>
      <c r="U1561" s="582">
        <v>250</v>
      </c>
      <c r="V1561" s="583" t="str">
        <f t="shared" si="822"/>
        <v>g</v>
      </c>
      <c r="W1561" s="584">
        <f t="shared" si="823"/>
        <v>412.5</v>
      </c>
      <c r="X1561" s="584">
        <f t="shared" si="824"/>
        <v>62.5</v>
      </c>
      <c r="Y1561" s="584">
        <f t="shared" si="825"/>
        <v>9</v>
      </c>
      <c r="Z1561" s="584">
        <f t="shared" si="826"/>
        <v>0</v>
      </c>
      <c r="AA1561" s="584">
        <f t="shared" si="827"/>
        <v>0</v>
      </c>
      <c r="AB1561" s="584">
        <f t="shared" si="828"/>
        <v>0</v>
      </c>
      <c r="AC1561" s="581"/>
    </row>
    <row r="1562" spans="17:29">
      <c r="Q1562" s="579">
        <v>46127</v>
      </c>
      <c r="R1562" s="580">
        <v>0.54166666666666663</v>
      </c>
      <c r="S1562" s="581" t="s">
        <v>185</v>
      </c>
      <c r="T1562" s="581" t="s">
        <v>180</v>
      </c>
      <c r="U1562" s="582">
        <v>300</v>
      </c>
      <c r="V1562" s="583" t="str">
        <f t="shared" si="822"/>
        <v>g</v>
      </c>
      <c r="W1562" s="584">
        <f t="shared" si="823"/>
        <v>390</v>
      </c>
      <c r="X1562" s="584">
        <f t="shared" si="824"/>
        <v>8.1000000000000014</v>
      </c>
      <c r="Y1562" s="584">
        <f t="shared" si="825"/>
        <v>0.89999999999999991</v>
      </c>
      <c r="Z1562" s="584">
        <f t="shared" si="826"/>
        <v>84</v>
      </c>
      <c r="AA1562" s="584">
        <f t="shared" si="827"/>
        <v>1.2000000000000002</v>
      </c>
      <c r="AB1562" s="584">
        <f t="shared" si="828"/>
        <v>0</v>
      </c>
      <c r="AC1562" s="581"/>
    </row>
    <row r="1563" spans="17:29">
      <c r="Q1563" s="579">
        <v>46127</v>
      </c>
      <c r="R1563" s="580">
        <v>0.58333333333333337</v>
      </c>
      <c r="S1563" s="581" t="s">
        <v>289</v>
      </c>
      <c r="T1563" s="581" t="s">
        <v>214</v>
      </c>
      <c r="U1563" s="582">
        <v>2</v>
      </c>
      <c r="V1563" s="583" t="str">
        <f t="shared" si="822"/>
        <v>bar</v>
      </c>
      <c r="W1563" s="584">
        <f t="shared" si="823"/>
        <v>134</v>
      </c>
      <c r="X1563" s="584">
        <f t="shared" si="824"/>
        <v>2</v>
      </c>
      <c r="Y1563" s="584">
        <f t="shared" si="825"/>
        <v>7</v>
      </c>
      <c r="Z1563" s="584">
        <f t="shared" si="826"/>
        <v>44</v>
      </c>
      <c r="AA1563" s="584">
        <f t="shared" si="827"/>
        <v>0.6</v>
      </c>
      <c r="AB1563" s="584">
        <f t="shared" si="828"/>
        <v>0</v>
      </c>
      <c r="AC1563" s="581"/>
    </row>
    <row r="1564" spans="17:29">
      <c r="Q1564" s="579">
        <v>46127</v>
      </c>
      <c r="R1564" s="580">
        <v>0.66666666666666663</v>
      </c>
      <c r="S1564" s="581" t="s">
        <v>289</v>
      </c>
      <c r="T1564" s="581" t="s">
        <v>295</v>
      </c>
      <c r="U1564" s="582">
        <v>1</v>
      </c>
      <c r="V1564" s="583" t="str">
        <f t="shared" si="822"/>
        <v>bottle</v>
      </c>
      <c r="W1564" s="584">
        <f t="shared" si="823"/>
        <v>200</v>
      </c>
      <c r="X1564" s="584">
        <f t="shared" si="824"/>
        <v>35</v>
      </c>
      <c r="Y1564" s="584">
        <f t="shared" si="825"/>
        <v>2.5</v>
      </c>
      <c r="Z1564" s="584">
        <f t="shared" si="826"/>
        <v>9</v>
      </c>
      <c r="AA1564" s="584">
        <f t="shared" si="827"/>
        <v>0</v>
      </c>
      <c r="AB1564" s="584">
        <f t="shared" si="828"/>
        <v>0</v>
      </c>
      <c r="AC1564" s="581"/>
    </row>
    <row r="1565" spans="17:29">
      <c r="Q1565" s="579">
        <v>46127</v>
      </c>
      <c r="R1565" s="580">
        <v>0.70833333333333337</v>
      </c>
      <c r="S1565" s="581" t="s">
        <v>289</v>
      </c>
      <c r="T1565" s="581" t="s">
        <v>214</v>
      </c>
      <c r="U1565" s="582">
        <v>1</v>
      </c>
      <c r="V1565" s="583" t="str">
        <f t="shared" si="822"/>
        <v>bar</v>
      </c>
      <c r="W1565" s="584">
        <f t="shared" si="823"/>
        <v>67</v>
      </c>
      <c r="X1565" s="584">
        <f t="shared" si="824"/>
        <v>1</v>
      </c>
      <c r="Y1565" s="584">
        <f t="shared" si="825"/>
        <v>3.5</v>
      </c>
      <c r="Z1565" s="584">
        <f t="shared" si="826"/>
        <v>22</v>
      </c>
      <c r="AA1565" s="584">
        <f t="shared" si="827"/>
        <v>0.3</v>
      </c>
      <c r="AB1565" s="584">
        <f t="shared" si="828"/>
        <v>0</v>
      </c>
      <c r="AC1565" s="581"/>
    </row>
    <row r="1566" spans="17:29">
      <c r="Q1566" s="579">
        <v>46127</v>
      </c>
      <c r="R1566" s="580">
        <v>0.75</v>
      </c>
      <c r="S1566" s="581" t="s">
        <v>289</v>
      </c>
      <c r="T1566" s="581" t="s">
        <v>181</v>
      </c>
      <c r="U1566" s="582">
        <v>6</v>
      </c>
      <c r="V1566" s="583" t="str">
        <f t="shared" si="822"/>
        <v>slice</v>
      </c>
      <c r="W1566" s="584">
        <f t="shared" si="823"/>
        <v>420</v>
      </c>
      <c r="X1566" s="584">
        <f t="shared" si="824"/>
        <v>15</v>
      </c>
      <c r="Y1566" s="584">
        <f t="shared" si="825"/>
        <v>7.5</v>
      </c>
      <c r="Z1566" s="584">
        <f t="shared" si="826"/>
        <v>72</v>
      </c>
      <c r="AA1566" s="584">
        <f t="shared" si="827"/>
        <v>6</v>
      </c>
      <c r="AB1566" s="584">
        <f t="shared" si="828"/>
        <v>0</v>
      </c>
      <c r="AC1566" s="581"/>
    </row>
    <row r="1567" spans="17:29">
      <c r="Q1567" s="579">
        <v>46127</v>
      </c>
      <c r="R1567" s="580">
        <v>0.75</v>
      </c>
      <c r="S1567" s="581" t="s">
        <v>289</v>
      </c>
      <c r="T1567" s="581" t="s">
        <v>204</v>
      </c>
      <c r="U1567" s="582">
        <v>4</v>
      </c>
      <c r="V1567" s="583" t="str">
        <f t="shared" si="822"/>
        <v>tbsp</v>
      </c>
      <c r="W1567" s="584">
        <f t="shared" si="823"/>
        <v>200</v>
      </c>
      <c r="X1567" s="584">
        <f t="shared" si="824"/>
        <v>4</v>
      </c>
      <c r="Y1567" s="584">
        <f t="shared" si="825"/>
        <v>20</v>
      </c>
      <c r="Z1567" s="584">
        <f t="shared" si="826"/>
        <v>4</v>
      </c>
      <c r="AA1567" s="584">
        <f t="shared" si="827"/>
        <v>0</v>
      </c>
      <c r="AB1567" s="584">
        <f t="shared" si="828"/>
        <v>0</v>
      </c>
      <c r="AC1567" s="581"/>
    </row>
    <row r="1568" spans="17:29">
      <c r="Q1568" s="579">
        <v>46127</v>
      </c>
      <c r="R1568" s="580">
        <v>0.91666666666666663</v>
      </c>
      <c r="S1568" s="581" t="s">
        <v>199</v>
      </c>
      <c r="T1568" s="581" t="s">
        <v>176</v>
      </c>
      <c r="U1568" s="582">
        <v>200</v>
      </c>
      <c r="V1568" s="583" t="str">
        <f t="shared" si="822"/>
        <v>g</v>
      </c>
      <c r="W1568" s="584">
        <f t="shared" si="823"/>
        <v>330</v>
      </c>
      <c r="X1568" s="584">
        <f t="shared" si="824"/>
        <v>50</v>
      </c>
      <c r="Y1568" s="584">
        <f t="shared" si="825"/>
        <v>7.2</v>
      </c>
      <c r="Z1568" s="584">
        <f t="shared" si="826"/>
        <v>0</v>
      </c>
      <c r="AA1568" s="584">
        <f t="shared" si="827"/>
        <v>0</v>
      </c>
      <c r="AB1568" s="584">
        <f t="shared" si="828"/>
        <v>0</v>
      </c>
      <c r="AC1568" s="581"/>
    </row>
    <row r="1569" spans="17:29">
      <c r="Q1569" s="579">
        <v>46127</v>
      </c>
      <c r="R1569" s="580">
        <v>0.91666666666666663</v>
      </c>
      <c r="S1569" s="581" t="s">
        <v>199</v>
      </c>
      <c r="T1569" s="581" t="s">
        <v>180</v>
      </c>
      <c r="U1569" s="582">
        <v>200</v>
      </c>
      <c r="V1569" s="583" t="str">
        <f t="shared" si="822"/>
        <v>g</v>
      </c>
      <c r="W1569" s="584">
        <f t="shared" si="823"/>
        <v>260</v>
      </c>
      <c r="X1569" s="584">
        <f t="shared" si="824"/>
        <v>5.4</v>
      </c>
      <c r="Y1569" s="584">
        <f t="shared" si="825"/>
        <v>0.6</v>
      </c>
      <c r="Z1569" s="584">
        <f t="shared" si="826"/>
        <v>56</v>
      </c>
      <c r="AA1569" s="584">
        <f t="shared" si="827"/>
        <v>0.8</v>
      </c>
      <c r="AB1569" s="584">
        <f t="shared" si="828"/>
        <v>0</v>
      </c>
      <c r="AC1569" s="581"/>
    </row>
    <row r="1570" spans="17:29">
      <c r="Q1570" s="579">
        <v>46127</v>
      </c>
      <c r="R1570" s="580">
        <v>0.91666666666666663</v>
      </c>
      <c r="S1570" s="581" t="s">
        <v>289</v>
      </c>
      <c r="T1570" s="581" t="s">
        <v>190</v>
      </c>
      <c r="U1570" s="582">
        <v>4</v>
      </c>
      <c r="V1570" s="583" t="str">
        <f t="shared" si="822"/>
        <v>medium</v>
      </c>
      <c r="W1570" s="584">
        <f t="shared" si="823"/>
        <v>248</v>
      </c>
      <c r="X1570" s="584">
        <f t="shared" si="824"/>
        <v>4.8</v>
      </c>
      <c r="Y1570" s="584">
        <f t="shared" si="825"/>
        <v>0.8</v>
      </c>
      <c r="Z1570" s="584">
        <f t="shared" si="826"/>
        <v>61.6</v>
      </c>
      <c r="AA1570" s="584">
        <f t="shared" si="827"/>
        <v>12.4</v>
      </c>
      <c r="AB1570" s="584">
        <f t="shared" si="828"/>
        <v>0</v>
      </c>
      <c r="AC1570" s="581"/>
    </row>
    <row r="1571" spans="17:29">
      <c r="Q1571" s="579">
        <v>46127</v>
      </c>
      <c r="R1571" s="580">
        <v>0.95833333333333337</v>
      </c>
      <c r="S1571" s="581" t="s">
        <v>289</v>
      </c>
      <c r="T1571" s="581" t="s">
        <v>1081</v>
      </c>
      <c r="U1571" s="582">
        <v>22</v>
      </c>
      <c r="V1571" s="583" t="str">
        <f t="shared" si="822"/>
        <v>g</v>
      </c>
      <c r="W1571" s="584">
        <f t="shared" si="823"/>
        <v>44</v>
      </c>
      <c r="X1571" s="584">
        <f t="shared" si="824"/>
        <v>0</v>
      </c>
      <c r="Y1571" s="584">
        <f t="shared" si="825"/>
        <v>0</v>
      </c>
      <c r="Z1571" s="584">
        <f t="shared" si="826"/>
        <v>17.600000000000001</v>
      </c>
      <c r="AA1571" s="584">
        <f t="shared" si="827"/>
        <v>17.600000000000001</v>
      </c>
      <c r="AB1571" s="584">
        <f t="shared" si="828"/>
        <v>0</v>
      </c>
      <c r="AC1571" s="581"/>
    </row>
    <row r="1572" spans="17:29">
      <c r="Q1572" s="579">
        <v>46127</v>
      </c>
      <c r="R1572" s="580">
        <v>0.95833333333333337</v>
      </c>
      <c r="S1572" s="581" t="s">
        <v>289</v>
      </c>
      <c r="T1572" s="581" t="s">
        <v>219</v>
      </c>
      <c r="U1572" s="582">
        <v>1</v>
      </c>
      <c r="V1572" s="583" t="str">
        <f t="shared" si="822"/>
        <v>bottle</v>
      </c>
      <c r="W1572" s="584">
        <f t="shared" si="823"/>
        <v>0</v>
      </c>
      <c r="X1572" s="584">
        <f t="shared" si="824"/>
        <v>0</v>
      </c>
      <c r="Y1572" s="584">
        <f t="shared" si="825"/>
        <v>0</v>
      </c>
      <c r="Z1572" s="584">
        <f t="shared" si="826"/>
        <v>0</v>
      </c>
      <c r="AA1572" s="584">
        <f t="shared" si="827"/>
        <v>0</v>
      </c>
      <c r="AB1572" s="584">
        <f t="shared" si="828"/>
        <v>0</v>
      </c>
      <c r="AC1572" s="581"/>
    </row>
    <row r="1573" spans="17:29">
      <c r="Q1573" s="579">
        <v>46127</v>
      </c>
      <c r="R1573" s="580">
        <v>0.95833333333333337</v>
      </c>
      <c r="S1573" s="581" t="s">
        <v>289</v>
      </c>
      <c r="T1573" s="581" t="s">
        <v>847</v>
      </c>
      <c r="U1573" s="582">
        <v>1</v>
      </c>
      <c r="V1573" s="583" t="str">
        <f t="shared" si="822"/>
        <v>can</v>
      </c>
      <c r="W1573" s="584">
        <f t="shared" si="823"/>
        <v>0</v>
      </c>
      <c r="X1573" s="584">
        <f t="shared" si="824"/>
        <v>0</v>
      </c>
      <c r="Y1573" s="584">
        <f t="shared" si="825"/>
        <v>0</v>
      </c>
      <c r="Z1573" s="584">
        <f t="shared" si="826"/>
        <v>0</v>
      </c>
      <c r="AA1573" s="584">
        <f t="shared" si="827"/>
        <v>0</v>
      </c>
      <c r="AB1573" s="584">
        <f t="shared" si="828"/>
        <v>0</v>
      </c>
      <c r="AC1573" s="581"/>
    </row>
    <row r="1574" spans="17:29">
      <c r="Q1574" s="579">
        <v>46127</v>
      </c>
      <c r="R1574" s="580">
        <v>0.95833333333333337</v>
      </c>
      <c r="S1574" s="581" t="s">
        <v>289</v>
      </c>
      <c r="T1574" s="581" t="s">
        <v>461</v>
      </c>
      <c r="U1574" s="582">
        <v>1</v>
      </c>
      <c r="V1574" s="583" t="str">
        <f t="shared" si="822"/>
        <v>chunks</v>
      </c>
      <c r="W1574" s="584">
        <f t="shared" si="823"/>
        <v>24.285714285714285</v>
      </c>
      <c r="X1574" s="584">
        <f t="shared" si="824"/>
        <v>0.42857142857142855</v>
      </c>
      <c r="Y1574" s="584">
        <f t="shared" si="825"/>
        <v>1.4285714285714284</v>
      </c>
      <c r="Z1574" s="584">
        <f t="shared" si="826"/>
        <v>2.5714285714285712</v>
      </c>
      <c r="AA1574" s="584">
        <f t="shared" si="827"/>
        <v>7.1428571428571425E-2</v>
      </c>
      <c r="AB1574" s="584">
        <f t="shared" si="828"/>
        <v>0</v>
      </c>
      <c r="AC1574" s="581"/>
    </row>
    <row r="1575" spans="17:29">
      <c r="Q1575" s="585"/>
      <c r="R1575" s="586" t="s">
        <v>217</v>
      </c>
      <c r="S1575" s="587"/>
      <c r="T1575" s="588"/>
      <c r="U1575" s="588"/>
      <c r="V1575" s="589"/>
      <c r="W1575" s="590">
        <f t="shared" ref="W1575:AB1575" si="829">SUM(W1560:W1574)</f>
        <v>2749.7857142857142</v>
      </c>
      <c r="X1575" s="590">
        <f t="shared" si="829"/>
        <v>188.89523809523808</v>
      </c>
      <c r="Y1575" s="590">
        <f t="shared" si="829"/>
        <v>61.761904761904766</v>
      </c>
      <c r="Z1575" s="590">
        <f t="shared" si="829"/>
        <v>374.43809523809529</v>
      </c>
      <c r="AA1575" s="688">
        <f t="shared" si="829"/>
        <v>40.304761904761904</v>
      </c>
      <c r="AB1575" s="691">
        <f t="shared" si="829"/>
        <v>0</v>
      </c>
      <c r="AC1575" s="586"/>
    </row>
    <row r="1576" spans="17:29">
      <c r="Q1576" s="585"/>
      <c r="R1576" s="586" t="s">
        <v>220</v>
      </c>
      <c r="S1576" s="587"/>
      <c r="T1576" s="588"/>
      <c r="U1576" s="588"/>
      <c r="V1576" s="589"/>
      <c r="W1576" s="591">
        <f>$B$27</f>
        <v>2834.5625</v>
      </c>
      <c r="X1576" s="591">
        <f>$B$29</f>
        <v>154</v>
      </c>
      <c r="Y1576" s="591">
        <f>$B$30</f>
        <v>63.91</v>
      </c>
      <c r="Z1576" s="591">
        <f>$B$31</f>
        <v>410.84312499999999</v>
      </c>
      <c r="AA1576" s="642">
        <f>$B$32</f>
        <v>39.683875</v>
      </c>
      <c r="AB1576" s="695">
        <f>$B$39</f>
        <v>500</v>
      </c>
      <c r="AC1576" s="586"/>
    </row>
    <row r="1577" spans="17:29">
      <c r="Q1577" s="585"/>
      <c r="R1577" s="586" t="s">
        <v>222</v>
      </c>
      <c r="S1577" s="587"/>
      <c r="T1577" s="588"/>
      <c r="U1577" s="588"/>
      <c r="V1577" s="589"/>
      <c r="W1577" s="284">
        <f t="shared" ref="W1577:AB1577" si="830">W1575-W1576</f>
        <v>-84.776785714285779</v>
      </c>
      <c r="X1577" s="284">
        <f t="shared" si="830"/>
        <v>34.895238095238085</v>
      </c>
      <c r="Y1577" s="284">
        <f t="shared" si="830"/>
        <v>-2.1480952380952303</v>
      </c>
      <c r="Z1577" s="284">
        <f t="shared" si="830"/>
        <v>-36.4050297619047</v>
      </c>
      <c r="AA1577" s="690">
        <f t="shared" si="830"/>
        <v>0.62088690476190322</v>
      </c>
      <c r="AB1577" s="689">
        <f t="shared" si="830"/>
        <v>-500</v>
      </c>
      <c r="AC1577" s="586"/>
    </row>
    <row r="1578" spans="17:29">
      <c r="Q1578" s="579">
        <v>46128</v>
      </c>
      <c r="R1578" s="580">
        <v>0.29166666666666669</v>
      </c>
      <c r="S1578" s="581" t="s">
        <v>178</v>
      </c>
      <c r="T1578" s="581" t="s">
        <v>202</v>
      </c>
      <c r="U1578" s="582">
        <f>1/3</f>
        <v>0.33333333333333331</v>
      </c>
      <c r="V1578" s="583" t="str">
        <f t="shared" ref="V1578:V1594" si="831">IFERROR(VLOOKUP(T1578, $E$5:$L$818, 3, FALSE), "")</f>
        <v>tbsp</v>
      </c>
      <c r="W1578" s="584">
        <f t="shared" ref="W1578:W1594" si="832">IFERROR(VLOOKUP(T1578, $E$5:$L$818, 4, FALSE) * (U1578 / VLOOKUP(T1578, $E$5:$L$818, 2, FALSE)), "")</f>
        <v>20</v>
      </c>
      <c r="X1578" s="584">
        <f t="shared" ref="X1578:X1594" si="833">IFERROR(VLOOKUP(T1578, $E$5:$L$818, 5, FALSE) * (U1578 / VLOOKUP(T1578, $E$5:$L$818, 2, FALSE)), "")</f>
        <v>0.66666666666666663</v>
      </c>
      <c r="Y1578" s="584">
        <f t="shared" ref="Y1578:Y1594" si="834">IFERROR(VLOOKUP(T1578, $E$5:$L$818, 6, FALSE) * (U1578 / VLOOKUP(T1578, $E$5:$L$818, 2, FALSE)), "")</f>
        <v>1.3333333333333333</v>
      </c>
      <c r="Z1578" s="584">
        <f t="shared" ref="Z1578:Z1594" si="835">IFERROR(VLOOKUP(T1578, $E$5:$L$818, 7, FALSE) * (U1578 / VLOOKUP(T1578, $E$5:$L$818, 2, FALSE)), "")</f>
        <v>1.6666666666666665</v>
      </c>
      <c r="AA1578" s="584">
        <f t="shared" ref="AA1578:AA1594" si="836">IFERROR(VLOOKUP(T1578, $E$5:$L$818, 8, FALSE) * (U1578 / VLOOKUP(T1578, $E$5:$L$818, 2, FALSE)), "")</f>
        <v>1.3333333333333333</v>
      </c>
      <c r="AB1578" s="674">
        <f t="shared" ref="AB1578:AB1583" si="837">IFERROR(VLOOKUP(T1578, $E$5:$O$818, 9, FALSE) * (U1578 / VLOOKUP(T1578, $E$5:$O$818, 2, FALSE)), "")</f>
        <v>0</v>
      </c>
      <c r="AC1578" s="581"/>
    </row>
    <row r="1579" spans="17:29">
      <c r="Q1579" s="579">
        <v>46128</v>
      </c>
      <c r="R1579" s="580">
        <v>0.33333333333333331</v>
      </c>
      <c r="S1579" s="581" t="s">
        <v>289</v>
      </c>
      <c r="T1579" s="581" t="s">
        <v>181</v>
      </c>
      <c r="U1579" s="582">
        <v>4</v>
      </c>
      <c r="V1579" s="583" t="str">
        <f t="shared" si="831"/>
        <v>slice</v>
      </c>
      <c r="W1579" s="584">
        <f t="shared" si="832"/>
        <v>280</v>
      </c>
      <c r="X1579" s="584">
        <f t="shared" si="833"/>
        <v>10</v>
      </c>
      <c r="Y1579" s="584">
        <f t="shared" si="834"/>
        <v>5</v>
      </c>
      <c r="Z1579" s="584">
        <f t="shared" si="835"/>
        <v>48</v>
      </c>
      <c r="AA1579" s="584">
        <f t="shared" si="836"/>
        <v>4</v>
      </c>
      <c r="AB1579" s="584">
        <f t="shared" si="837"/>
        <v>0</v>
      </c>
      <c r="AC1579" s="581"/>
    </row>
    <row r="1580" spans="17:29">
      <c r="Q1580" s="579">
        <v>46128</v>
      </c>
      <c r="R1580" s="580">
        <v>0.33333333333333331</v>
      </c>
      <c r="S1580" s="581" t="s">
        <v>289</v>
      </c>
      <c r="T1580" s="581" t="s">
        <v>204</v>
      </c>
      <c r="U1580" s="582">
        <v>2</v>
      </c>
      <c r="V1580" s="583" t="str">
        <f t="shared" si="831"/>
        <v>tbsp</v>
      </c>
      <c r="W1580" s="584">
        <f t="shared" si="832"/>
        <v>100</v>
      </c>
      <c r="X1580" s="584">
        <f t="shared" si="833"/>
        <v>2</v>
      </c>
      <c r="Y1580" s="584">
        <f t="shared" si="834"/>
        <v>10</v>
      </c>
      <c r="Z1580" s="584">
        <f t="shared" si="835"/>
        <v>2</v>
      </c>
      <c r="AA1580" s="584">
        <f t="shared" si="836"/>
        <v>0</v>
      </c>
      <c r="AB1580" s="584">
        <f t="shared" si="837"/>
        <v>0</v>
      </c>
      <c r="AC1580" s="581"/>
    </row>
    <row r="1581" spans="17:29">
      <c r="Q1581" s="579">
        <v>46128</v>
      </c>
      <c r="R1581" s="580">
        <v>0.375</v>
      </c>
      <c r="S1581" s="581" t="s">
        <v>289</v>
      </c>
      <c r="T1581" s="581" t="s">
        <v>295</v>
      </c>
      <c r="U1581" s="582">
        <v>1</v>
      </c>
      <c r="V1581" s="583" t="str">
        <f t="shared" si="831"/>
        <v>bottle</v>
      </c>
      <c r="W1581" s="584">
        <f t="shared" si="832"/>
        <v>200</v>
      </c>
      <c r="X1581" s="584">
        <f t="shared" si="833"/>
        <v>35</v>
      </c>
      <c r="Y1581" s="584">
        <f t="shared" si="834"/>
        <v>2.5</v>
      </c>
      <c r="Z1581" s="584">
        <f t="shared" si="835"/>
        <v>9</v>
      </c>
      <c r="AA1581" s="584">
        <f t="shared" si="836"/>
        <v>0</v>
      </c>
      <c r="AB1581" s="584">
        <f t="shared" si="837"/>
        <v>0</v>
      </c>
      <c r="AC1581" s="581"/>
    </row>
    <row r="1582" spans="17:29">
      <c r="Q1582" s="579">
        <v>46128</v>
      </c>
      <c r="R1582" s="580">
        <v>0.41666666666666669</v>
      </c>
      <c r="S1582" s="581" t="s">
        <v>289</v>
      </c>
      <c r="T1582" s="581" t="s">
        <v>464</v>
      </c>
      <c r="U1582" s="582">
        <v>2</v>
      </c>
      <c r="V1582" s="583" t="str">
        <f t="shared" si="831"/>
        <v>lozenge</v>
      </c>
      <c r="W1582" s="584">
        <f t="shared" si="832"/>
        <v>20</v>
      </c>
      <c r="X1582" s="584">
        <f t="shared" si="833"/>
        <v>0</v>
      </c>
      <c r="Y1582" s="584">
        <f t="shared" si="834"/>
        <v>0</v>
      </c>
      <c r="Z1582" s="584">
        <f t="shared" si="835"/>
        <v>6</v>
      </c>
      <c r="AA1582" s="584">
        <f t="shared" si="836"/>
        <v>0</v>
      </c>
      <c r="AB1582" s="584">
        <f t="shared" si="837"/>
        <v>0</v>
      </c>
      <c r="AC1582" s="581"/>
    </row>
    <row r="1583" spans="17:29">
      <c r="Q1583" s="579">
        <v>46128</v>
      </c>
      <c r="R1583" s="580">
        <v>0.45833333333333331</v>
      </c>
      <c r="S1583" s="581" t="s">
        <v>289</v>
      </c>
      <c r="T1583" s="581" t="s">
        <v>190</v>
      </c>
      <c r="U1583" s="582">
        <v>2</v>
      </c>
      <c r="V1583" s="583" t="str">
        <f t="shared" si="831"/>
        <v>medium</v>
      </c>
      <c r="W1583" s="584">
        <f t="shared" si="832"/>
        <v>124</v>
      </c>
      <c r="X1583" s="584">
        <f t="shared" si="833"/>
        <v>2.4</v>
      </c>
      <c r="Y1583" s="584">
        <f t="shared" si="834"/>
        <v>0.4</v>
      </c>
      <c r="Z1583" s="584">
        <f t="shared" si="835"/>
        <v>30.8</v>
      </c>
      <c r="AA1583" s="584">
        <f t="shared" si="836"/>
        <v>6.2</v>
      </c>
      <c r="AB1583" s="584">
        <f t="shared" si="837"/>
        <v>0</v>
      </c>
      <c r="AC1583" s="581"/>
    </row>
    <row r="1584" spans="17:29">
      <c r="Q1584" s="579">
        <v>46128</v>
      </c>
      <c r="R1584" s="580">
        <v>0.54166666666666663</v>
      </c>
      <c r="S1584" s="581" t="s">
        <v>185</v>
      </c>
      <c r="T1584" s="581" t="s">
        <v>176</v>
      </c>
      <c r="U1584" s="582">
        <v>200</v>
      </c>
      <c r="V1584" s="583" t="str">
        <f t="shared" si="831"/>
        <v>g</v>
      </c>
      <c r="W1584" s="584">
        <f t="shared" si="832"/>
        <v>330</v>
      </c>
      <c r="X1584" s="584">
        <f t="shared" si="833"/>
        <v>50</v>
      </c>
      <c r="Y1584" s="584">
        <f t="shared" si="834"/>
        <v>7.2</v>
      </c>
      <c r="Z1584" s="584">
        <f t="shared" si="835"/>
        <v>0</v>
      </c>
      <c r="AA1584" s="584">
        <f t="shared" si="836"/>
        <v>0</v>
      </c>
      <c r="AB1584" s="584">
        <f t="shared" ref="AB1584:AB1590" si="838">IFERROR(VLOOKUP(T1584, $E$5:$O$818, 9, FALSE) * (U1584 / VLOOKUP(T1584, $E$5:$O$818, 2, FALSE)), "")</f>
        <v>0</v>
      </c>
      <c r="AC1584" s="581"/>
    </row>
    <row r="1585" spans="17:29">
      <c r="Q1585" s="579">
        <v>46128</v>
      </c>
      <c r="R1585" s="580">
        <v>0.54166666666666663</v>
      </c>
      <c r="S1585" s="581" t="s">
        <v>185</v>
      </c>
      <c r="T1585" s="581" t="s">
        <v>180</v>
      </c>
      <c r="U1585" s="582">
        <v>250</v>
      </c>
      <c r="V1585" s="583" t="str">
        <f t="shared" si="831"/>
        <v>g</v>
      </c>
      <c r="W1585" s="584">
        <f t="shared" si="832"/>
        <v>325</v>
      </c>
      <c r="X1585" s="584">
        <f t="shared" si="833"/>
        <v>6.75</v>
      </c>
      <c r="Y1585" s="584">
        <f t="shared" si="834"/>
        <v>0.75</v>
      </c>
      <c r="Z1585" s="584">
        <f t="shared" si="835"/>
        <v>70</v>
      </c>
      <c r="AA1585" s="584">
        <f t="shared" si="836"/>
        <v>1</v>
      </c>
      <c r="AB1585" s="584">
        <f t="shared" si="838"/>
        <v>0</v>
      </c>
      <c r="AC1585" s="581"/>
    </row>
    <row r="1586" spans="17:29">
      <c r="Q1586" s="579">
        <v>46128</v>
      </c>
      <c r="R1586" s="580">
        <v>0.58333333333333337</v>
      </c>
      <c r="S1586" s="581" t="s">
        <v>289</v>
      </c>
      <c r="T1586" s="581" t="s">
        <v>461</v>
      </c>
      <c r="U1586" s="582">
        <v>2</v>
      </c>
      <c r="V1586" s="583" t="str">
        <f t="shared" si="831"/>
        <v>chunks</v>
      </c>
      <c r="W1586" s="584">
        <f t="shared" si="832"/>
        <v>48.571428571428569</v>
      </c>
      <c r="X1586" s="584">
        <f t="shared" si="833"/>
        <v>0.8571428571428571</v>
      </c>
      <c r="Y1586" s="584">
        <f t="shared" si="834"/>
        <v>2.8571428571428568</v>
      </c>
      <c r="Z1586" s="584">
        <f t="shared" si="835"/>
        <v>5.1428571428571423</v>
      </c>
      <c r="AA1586" s="584">
        <f t="shared" si="836"/>
        <v>0.14285714285714285</v>
      </c>
      <c r="AB1586" s="584">
        <f t="shared" si="838"/>
        <v>0</v>
      </c>
      <c r="AC1586" s="581"/>
    </row>
    <row r="1587" spans="17:29">
      <c r="Q1587" s="579">
        <v>46128</v>
      </c>
      <c r="R1587" s="580">
        <v>0.58333333333333337</v>
      </c>
      <c r="S1587" s="581" t="s">
        <v>289</v>
      </c>
      <c r="T1587" s="581" t="s">
        <v>464</v>
      </c>
      <c r="U1587" s="582">
        <v>1</v>
      </c>
      <c r="V1587" s="583" t="str">
        <f t="shared" si="831"/>
        <v>lozenge</v>
      </c>
      <c r="W1587" s="584">
        <f t="shared" si="832"/>
        <v>10</v>
      </c>
      <c r="X1587" s="584">
        <f t="shared" si="833"/>
        <v>0</v>
      </c>
      <c r="Y1587" s="584">
        <f t="shared" si="834"/>
        <v>0</v>
      </c>
      <c r="Z1587" s="584">
        <f t="shared" si="835"/>
        <v>3</v>
      </c>
      <c r="AA1587" s="584">
        <f t="shared" si="836"/>
        <v>0</v>
      </c>
      <c r="AB1587" s="584">
        <f t="shared" si="838"/>
        <v>0</v>
      </c>
      <c r="AC1587" s="581"/>
    </row>
    <row r="1588" spans="17:29">
      <c r="Q1588" s="579">
        <v>46128</v>
      </c>
      <c r="R1588" s="580">
        <v>0.58333333333333337</v>
      </c>
      <c r="S1588" s="581" t="s">
        <v>289</v>
      </c>
      <c r="T1588" s="581" t="s">
        <v>423</v>
      </c>
      <c r="U1588" s="582">
        <v>2</v>
      </c>
      <c r="V1588" s="583" t="str">
        <f t="shared" si="831"/>
        <v>pieces</v>
      </c>
      <c r="W1588" s="584">
        <f t="shared" si="832"/>
        <v>15</v>
      </c>
      <c r="X1588" s="584">
        <f t="shared" si="833"/>
        <v>0</v>
      </c>
      <c r="Y1588" s="584">
        <f t="shared" si="834"/>
        <v>0</v>
      </c>
      <c r="Z1588" s="584">
        <f t="shared" si="835"/>
        <v>3</v>
      </c>
      <c r="AA1588" s="584">
        <f t="shared" si="836"/>
        <v>0</v>
      </c>
      <c r="AB1588" s="584">
        <f t="shared" si="838"/>
        <v>0</v>
      </c>
      <c r="AC1588" s="581"/>
    </row>
    <row r="1589" spans="17:29">
      <c r="Q1589" s="579">
        <v>46128</v>
      </c>
      <c r="R1589" s="580">
        <v>0.70833333333333337</v>
      </c>
      <c r="S1589" s="581" t="s">
        <v>289</v>
      </c>
      <c r="T1589" s="581" t="s">
        <v>190</v>
      </c>
      <c r="U1589" s="582">
        <v>2</v>
      </c>
      <c r="V1589" s="583" t="str">
        <f t="shared" si="831"/>
        <v>medium</v>
      </c>
      <c r="W1589" s="584">
        <f t="shared" si="832"/>
        <v>124</v>
      </c>
      <c r="X1589" s="584">
        <f t="shared" si="833"/>
        <v>2.4</v>
      </c>
      <c r="Y1589" s="584">
        <f t="shared" si="834"/>
        <v>0.4</v>
      </c>
      <c r="Z1589" s="584">
        <f t="shared" si="835"/>
        <v>30.8</v>
      </c>
      <c r="AA1589" s="584">
        <f t="shared" si="836"/>
        <v>6.2</v>
      </c>
      <c r="AB1589" s="584">
        <f t="shared" si="838"/>
        <v>0</v>
      </c>
      <c r="AC1589" s="581"/>
    </row>
    <row r="1590" spans="17:29">
      <c r="Q1590" s="579">
        <v>46128</v>
      </c>
      <c r="R1590" s="580">
        <v>0.83333333333333337</v>
      </c>
      <c r="S1590" s="581" t="s">
        <v>199</v>
      </c>
      <c r="T1590" s="581" t="s">
        <v>234</v>
      </c>
      <c r="U1590" s="582">
        <v>1</v>
      </c>
      <c r="V1590" s="583" t="str">
        <f t="shared" si="831"/>
        <v>can</v>
      </c>
      <c r="W1590" s="584">
        <f t="shared" si="832"/>
        <v>260</v>
      </c>
      <c r="X1590" s="584">
        <f t="shared" si="833"/>
        <v>30</v>
      </c>
      <c r="Y1590" s="584">
        <f t="shared" si="834"/>
        <v>16</v>
      </c>
      <c r="Z1590" s="584">
        <f t="shared" si="835"/>
        <v>2</v>
      </c>
      <c r="AA1590" s="584">
        <f t="shared" si="836"/>
        <v>0</v>
      </c>
      <c r="AB1590" s="584">
        <f t="shared" si="838"/>
        <v>1300</v>
      </c>
      <c r="AC1590" s="581"/>
    </row>
    <row r="1591" spans="17:29">
      <c r="Q1591" s="579">
        <v>46128</v>
      </c>
      <c r="R1591" s="580">
        <v>0.83333333333333337</v>
      </c>
      <c r="S1591" s="581" t="s">
        <v>199</v>
      </c>
      <c r="T1591" s="581" t="s">
        <v>176</v>
      </c>
      <c r="U1591" s="582">
        <v>100</v>
      </c>
      <c r="V1591" s="583" t="str">
        <f t="shared" si="831"/>
        <v>g</v>
      </c>
      <c r="W1591" s="584">
        <f t="shared" si="832"/>
        <v>165</v>
      </c>
      <c r="X1591" s="584">
        <f t="shared" si="833"/>
        <v>25</v>
      </c>
      <c r="Y1591" s="584">
        <f t="shared" si="834"/>
        <v>3.6</v>
      </c>
      <c r="Z1591" s="584">
        <f t="shared" si="835"/>
        <v>0</v>
      </c>
      <c r="AA1591" s="584">
        <f t="shared" si="836"/>
        <v>0</v>
      </c>
      <c r="AB1591" s="584">
        <f t="shared" ref="AB1591:AB1593" si="839">IFERROR(VLOOKUP(T1591, $E$5:$O$818, 9, FALSE) * (U1591 / VLOOKUP(T1591, $E$5:$O$818, 2, FALSE)), "")</f>
        <v>0</v>
      </c>
      <c r="AC1591" s="581"/>
    </row>
    <row r="1592" spans="17:29">
      <c r="Q1592" s="579">
        <v>46128</v>
      </c>
      <c r="R1592" s="580">
        <v>0.875</v>
      </c>
      <c r="S1592" s="581" t="s">
        <v>289</v>
      </c>
      <c r="T1592" s="581" t="s">
        <v>484</v>
      </c>
      <c r="U1592" s="582">
        <v>300</v>
      </c>
      <c r="V1592" s="583" t="str">
        <f t="shared" si="831"/>
        <v>g</v>
      </c>
      <c r="W1592" s="584">
        <f t="shared" si="832"/>
        <v>279</v>
      </c>
      <c r="X1592" s="584">
        <f t="shared" si="833"/>
        <v>7.5</v>
      </c>
      <c r="Y1592" s="584">
        <f t="shared" si="834"/>
        <v>0.60000000000000009</v>
      </c>
      <c r="Z1592" s="584">
        <f t="shared" si="835"/>
        <v>63</v>
      </c>
      <c r="AA1592" s="584">
        <f t="shared" si="836"/>
        <v>7.8000000000000007</v>
      </c>
      <c r="AB1592" s="584">
        <f t="shared" si="839"/>
        <v>0</v>
      </c>
      <c r="AC1592" s="581"/>
    </row>
    <row r="1593" spans="17:29">
      <c r="Q1593" s="579">
        <v>46128</v>
      </c>
      <c r="R1593" s="580">
        <v>0.875</v>
      </c>
      <c r="S1593" s="581" t="s">
        <v>289</v>
      </c>
      <c r="T1593" s="581" t="s">
        <v>917</v>
      </c>
      <c r="U1593" s="582">
        <v>1</v>
      </c>
      <c r="V1593" s="583" t="str">
        <f t="shared" si="831"/>
        <v>can</v>
      </c>
      <c r="W1593" s="584">
        <f t="shared" si="832"/>
        <v>0</v>
      </c>
      <c r="X1593" s="584">
        <f t="shared" si="833"/>
        <v>0</v>
      </c>
      <c r="Y1593" s="584">
        <f t="shared" si="834"/>
        <v>0</v>
      </c>
      <c r="Z1593" s="584">
        <f t="shared" si="835"/>
        <v>0</v>
      </c>
      <c r="AA1593" s="584">
        <f t="shared" si="836"/>
        <v>0</v>
      </c>
      <c r="AB1593" s="584">
        <f t="shared" si="839"/>
        <v>0</v>
      </c>
      <c r="AC1593" s="581"/>
    </row>
    <row r="1594" spans="17:29">
      <c r="Q1594" s="579">
        <v>46128</v>
      </c>
      <c r="R1594" s="580">
        <v>0.875</v>
      </c>
      <c r="S1594" s="581" t="s">
        <v>289</v>
      </c>
      <c r="T1594" s="581" t="s">
        <v>1081</v>
      </c>
      <c r="U1594" s="582">
        <v>17</v>
      </c>
      <c r="V1594" s="583" t="str">
        <f t="shared" si="831"/>
        <v>g</v>
      </c>
      <c r="W1594" s="584">
        <f t="shared" si="832"/>
        <v>34</v>
      </c>
      <c r="X1594" s="584">
        <f t="shared" si="833"/>
        <v>0</v>
      </c>
      <c r="Y1594" s="584">
        <f t="shared" si="834"/>
        <v>0</v>
      </c>
      <c r="Z1594" s="584">
        <f t="shared" si="835"/>
        <v>13.6</v>
      </c>
      <c r="AA1594" s="584">
        <f t="shared" si="836"/>
        <v>13.6</v>
      </c>
      <c r="AB1594" s="584">
        <f>IFERROR(VLOOKUP(T1594, $E$5:$O$818, 9, FALSE) * (U1594 / VLOOKUP(T1594, $E$5:$O$818, 2, FALSE)), "")</f>
        <v>0</v>
      </c>
      <c r="AC1594" s="581"/>
    </row>
    <row r="1595" spans="17:29">
      <c r="Q1595" s="585"/>
      <c r="R1595" s="586" t="s">
        <v>217</v>
      </c>
      <c r="S1595" s="587"/>
      <c r="T1595" s="588"/>
      <c r="U1595" s="588"/>
      <c r="V1595" s="589"/>
      <c r="W1595" s="590">
        <f t="shared" ref="W1595:AB1595" si="840">SUM(W1578:W1594)</f>
        <v>2334.5714285714284</v>
      </c>
      <c r="X1595" s="590">
        <f t="shared" si="840"/>
        <v>172.57380952380953</v>
      </c>
      <c r="Y1595" s="590">
        <f t="shared" si="840"/>
        <v>50.640476190476193</v>
      </c>
      <c r="Z1595" s="590">
        <f t="shared" si="840"/>
        <v>288.00952380952378</v>
      </c>
      <c r="AA1595" s="688">
        <f t="shared" si="840"/>
        <v>40.276190476190479</v>
      </c>
      <c r="AB1595" s="691">
        <f t="shared" si="840"/>
        <v>1300</v>
      </c>
      <c r="AC1595" s="586"/>
    </row>
    <row r="1596" spans="17:29">
      <c r="Q1596" s="585"/>
      <c r="R1596" s="586" t="s">
        <v>220</v>
      </c>
      <c r="S1596" s="587"/>
      <c r="T1596" s="588"/>
      <c r="U1596" s="588"/>
      <c r="V1596" s="589"/>
      <c r="W1596" s="591">
        <f>$B$27</f>
        <v>2834.5625</v>
      </c>
      <c r="X1596" s="591">
        <f>$B$29</f>
        <v>154</v>
      </c>
      <c r="Y1596" s="591">
        <f>$B$30</f>
        <v>63.91</v>
      </c>
      <c r="Z1596" s="591">
        <f>$B$31</f>
        <v>410.84312499999999</v>
      </c>
      <c r="AA1596" s="642">
        <f>$B$32</f>
        <v>39.683875</v>
      </c>
      <c r="AB1596" s="695">
        <f>$B$39</f>
        <v>500</v>
      </c>
      <c r="AC1596" s="586"/>
    </row>
    <row r="1597" spans="17:29">
      <c r="Q1597" s="585"/>
      <c r="R1597" s="586" t="s">
        <v>222</v>
      </c>
      <c r="S1597" s="587"/>
      <c r="T1597" s="588"/>
      <c r="U1597" s="588"/>
      <c r="V1597" s="589"/>
      <c r="W1597" s="284">
        <f t="shared" ref="W1597:AB1597" si="841">W1595-W1596</f>
        <v>-499.99107142857156</v>
      </c>
      <c r="X1597" s="284">
        <f t="shared" si="841"/>
        <v>18.57380952380953</v>
      </c>
      <c r="Y1597" s="284">
        <f t="shared" si="841"/>
        <v>-13.269523809523804</v>
      </c>
      <c r="Z1597" s="284">
        <f t="shared" si="841"/>
        <v>-122.8336011904762</v>
      </c>
      <c r="AA1597" s="690">
        <f t="shared" si="841"/>
        <v>0.59231547619047831</v>
      </c>
      <c r="AB1597" s="689">
        <f t="shared" si="841"/>
        <v>800</v>
      </c>
      <c r="AC1597" s="586"/>
    </row>
    <row r="1598" spans="17:29">
      <c r="Q1598" s="579">
        <v>46129</v>
      </c>
      <c r="R1598" s="580">
        <v>0.29166666666666669</v>
      </c>
      <c r="S1598" s="581" t="s">
        <v>178</v>
      </c>
      <c r="T1598" s="581" t="s">
        <v>1104</v>
      </c>
      <c r="U1598" s="582">
        <v>5</v>
      </c>
      <c r="V1598" s="583" t="str">
        <f t="shared" ref="V1598:V1612" si="842">IFERROR(VLOOKUP(T1598, $E$5:$L$818, 3, FALSE), "")</f>
        <v>g</v>
      </c>
      <c r="W1598" s="584">
        <f t="shared" ref="W1598:W1612" si="843">IFERROR(VLOOKUP(T1598, $E$5:$L$818, 4, FALSE) * (U1598 / VLOOKUP(T1598, $E$5:$L$818, 2, FALSE)), "")</f>
        <v>24</v>
      </c>
      <c r="X1598" s="584">
        <f t="shared" ref="X1598:X1612" si="844">IFERROR(VLOOKUP(T1598, $E$5:$L$818, 5, FALSE) * (U1598 / VLOOKUP(T1598, $E$5:$L$818, 2, FALSE)), "")</f>
        <v>1</v>
      </c>
      <c r="Y1598" s="584">
        <f t="shared" ref="Y1598:Y1612" si="845">IFERROR(VLOOKUP(T1598, $E$5:$L$818, 6, FALSE) * (U1598 / VLOOKUP(T1598, $E$5:$L$818, 2, FALSE)), "")</f>
        <v>2</v>
      </c>
      <c r="Z1598" s="584">
        <f t="shared" ref="Z1598:Z1612" si="846">IFERROR(VLOOKUP(T1598, $E$5:$L$818, 7, FALSE) * (U1598 / VLOOKUP(T1598, $E$5:$L$818, 2, FALSE)), "")</f>
        <v>2</v>
      </c>
      <c r="AA1598" s="584">
        <f t="shared" ref="AA1598:AA1612" si="847">IFERROR(VLOOKUP(T1598, $E$5:$L$818, 8, FALSE) * (U1598 / VLOOKUP(T1598, $E$5:$L$818, 2, FALSE)), "")</f>
        <v>2</v>
      </c>
      <c r="AB1598" s="674">
        <f t="shared" ref="AB1598:AB1603" si="848">IFERROR(VLOOKUP(T1598, $E$5:$O$818, 9, FALSE) * (U1598 / VLOOKUP(T1598, $E$5:$O$818, 2, FALSE)), "")</f>
        <v>0</v>
      </c>
      <c r="AC1598" s="581"/>
    </row>
    <row r="1599" spans="17:29">
      <c r="Q1599" s="579">
        <v>46129</v>
      </c>
      <c r="R1599" s="580">
        <v>0.33333333333333331</v>
      </c>
      <c r="S1599" s="581" t="s">
        <v>289</v>
      </c>
      <c r="T1599" s="581" t="s">
        <v>181</v>
      </c>
      <c r="U1599" s="582">
        <v>4</v>
      </c>
      <c r="V1599" s="583" t="str">
        <f t="shared" si="842"/>
        <v>slice</v>
      </c>
      <c r="W1599" s="584">
        <f t="shared" si="843"/>
        <v>280</v>
      </c>
      <c r="X1599" s="584">
        <f t="shared" si="844"/>
        <v>10</v>
      </c>
      <c r="Y1599" s="584">
        <f t="shared" si="845"/>
        <v>5</v>
      </c>
      <c r="Z1599" s="584">
        <f t="shared" si="846"/>
        <v>48</v>
      </c>
      <c r="AA1599" s="584">
        <f t="shared" si="847"/>
        <v>4</v>
      </c>
      <c r="AB1599" s="584">
        <f t="shared" si="848"/>
        <v>0</v>
      </c>
      <c r="AC1599" s="581"/>
    </row>
    <row r="1600" spans="17:29">
      <c r="Q1600" s="579">
        <v>46129</v>
      </c>
      <c r="R1600" s="580">
        <v>0.33333333333333331</v>
      </c>
      <c r="S1600" s="581" t="s">
        <v>289</v>
      </c>
      <c r="T1600" s="581" t="s">
        <v>204</v>
      </c>
      <c r="U1600" s="582">
        <v>2</v>
      </c>
      <c r="V1600" s="583" t="str">
        <f t="shared" si="842"/>
        <v>tbsp</v>
      </c>
      <c r="W1600" s="584">
        <f t="shared" si="843"/>
        <v>100</v>
      </c>
      <c r="X1600" s="584">
        <f t="shared" si="844"/>
        <v>2</v>
      </c>
      <c r="Y1600" s="584">
        <f t="shared" si="845"/>
        <v>10</v>
      </c>
      <c r="Z1600" s="584">
        <f t="shared" si="846"/>
        <v>2</v>
      </c>
      <c r="AA1600" s="584">
        <f t="shared" si="847"/>
        <v>0</v>
      </c>
      <c r="AB1600" s="584">
        <f t="shared" si="848"/>
        <v>0</v>
      </c>
      <c r="AC1600" s="581"/>
    </row>
    <row r="1601" spans="17:29">
      <c r="Q1601" s="579">
        <v>46129</v>
      </c>
      <c r="R1601" s="580">
        <v>0.375</v>
      </c>
      <c r="S1601" s="581" t="s">
        <v>289</v>
      </c>
      <c r="T1601" s="581" t="s">
        <v>295</v>
      </c>
      <c r="U1601" s="582">
        <v>1</v>
      </c>
      <c r="V1601" s="583" t="str">
        <f t="shared" si="842"/>
        <v>bottle</v>
      </c>
      <c r="W1601" s="584">
        <f t="shared" si="843"/>
        <v>200</v>
      </c>
      <c r="X1601" s="584">
        <f t="shared" si="844"/>
        <v>35</v>
      </c>
      <c r="Y1601" s="584">
        <f t="shared" si="845"/>
        <v>2.5</v>
      </c>
      <c r="Z1601" s="584">
        <f t="shared" si="846"/>
        <v>9</v>
      </c>
      <c r="AA1601" s="584">
        <f t="shared" si="847"/>
        <v>0</v>
      </c>
      <c r="AB1601" s="584">
        <f t="shared" si="848"/>
        <v>0</v>
      </c>
      <c r="AC1601" s="581"/>
    </row>
    <row r="1602" spans="17:29">
      <c r="Q1602" s="579">
        <v>46129</v>
      </c>
      <c r="R1602" s="580">
        <v>0.41666666666666669</v>
      </c>
      <c r="S1602" s="581" t="s">
        <v>289</v>
      </c>
      <c r="T1602" s="581" t="s">
        <v>464</v>
      </c>
      <c r="U1602" s="582">
        <v>2</v>
      </c>
      <c r="V1602" s="583" t="str">
        <f t="shared" si="842"/>
        <v>lozenge</v>
      </c>
      <c r="W1602" s="584">
        <f t="shared" si="843"/>
        <v>20</v>
      </c>
      <c r="X1602" s="584">
        <f t="shared" si="844"/>
        <v>0</v>
      </c>
      <c r="Y1602" s="584">
        <f t="shared" si="845"/>
        <v>0</v>
      </c>
      <c r="Z1602" s="584">
        <f t="shared" si="846"/>
        <v>6</v>
      </c>
      <c r="AA1602" s="584">
        <f t="shared" si="847"/>
        <v>0</v>
      </c>
      <c r="AB1602" s="584">
        <f t="shared" si="848"/>
        <v>0</v>
      </c>
      <c r="AC1602" s="581"/>
    </row>
    <row r="1603" spans="17:29">
      <c r="Q1603" s="579">
        <v>46129</v>
      </c>
      <c r="R1603" s="580">
        <v>0.54166666666666663</v>
      </c>
      <c r="S1603" s="581" t="s">
        <v>185</v>
      </c>
      <c r="T1603" s="581" t="s">
        <v>176</v>
      </c>
      <c r="U1603" s="582">
        <v>200</v>
      </c>
      <c r="V1603" s="583" t="str">
        <f t="shared" si="842"/>
        <v>g</v>
      </c>
      <c r="W1603" s="584">
        <f t="shared" si="843"/>
        <v>330</v>
      </c>
      <c r="X1603" s="584">
        <f t="shared" si="844"/>
        <v>50</v>
      </c>
      <c r="Y1603" s="584">
        <f t="shared" si="845"/>
        <v>7.2</v>
      </c>
      <c r="Z1603" s="584">
        <f t="shared" si="846"/>
        <v>0</v>
      </c>
      <c r="AA1603" s="584">
        <f t="shared" si="847"/>
        <v>0</v>
      </c>
      <c r="AB1603" s="584">
        <f t="shared" si="848"/>
        <v>0</v>
      </c>
      <c r="AC1603" s="581"/>
    </row>
    <row r="1604" spans="17:29">
      <c r="Q1604" s="579">
        <v>46129</v>
      </c>
      <c r="R1604" s="580">
        <v>0.54166666666666663</v>
      </c>
      <c r="S1604" s="581" t="s">
        <v>185</v>
      </c>
      <c r="T1604" s="581" t="s">
        <v>180</v>
      </c>
      <c r="U1604" s="582">
        <v>250</v>
      </c>
      <c r="V1604" s="583" t="str">
        <f t="shared" si="842"/>
        <v>g</v>
      </c>
      <c r="W1604" s="584">
        <f t="shared" si="843"/>
        <v>325</v>
      </c>
      <c r="X1604" s="584">
        <f t="shared" si="844"/>
        <v>6.75</v>
      </c>
      <c r="Y1604" s="584">
        <f t="shared" si="845"/>
        <v>0.75</v>
      </c>
      <c r="Z1604" s="584">
        <f t="shared" si="846"/>
        <v>70</v>
      </c>
      <c r="AA1604" s="584">
        <f t="shared" si="847"/>
        <v>1</v>
      </c>
      <c r="AB1604" s="584"/>
      <c r="AC1604" s="581"/>
    </row>
    <row r="1605" spans="17:29">
      <c r="Q1605" s="579">
        <v>46129</v>
      </c>
      <c r="R1605" s="580">
        <v>0.54166666666666663</v>
      </c>
      <c r="S1605" s="581" t="s">
        <v>289</v>
      </c>
      <c r="T1605" s="581" t="s">
        <v>445</v>
      </c>
      <c r="U1605" s="582">
        <v>1</v>
      </c>
      <c r="V1605" s="583" t="str">
        <f t="shared" si="842"/>
        <v>bag</v>
      </c>
      <c r="W1605" s="584">
        <f t="shared" si="843"/>
        <v>280</v>
      </c>
      <c r="X1605" s="584">
        <f t="shared" si="844"/>
        <v>8</v>
      </c>
      <c r="Y1605" s="584">
        <f t="shared" si="845"/>
        <v>0</v>
      </c>
      <c r="Z1605" s="584">
        <f t="shared" si="846"/>
        <v>64</v>
      </c>
      <c r="AA1605" s="584">
        <f t="shared" si="847"/>
        <v>0</v>
      </c>
      <c r="AB1605" s="584">
        <f t="shared" ref="AB1605:AB1611" si="849">IFERROR(VLOOKUP(T1605, $E$5:$O$818, 9, FALSE) * (U1605 / VLOOKUP(T1605, $E$5:$O$818, 2, FALSE)), "")</f>
        <v>0</v>
      </c>
      <c r="AC1605" s="581"/>
    </row>
    <row r="1606" spans="17:29">
      <c r="Q1606" s="579">
        <v>46129</v>
      </c>
      <c r="R1606" s="580">
        <v>0.70833333333333337</v>
      </c>
      <c r="S1606" s="581" t="s">
        <v>289</v>
      </c>
      <c r="T1606" s="581" t="s">
        <v>464</v>
      </c>
      <c r="U1606" s="582">
        <v>2</v>
      </c>
      <c r="V1606" s="583" t="str">
        <f t="shared" si="842"/>
        <v>lozenge</v>
      </c>
      <c r="W1606" s="584">
        <f t="shared" si="843"/>
        <v>20</v>
      </c>
      <c r="X1606" s="584">
        <f t="shared" si="844"/>
        <v>0</v>
      </c>
      <c r="Y1606" s="584">
        <f t="shared" si="845"/>
        <v>0</v>
      </c>
      <c r="Z1606" s="584">
        <f t="shared" si="846"/>
        <v>6</v>
      </c>
      <c r="AA1606" s="584">
        <f t="shared" si="847"/>
        <v>0</v>
      </c>
      <c r="AB1606" s="584">
        <f t="shared" si="849"/>
        <v>0</v>
      </c>
      <c r="AC1606" s="581"/>
    </row>
    <row r="1607" spans="17:29">
      <c r="Q1607" s="579">
        <v>46129</v>
      </c>
      <c r="R1607" s="580">
        <v>0.75</v>
      </c>
      <c r="S1607" s="581" t="s">
        <v>289</v>
      </c>
      <c r="T1607" s="581" t="s">
        <v>827</v>
      </c>
      <c r="U1607" s="582">
        <v>2</v>
      </c>
      <c r="V1607" s="583" t="str">
        <f t="shared" si="842"/>
        <v>pack</v>
      </c>
      <c r="W1607" s="584">
        <f t="shared" si="843"/>
        <v>40</v>
      </c>
      <c r="X1607" s="584">
        <f t="shared" si="844"/>
        <v>0</v>
      </c>
      <c r="Y1607" s="584">
        <f t="shared" si="845"/>
        <v>1</v>
      </c>
      <c r="Z1607" s="584">
        <f t="shared" si="846"/>
        <v>6</v>
      </c>
      <c r="AA1607" s="584">
        <f t="shared" si="847"/>
        <v>0</v>
      </c>
      <c r="AB1607" s="584">
        <f t="shared" si="849"/>
        <v>0</v>
      </c>
      <c r="AC1607" s="581"/>
    </row>
    <row r="1608" spans="17:29">
      <c r="Q1608" s="579">
        <v>46129</v>
      </c>
      <c r="R1608" s="580">
        <v>0.79166666666666663</v>
      </c>
      <c r="S1608" s="581" t="s">
        <v>289</v>
      </c>
      <c r="T1608" s="581" t="s">
        <v>181</v>
      </c>
      <c r="U1608" s="582">
        <v>4</v>
      </c>
      <c r="V1608" s="583" t="str">
        <f t="shared" si="842"/>
        <v>slice</v>
      </c>
      <c r="W1608" s="584">
        <f t="shared" si="843"/>
        <v>280</v>
      </c>
      <c r="X1608" s="584">
        <f t="shared" si="844"/>
        <v>10</v>
      </c>
      <c r="Y1608" s="584">
        <f t="shared" si="845"/>
        <v>5</v>
      </c>
      <c r="Z1608" s="584">
        <f t="shared" si="846"/>
        <v>48</v>
      </c>
      <c r="AA1608" s="584">
        <f t="shared" si="847"/>
        <v>4</v>
      </c>
      <c r="AB1608" s="584">
        <f t="shared" si="849"/>
        <v>0</v>
      </c>
      <c r="AC1608" s="581"/>
    </row>
    <row r="1609" spans="17:29">
      <c r="Q1609" s="579">
        <v>46129</v>
      </c>
      <c r="R1609" s="580">
        <v>0.83333333333333337</v>
      </c>
      <c r="S1609" s="581" t="s">
        <v>199</v>
      </c>
      <c r="T1609" s="581" t="s">
        <v>849</v>
      </c>
      <c r="U1609" s="582">
        <v>1</v>
      </c>
      <c r="V1609" s="583" t="str">
        <f t="shared" si="842"/>
        <v>bowl</v>
      </c>
      <c r="W1609" s="584">
        <f t="shared" si="843"/>
        <v>320</v>
      </c>
      <c r="X1609" s="584">
        <f t="shared" si="844"/>
        <v>22</v>
      </c>
      <c r="Y1609" s="584">
        <f t="shared" si="845"/>
        <v>8</v>
      </c>
      <c r="Z1609" s="584">
        <f t="shared" si="846"/>
        <v>42</v>
      </c>
      <c r="AA1609" s="584">
        <f t="shared" si="847"/>
        <v>4</v>
      </c>
      <c r="AB1609" s="584">
        <f t="shared" si="849"/>
        <v>0</v>
      </c>
      <c r="AC1609" s="581"/>
    </row>
    <row r="1610" spans="17:29">
      <c r="Q1610" s="579">
        <v>46129</v>
      </c>
      <c r="R1610" s="580">
        <v>0.83333333333333337</v>
      </c>
      <c r="S1610" s="581" t="s">
        <v>289</v>
      </c>
      <c r="T1610" s="581" t="s">
        <v>457</v>
      </c>
      <c r="U1610" s="582">
        <v>1</v>
      </c>
      <c r="V1610" s="583" t="str">
        <f t="shared" si="842"/>
        <v>cup</v>
      </c>
      <c r="W1610" s="584">
        <f t="shared" si="843"/>
        <v>700</v>
      </c>
      <c r="X1610" s="584">
        <f t="shared" si="844"/>
        <v>11</v>
      </c>
      <c r="Y1610" s="584">
        <f t="shared" si="845"/>
        <v>91</v>
      </c>
      <c r="Z1610" s="584">
        <f t="shared" si="846"/>
        <v>36</v>
      </c>
      <c r="AA1610" s="584">
        <f t="shared" si="847"/>
        <v>0</v>
      </c>
      <c r="AB1610" s="584">
        <f t="shared" si="849"/>
        <v>0</v>
      </c>
      <c r="AC1610" s="581"/>
    </row>
    <row r="1611" spans="17:29">
      <c r="Q1611" s="579">
        <v>46129</v>
      </c>
      <c r="R1611" s="580">
        <v>0.83333333333333337</v>
      </c>
      <c r="S1611" s="581" t="s">
        <v>289</v>
      </c>
      <c r="T1611" s="581" t="s">
        <v>181</v>
      </c>
      <c r="U1611" s="582">
        <v>2</v>
      </c>
      <c r="V1611" s="583" t="str">
        <f t="shared" si="842"/>
        <v>slice</v>
      </c>
      <c r="W1611" s="584">
        <f t="shared" si="843"/>
        <v>140</v>
      </c>
      <c r="X1611" s="584">
        <f t="shared" si="844"/>
        <v>5</v>
      </c>
      <c r="Y1611" s="584">
        <f t="shared" si="845"/>
        <v>2.5</v>
      </c>
      <c r="Z1611" s="584">
        <f t="shared" si="846"/>
        <v>24</v>
      </c>
      <c r="AA1611" s="584">
        <f t="shared" si="847"/>
        <v>2</v>
      </c>
      <c r="AB1611" s="584">
        <f t="shared" si="849"/>
        <v>0</v>
      </c>
      <c r="AC1611" s="581"/>
    </row>
    <row r="1612" spans="17:29">
      <c r="Q1612" s="579">
        <v>46129</v>
      </c>
      <c r="R1612" s="580">
        <v>0.83333333333333337</v>
      </c>
      <c r="S1612" s="581" t="s">
        <v>289</v>
      </c>
      <c r="T1612" s="581" t="s">
        <v>1081</v>
      </c>
      <c r="U1612" s="582">
        <v>30</v>
      </c>
      <c r="V1612" s="583" t="str">
        <f t="shared" si="842"/>
        <v>g</v>
      </c>
      <c r="W1612" s="584">
        <f t="shared" si="843"/>
        <v>60</v>
      </c>
      <c r="X1612" s="584">
        <f t="shared" si="844"/>
        <v>0</v>
      </c>
      <c r="Y1612" s="584">
        <f t="shared" si="845"/>
        <v>0</v>
      </c>
      <c r="Z1612" s="584">
        <f t="shared" si="846"/>
        <v>24</v>
      </c>
      <c r="AA1612" s="584">
        <f t="shared" si="847"/>
        <v>24</v>
      </c>
      <c r="AB1612" s="584">
        <f t="shared" ref="AB1612" si="850">IFERROR(VLOOKUP(T1612, $E$5:$O$818, 9, FALSE) * (U1612 / VLOOKUP(T1612, $E$5:$O$818, 2, FALSE)), "")</f>
        <v>0</v>
      </c>
      <c r="AC1612" s="581"/>
    </row>
    <row r="1613" spans="17:29">
      <c r="Q1613" s="585"/>
      <c r="R1613" s="586" t="s">
        <v>217</v>
      </c>
      <c r="S1613" s="587"/>
      <c r="T1613" s="588"/>
      <c r="U1613" s="588"/>
      <c r="V1613" s="589"/>
      <c r="W1613" s="590">
        <f t="shared" ref="W1613:AB1613" si="851">SUM(W1598:W1612)</f>
        <v>3119</v>
      </c>
      <c r="X1613" s="590">
        <f t="shared" si="851"/>
        <v>160.75</v>
      </c>
      <c r="Y1613" s="590">
        <f t="shared" si="851"/>
        <v>134.94999999999999</v>
      </c>
      <c r="Z1613" s="590">
        <f t="shared" si="851"/>
        <v>387</v>
      </c>
      <c r="AA1613" s="688">
        <f t="shared" si="851"/>
        <v>41</v>
      </c>
      <c r="AB1613" s="691">
        <f t="shared" si="851"/>
        <v>0</v>
      </c>
      <c r="AC1613" s="586"/>
    </row>
    <row r="1614" spans="17:29">
      <c r="Q1614" s="585"/>
      <c r="R1614" s="586" t="s">
        <v>220</v>
      </c>
      <c r="S1614" s="587"/>
      <c r="T1614" s="588"/>
      <c r="U1614" s="588"/>
      <c r="V1614" s="589"/>
      <c r="W1614" s="591">
        <f>$B$27</f>
        <v>2834.5625</v>
      </c>
      <c r="X1614" s="591">
        <f>$B$29</f>
        <v>154</v>
      </c>
      <c r="Y1614" s="591">
        <f>$B$30</f>
        <v>63.91</v>
      </c>
      <c r="Z1614" s="591">
        <f>$B$31</f>
        <v>410.84312499999999</v>
      </c>
      <c r="AA1614" s="642">
        <f>$B$32</f>
        <v>39.683875</v>
      </c>
      <c r="AB1614" s="695">
        <f>$B$39</f>
        <v>500</v>
      </c>
      <c r="AC1614" s="586"/>
    </row>
    <row r="1615" spans="17:29">
      <c r="Q1615" s="585"/>
      <c r="R1615" s="586" t="s">
        <v>222</v>
      </c>
      <c r="S1615" s="587"/>
      <c r="T1615" s="588"/>
      <c r="U1615" s="588"/>
      <c r="V1615" s="589"/>
      <c r="W1615" s="284">
        <f t="shared" ref="W1615:AB1615" si="852">W1613-W1614</f>
        <v>284.4375</v>
      </c>
      <c r="X1615" s="284">
        <f t="shared" si="852"/>
        <v>6.75</v>
      </c>
      <c r="Y1615" s="284">
        <f t="shared" si="852"/>
        <v>71.039999999999992</v>
      </c>
      <c r="Z1615" s="284">
        <f t="shared" si="852"/>
        <v>-23.843124999999986</v>
      </c>
      <c r="AA1615" s="690">
        <f t="shared" si="852"/>
        <v>1.3161249999999995</v>
      </c>
      <c r="AB1615" s="689">
        <f t="shared" si="852"/>
        <v>-500</v>
      </c>
      <c r="AC1615" s="586"/>
    </row>
    <row r="1616" spans="17:29">
      <c r="Q1616" s="579">
        <v>46130</v>
      </c>
      <c r="R1616" s="580">
        <v>0.375</v>
      </c>
      <c r="S1616" s="581" t="s">
        <v>178</v>
      </c>
      <c r="T1616" s="581" t="s">
        <v>1104</v>
      </c>
      <c r="U1616" s="582">
        <v>5</v>
      </c>
      <c r="V1616" s="583" t="str">
        <f t="shared" ref="V1616:V1628" si="853">IFERROR(VLOOKUP(T1616, $E$5:$L$818, 3, FALSE), "")</f>
        <v>g</v>
      </c>
      <c r="W1616" s="584">
        <f t="shared" ref="W1616:W1628" si="854">IFERROR(VLOOKUP(T1616, $E$5:$L$818, 4, FALSE) * (U1616 / VLOOKUP(T1616, $E$5:$L$818, 2, FALSE)), "")</f>
        <v>24</v>
      </c>
      <c r="X1616" s="584">
        <f t="shared" ref="X1616:X1628" si="855">IFERROR(VLOOKUP(T1616, $E$5:$L$818, 5, FALSE) * (U1616 / VLOOKUP(T1616, $E$5:$L$818, 2, FALSE)), "")</f>
        <v>1</v>
      </c>
      <c r="Y1616" s="584">
        <f t="shared" ref="Y1616:Y1628" si="856">IFERROR(VLOOKUP(T1616, $E$5:$L$818, 6, FALSE) * (U1616 / VLOOKUP(T1616, $E$5:$L$818, 2, FALSE)), "")</f>
        <v>2</v>
      </c>
      <c r="Z1616" s="584">
        <f t="shared" ref="Z1616:Z1628" si="857">IFERROR(VLOOKUP(T1616, $E$5:$L$818, 7, FALSE) * (U1616 / VLOOKUP(T1616, $E$5:$L$818, 2, FALSE)), "")</f>
        <v>2</v>
      </c>
      <c r="AA1616" s="584">
        <f t="shared" ref="AA1616:AA1628" si="858">IFERROR(VLOOKUP(T1616, $E$5:$L$818, 8, FALSE) * (U1616 / VLOOKUP(T1616, $E$5:$L$818, 2, FALSE)), "")</f>
        <v>2</v>
      </c>
      <c r="AB1616" s="674">
        <f t="shared" ref="AB1616:AB1622" si="859">IFERROR(VLOOKUP(T1616, $E$5:$O$818, 9, FALSE) * (U1616 / VLOOKUP(T1616, $E$5:$O$818, 2, FALSE)), "")</f>
        <v>0</v>
      </c>
      <c r="AC1616" s="581"/>
    </row>
    <row r="1617" spans="17:29">
      <c r="Q1617" s="579">
        <v>46130</v>
      </c>
      <c r="R1617" s="580">
        <v>0.375</v>
      </c>
      <c r="S1617" s="581" t="s">
        <v>178</v>
      </c>
      <c r="T1617" s="581" t="s">
        <v>181</v>
      </c>
      <c r="U1617" s="582">
        <v>4</v>
      </c>
      <c r="V1617" s="583" t="str">
        <f t="shared" si="853"/>
        <v>slice</v>
      </c>
      <c r="W1617" s="584">
        <f t="shared" si="854"/>
        <v>280</v>
      </c>
      <c r="X1617" s="584">
        <f t="shared" si="855"/>
        <v>10</v>
      </c>
      <c r="Y1617" s="584">
        <f t="shared" si="856"/>
        <v>5</v>
      </c>
      <c r="Z1617" s="584">
        <f t="shared" si="857"/>
        <v>48</v>
      </c>
      <c r="AA1617" s="584">
        <f t="shared" si="858"/>
        <v>4</v>
      </c>
      <c r="AB1617" s="584">
        <f t="shared" si="859"/>
        <v>0</v>
      </c>
      <c r="AC1617" s="581"/>
    </row>
    <row r="1618" spans="17:29">
      <c r="Q1618" s="579">
        <v>46130</v>
      </c>
      <c r="R1618" s="580">
        <v>0.375</v>
      </c>
      <c r="S1618" s="581" t="s">
        <v>178</v>
      </c>
      <c r="T1618" s="581" t="s">
        <v>375</v>
      </c>
      <c r="U1618" s="582">
        <v>2</v>
      </c>
      <c r="V1618" s="583" t="str">
        <f t="shared" si="853"/>
        <v>piece</v>
      </c>
      <c r="W1618" s="584">
        <f t="shared" si="854"/>
        <v>220</v>
      </c>
      <c r="X1618" s="584">
        <f t="shared" si="855"/>
        <v>18</v>
      </c>
      <c r="Y1618" s="584">
        <f t="shared" si="856"/>
        <v>16</v>
      </c>
      <c r="Z1618" s="584">
        <f t="shared" si="857"/>
        <v>6</v>
      </c>
      <c r="AA1618" s="584">
        <f t="shared" si="858"/>
        <v>0</v>
      </c>
      <c r="AB1618" s="584">
        <f t="shared" si="859"/>
        <v>0</v>
      </c>
      <c r="AC1618" s="581"/>
    </row>
    <row r="1619" spans="17:29">
      <c r="Q1619" s="579">
        <v>46130</v>
      </c>
      <c r="R1619" s="580">
        <v>0.375</v>
      </c>
      <c r="S1619" s="581" t="s">
        <v>178</v>
      </c>
      <c r="T1619" s="581" t="s">
        <v>295</v>
      </c>
      <c r="U1619" s="582">
        <v>1</v>
      </c>
      <c r="V1619" s="583" t="str">
        <f t="shared" si="853"/>
        <v>bottle</v>
      </c>
      <c r="W1619" s="584">
        <f t="shared" si="854"/>
        <v>200</v>
      </c>
      <c r="X1619" s="584">
        <f t="shared" si="855"/>
        <v>35</v>
      </c>
      <c r="Y1619" s="584">
        <f t="shared" si="856"/>
        <v>2.5</v>
      </c>
      <c r="Z1619" s="584">
        <f t="shared" si="857"/>
        <v>9</v>
      </c>
      <c r="AA1619" s="584">
        <f t="shared" si="858"/>
        <v>0</v>
      </c>
      <c r="AB1619" s="584">
        <f t="shared" si="859"/>
        <v>0</v>
      </c>
      <c r="AC1619" s="581"/>
    </row>
    <row r="1620" spans="17:29">
      <c r="Q1620" s="579">
        <v>46130</v>
      </c>
      <c r="R1620" s="580">
        <v>0.625</v>
      </c>
      <c r="S1620" s="581" t="s">
        <v>289</v>
      </c>
      <c r="T1620" s="581" t="s">
        <v>1076</v>
      </c>
      <c r="U1620" s="582">
        <v>1</v>
      </c>
      <c r="V1620" s="583" t="str">
        <f t="shared" si="853"/>
        <v>pounch</v>
      </c>
      <c r="W1620" s="584">
        <f t="shared" si="854"/>
        <v>45</v>
      </c>
      <c r="X1620" s="584">
        <f t="shared" si="855"/>
        <v>0</v>
      </c>
      <c r="Y1620" s="584">
        <f t="shared" si="856"/>
        <v>0</v>
      </c>
      <c r="Z1620" s="584">
        <f t="shared" si="857"/>
        <v>11</v>
      </c>
      <c r="AA1620" s="584">
        <f t="shared" si="858"/>
        <v>0</v>
      </c>
      <c r="AB1620" s="584">
        <f t="shared" si="859"/>
        <v>0</v>
      </c>
      <c r="AC1620" s="581"/>
    </row>
    <row r="1621" spans="17:29">
      <c r="Q1621" s="579">
        <v>46130</v>
      </c>
      <c r="R1621" s="580">
        <v>0.625</v>
      </c>
      <c r="S1621" s="581" t="s">
        <v>185</v>
      </c>
      <c r="T1621" s="581" t="s">
        <v>849</v>
      </c>
      <c r="U1621" s="582">
        <v>1</v>
      </c>
      <c r="V1621" s="583" t="str">
        <f t="shared" si="853"/>
        <v>bowl</v>
      </c>
      <c r="W1621" s="584">
        <f t="shared" si="854"/>
        <v>320</v>
      </c>
      <c r="X1621" s="584">
        <f t="shared" si="855"/>
        <v>22</v>
      </c>
      <c r="Y1621" s="584">
        <f t="shared" si="856"/>
        <v>8</v>
      </c>
      <c r="Z1621" s="584">
        <f t="shared" si="857"/>
        <v>42</v>
      </c>
      <c r="AA1621" s="584">
        <f t="shared" si="858"/>
        <v>4</v>
      </c>
      <c r="AB1621" s="584">
        <f t="shared" si="859"/>
        <v>0</v>
      </c>
      <c r="AC1621" s="581"/>
    </row>
    <row r="1622" spans="17:29">
      <c r="Q1622" s="579">
        <v>46130</v>
      </c>
      <c r="R1622" s="580">
        <v>0.66666666666666663</v>
      </c>
      <c r="S1622" s="581" t="s">
        <v>289</v>
      </c>
      <c r="T1622" s="581" t="s">
        <v>214</v>
      </c>
      <c r="U1622" s="582">
        <v>1</v>
      </c>
      <c r="V1622" s="583" t="str">
        <f t="shared" si="853"/>
        <v>bar</v>
      </c>
      <c r="W1622" s="584">
        <f t="shared" si="854"/>
        <v>67</v>
      </c>
      <c r="X1622" s="584">
        <f t="shared" si="855"/>
        <v>1</v>
      </c>
      <c r="Y1622" s="584">
        <f t="shared" si="856"/>
        <v>3.5</v>
      </c>
      <c r="Z1622" s="584">
        <f t="shared" si="857"/>
        <v>22</v>
      </c>
      <c r="AA1622" s="584">
        <f t="shared" si="858"/>
        <v>0.3</v>
      </c>
      <c r="AB1622" s="584">
        <f t="shared" si="859"/>
        <v>0</v>
      </c>
      <c r="AC1622" s="581"/>
    </row>
    <row r="1623" spans="17:29">
      <c r="Q1623" s="579">
        <v>46130</v>
      </c>
      <c r="R1623" s="580">
        <v>0.66666666666666663</v>
      </c>
      <c r="S1623" s="581" t="s">
        <v>289</v>
      </c>
      <c r="T1623" s="581" t="s">
        <v>468</v>
      </c>
      <c r="U1623" s="582">
        <v>1</v>
      </c>
      <c r="V1623" s="583" t="str">
        <f t="shared" si="853"/>
        <v>apple</v>
      </c>
      <c r="W1623" s="584">
        <f t="shared" si="854"/>
        <v>95</v>
      </c>
      <c r="X1623" s="584">
        <f t="shared" si="855"/>
        <v>0.5</v>
      </c>
      <c r="Y1623" s="584">
        <f t="shared" si="856"/>
        <v>0.3</v>
      </c>
      <c r="Z1623" s="584">
        <f t="shared" si="857"/>
        <v>25</v>
      </c>
      <c r="AA1623" s="584">
        <f t="shared" si="858"/>
        <v>4</v>
      </c>
      <c r="AB1623" s="584">
        <f t="shared" ref="AB1623:AB1628" si="860">IFERROR(VLOOKUP(T1623, $E$5:$O$818, 9, FALSE) * (U1623 / VLOOKUP(T1623, $E$5:$O$818, 2, FALSE)), "")</f>
        <v>0</v>
      </c>
      <c r="AC1623" s="581"/>
    </row>
    <row r="1624" spans="17:29">
      <c r="Q1624" s="579">
        <v>46130</v>
      </c>
      <c r="R1624" s="580">
        <v>0.79166666666666663</v>
      </c>
      <c r="S1624" s="581" t="s">
        <v>289</v>
      </c>
      <c r="T1624" s="581" t="s">
        <v>214</v>
      </c>
      <c r="U1624" s="582">
        <v>1</v>
      </c>
      <c r="V1624" s="583" t="str">
        <f t="shared" si="853"/>
        <v>bar</v>
      </c>
      <c r="W1624" s="584">
        <f t="shared" si="854"/>
        <v>67</v>
      </c>
      <c r="X1624" s="584">
        <f t="shared" si="855"/>
        <v>1</v>
      </c>
      <c r="Y1624" s="584">
        <f t="shared" si="856"/>
        <v>3.5</v>
      </c>
      <c r="Z1624" s="584">
        <f t="shared" si="857"/>
        <v>22</v>
      </c>
      <c r="AA1624" s="584">
        <f t="shared" si="858"/>
        <v>0.3</v>
      </c>
      <c r="AB1624" s="584">
        <f t="shared" si="860"/>
        <v>0</v>
      </c>
      <c r="AC1624" s="581"/>
    </row>
    <row r="1625" spans="17:29">
      <c r="Q1625" s="579">
        <v>46130</v>
      </c>
      <c r="R1625" s="580">
        <v>0.91666666666666663</v>
      </c>
      <c r="S1625" s="581" t="s">
        <v>199</v>
      </c>
      <c r="T1625" s="581" t="s">
        <v>176</v>
      </c>
      <c r="U1625" s="582">
        <v>300</v>
      </c>
      <c r="V1625" s="583" t="str">
        <f t="shared" si="853"/>
        <v>g</v>
      </c>
      <c r="W1625" s="584">
        <f t="shared" si="854"/>
        <v>495</v>
      </c>
      <c r="X1625" s="584">
        <f t="shared" si="855"/>
        <v>75</v>
      </c>
      <c r="Y1625" s="584">
        <f t="shared" si="856"/>
        <v>10.8</v>
      </c>
      <c r="Z1625" s="584">
        <f t="shared" si="857"/>
        <v>0</v>
      </c>
      <c r="AA1625" s="584">
        <f t="shared" si="858"/>
        <v>0</v>
      </c>
      <c r="AB1625" s="584">
        <f t="shared" si="860"/>
        <v>0</v>
      </c>
      <c r="AC1625" s="581"/>
    </row>
    <row r="1626" spans="17:29">
      <c r="Q1626" s="579">
        <v>46130</v>
      </c>
      <c r="R1626" s="580">
        <v>0.91666666666666663</v>
      </c>
      <c r="S1626" s="581" t="s">
        <v>199</v>
      </c>
      <c r="T1626" s="581" t="s">
        <v>180</v>
      </c>
      <c r="U1626" s="582">
        <v>300</v>
      </c>
      <c r="V1626" s="583" t="str">
        <f t="shared" si="853"/>
        <v>g</v>
      </c>
      <c r="W1626" s="584">
        <f t="shared" si="854"/>
        <v>390</v>
      </c>
      <c r="X1626" s="584">
        <f t="shared" si="855"/>
        <v>8.1000000000000014</v>
      </c>
      <c r="Y1626" s="584">
        <f t="shared" si="856"/>
        <v>0.89999999999999991</v>
      </c>
      <c r="Z1626" s="584">
        <f t="shared" si="857"/>
        <v>84</v>
      </c>
      <c r="AA1626" s="584">
        <f t="shared" si="858"/>
        <v>1.2000000000000002</v>
      </c>
      <c r="AB1626" s="584">
        <f t="shared" si="860"/>
        <v>0</v>
      </c>
      <c r="AC1626" s="581"/>
    </row>
    <row r="1627" spans="17:29">
      <c r="Q1627" s="579">
        <v>46130</v>
      </c>
      <c r="R1627" s="580">
        <v>0.91666666666666663</v>
      </c>
      <c r="S1627" s="581" t="s">
        <v>289</v>
      </c>
      <c r="T1627" s="581" t="s">
        <v>917</v>
      </c>
      <c r="U1627" s="582">
        <v>1</v>
      </c>
      <c r="V1627" s="583" t="str">
        <f t="shared" si="853"/>
        <v>can</v>
      </c>
      <c r="W1627" s="584">
        <f t="shared" si="854"/>
        <v>0</v>
      </c>
      <c r="X1627" s="584">
        <f t="shared" si="855"/>
        <v>0</v>
      </c>
      <c r="Y1627" s="584">
        <f t="shared" si="856"/>
        <v>0</v>
      </c>
      <c r="Z1627" s="584">
        <f t="shared" si="857"/>
        <v>0</v>
      </c>
      <c r="AA1627" s="584">
        <f t="shared" si="858"/>
        <v>0</v>
      </c>
      <c r="AB1627" s="584">
        <f t="shared" si="860"/>
        <v>0</v>
      </c>
      <c r="AC1627" s="581"/>
    </row>
    <row r="1628" spans="17:29">
      <c r="Q1628" s="579">
        <v>46130</v>
      </c>
      <c r="R1628" s="580">
        <v>1</v>
      </c>
      <c r="S1628" s="581" t="s">
        <v>289</v>
      </c>
      <c r="T1628" s="581" t="s">
        <v>1081</v>
      </c>
      <c r="U1628" s="582">
        <v>30</v>
      </c>
      <c r="V1628" s="583" t="str">
        <f t="shared" si="853"/>
        <v>g</v>
      </c>
      <c r="W1628" s="584">
        <f t="shared" si="854"/>
        <v>60</v>
      </c>
      <c r="X1628" s="584">
        <f t="shared" si="855"/>
        <v>0</v>
      </c>
      <c r="Y1628" s="584">
        <f t="shared" si="856"/>
        <v>0</v>
      </c>
      <c r="Z1628" s="584">
        <f t="shared" si="857"/>
        <v>24</v>
      </c>
      <c r="AA1628" s="584">
        <f t="shared" si="858"/>
        <v>24</v>
      </c>
      <c r="AB1628" s="584">
        <f t="shared" si="860"/>
        <v>0</v>
      </c>
      <c r="AC1628" s="581"/>
    </row>
    <row r="1629" spans="17:29">
      <c r="Q1629" s="585"/>
      <c r="R1629" s="586" t="s">
        <v>217</v>
      </c>
      <c r="S1629" s="587"/>
      <c r="T1629" s="588"/>
      <c r="U1629" s="588"/>
      <c r="V1629" s="589"/>
      <c r="W1629" s="590">
        <f t="shared" ref="W1629:AB1629" si="861">SUM(W1616:W1628)</f>
        <v>2263</v>
      </c>
      <c r="X1629" s="590">
        <f t="shared" si="861"/>
        <v>171.6</v>
      </c>
      <c r="Y1629" s="590">
        <f t="shared" si="861"/>
        <v>52.499999999999993</v>
      </c>
      <c r="Z1629" s="590">
        <f t="shared" si="861"/>
        <v>295</v>
      </c>
      <c r="AA1629" s="688">
        <f t="shared" si="861"/>
        <v>39.799999999999997</v>
      </c>
      <c r="AB1629" s="691">
        <f t="shared" si="861"/>
        <v>0</v>
      </c>
      <c r="AC1629" s="586"/>
    </row>
    <row r="1630" spans="17:29">
      <c r="Q1630" s="585"/>
      <c r="R1630" s="586" t="s">
        <v>220</v>
      </c>
      <c r="S1630" s="587"/>
      <c r="T1630" s="588"/>
      <c r="U1630" s="588"/>
      <c r="V1630" s="589"/>
      <c r="W1630" s="591">
        <f>$B$27</f>
        <v>2834.5625</v>
      </c>
      <c r="X1630" s="591">
        <f>$B$29</f>
        <v>154</v>
      </c>
      <c r="Y1630" s="591">
        <f>$B$30</f>
        <v>63.91</v>
      </c>
      <c r="Z1630" s="591">
        <f>$B$31</f>
        <v>410.84312499999999</v>
      </c>
      <c r="AA1630" s="642">
        <f>$B$32</f>
        <v>39.683875</v>
      </c>
      <c r="AB1630" s="695">
        <f>$B$39</f>
        <v>500</v>
      </c>
      <c r="AC1630" s="586"/>
    </row>
    <row r="1631" spans="17:29">
      <c r="Q1631" s="585"/>
      <c r="R1631" s="586" t="s">
        <v>222</v>
      </c>
      <c r="S1631" s="587"/>
      <c r="T1631" s="588"/>
      <c r="U1631" s="588"/>
      <c r="V1631" s="589"/>
      <c r="W1631" s="284">
        <f t="shared" ref="W1631:AB1631" si="862">W1629-W1630</f>
        <v>-571.5625</v>
      </c>
      <c r="X1631" s="284">
        <f t="shared" si="862"/>
        <v>17.599999999999994</v>
      </c>
      <c r="Y1631" s="284">
        <f t="shared" si="862"/>
        <v>-11.410000000000004</v>
      </c>
      <c r="Z1631" s="284">
        <f t="shared" si="862"/>
        <v>-115.84312499999999</v>
      </c>
      <c r="AA1631" s="690">
        <f t="shared" si="862"/>
        <v>0.1161249999999967</v>
      </c>
      <c r="AB1631" s="689">
        <f t="shared" si="862"/>
        <v>-500</v>
      </c>
      <c r="AC1631" s="586"/>
    </row>
    <row r="1632" spans="17:29">
      <c r="Q1632" s="579">
        <v>46131</v>
      </c>
      <c r="R1632" s="580">
        <v>0.25</v>
      </c>
      <c r="S1632" s="581" t="s">
        <v>178</v>
      </c>
      <c r="T1632" s="581" t="s">
        <v>1104</v>
      </c>
      <c r="U1632" s="582">
        <v>5</v>
      </c>
      <c r="V1632" s="583" t="str">
        <f t="shared" ref="V1632:V1650" si="863">IFERROR(VLOOKUP(T1632, $E$5:$L$818, 3, FALSE), "")</f>
        <v>g</v>
      </c>
      <c r="W1632" s="584">
        <f t="shared" ref="W1632:W1649" si="864">IFERROR(VLOOKUP(T1632, $E$5:$L$818, 4, FALSE) * (U1632 / VLOOKUP(T1632, $E$5:$L$818, 2, FALSE)), "")</f>
        <v>24</v>
      </c>
      <c r="X1632" s="584">
        <f t="shared" ref="X1632:X1650" si="865">IFERROR(VLOOKUP(T1632, $E$5:$L$818, 5, FALSE) * (U1632 / VLOOKUP(T1632, $E$5:$L$818, 2, FALSE)), "")</f>
        <v>1</v>
      </c>
      <c r="Y1632" s="584">
        <f t="shared" ref="Y1632:Y1650" si="866">IFERROR(VLOOKUP(T1632, $E$5:$L$818, 6, FALSE) * (U1632 / VLOOKUP(T1632, $E$5:$L$818, 2, FALSE)), "")</f>
        <v>2</v>
      </c>
      <c r="Z1632" s="584">
        <f t="shared" ref="Z1632:Z1650" si="867">IFERROR(VLOOKUP(T1632, $E$5:$L$818, 7, FALSE) * (U1632 / VLOOKUP(T1632, $E$5:$L$818, 2, FALSE)), "")</f>
        <v>2</v>
      </c>
      <c r="AA1632" s="584">
        <f t="shared" ref="AA1632:AA1650" si="868">IFERROR(VLOOKUP(T1632, $E$5:$L$818, 8, FALSE) * (U1632 / VLOOKUP(T1632, $E$5:$L$818, 2, FALSE)), "")</f>
        <v>2</v>
      </c>
      <c r="AB1632" s="674">
        <f t="shared" ref="AB1632:AB1647" si="869">IFERROR(VLOOKUP(T1632, $E$5:$O$818, 9, FALSE) * (U1632 / VLOOKUP(T1632, $E$5:$O$818, 2, FALSE)), "")</f>
        <v>0</v>
      </c>
      <c r="AC1632" s="581"/>
    </row>
    <row r="1633" spans="17:29">
      <c r="Q1633" s="579">
        <v>46131</v>
      </c>
      <c r="R1633" s="580">
        <v>0.33333333333333331</v>
      </c>
      <c r="S1633" s="581" t="s">
        <v>289</v>
      </c>
      <c r="T1633" s="581" t="s">
        <v>181</v>
      </c>
      <c r="U1633" s="582">
        <v>4</v>
      </c>
      <c r="V1633" s="583" t="str">
        <f t="shared" si="863"/>
        <v>slice</v>
      </c>
      <c r="W1633" s="584">
        <f t="shared" si="864"/>
        <v>280</v>
      </c>
      <c r="X1633" s="584">
        <f t="shared" si="865"/>
        <v>10</v>
      </c>
      <c r="Y1633" s="584">
        <f t="shared" si="866"/>
        <v>5</v>
      </c>
      <c r="Z1633" s="584">
        <f t="shared" si="867"/>
        <v>48</v>
      </c>
      <c r="AA1633" s="584">
        <f t="shared" si="868"/>
        <v>4</v>
      </c>
      <c r="AB1633" s="584">
        <f t="shared" si="869"/>
        <v>0</v>
      </c>
      <c r="AC1633" s="581"/>
    </row>
    <row r="1634" spans="17:29">
      <c r="Q1634" s="579">
        <v>46131</v>
      </c>
      <c r="R1634" s="580">
        <v>0.33333333333333331</v>
      </c>
      <c r="S1634" s="581" t="s">
        <v>289</v>
      </c>
      <c r="T1634" s="581" t="s">
        <v>295</v>
      </c>
      <c r="U1634" s="582">
        <v>1</v>
      </c>
      <c r="V1634" s="583" t="str">
        <f t="shared" si="863"/>
        <v>bottle</v>
      </c>
      <c r="W1634" s="584">
        <f t="shared" si="864"/>
        <v>200</v>
      </c>
      <c r="X1634" s="584">
        <f t="shared" si="865"/>
        <v>35</v>
      </c>
      <c r="Y1634" s="584">
        <f t="shared" si="866"/>
        <v>2.5</v>
      </c>
      <c r="Z1634" s="584">
        <f t="shared" si="867"/>
        <v>9</v>
      </c>
      <c r="AA1634" s="584">
        <f t="shared" si="868"/>
        <v>0</v>
      </c>
      <c r="AB1634" s="584">
        <f t="shared" si="869"/>
        <v>0</v>
      </c>
      <c r="AC1634" s="581"/>
    </row>
    <row r="1635" spans="17:29">
      <c r="Q1635" s="579">
        <v>46131</v>
      </c>
      <c r="R1635" s="580">
        <v>0.375</v>
      </c>
      <c r="S1635" s="581" t="s">
        <v>289</v>
      </c>
      <c r="T1635" s="581" t="s">
        <v>855</v>
      </c>
      <c r="U1635" s="582">
        <v>150</v>
      </c>
      <c r="V1635" s="583" t="str">
        <f t="shared" si="863"/>
        <v>g</v>
      </c>
      <c r="W1635" s="584">
        <f t="shared" si="864"/>
        <v>90</v>
      </c>
      <c r="X1635" s="584">
        <f t="shared" si="865"/>
        <v>1.5</v>
      </c>
      <c r="Y1635" s="584">
        <f t="shared" si="866"/>
        <v>0</v>
      </c>
      <c r="Z1635" s="584">
        <f t="shared" si="867"/>
        <v>22.5</v>
      </c>
      <c r="AA1635" s="584">
        <f t="shared" si="868"/>
        <v>3</v>
      </c>
      <c r="AB1635" s="584">
        <f t="shared" si="869"/>
        <v>0</v>
      </c>
      <c r="AC1635" s="581"/>
    </row>
    <row r="1636" spans="17:29">
      <c r="Q1636" s="579">
        <v>46131</v>
      </c>
      <c r="R1636" s="580">
        <v>0.45833333333333331</v>
      </c>
      <c r="S1636" s="581" t="s">
        <v>289</v>
      </c>
      <c r="T1636" s="581" t="s">
        <v>806</v>
      </c>
      <c r="U1636" s="582">
        <v>0.66666666699999999</v>
      </c>
      <c r="V1636" s="583" t="str">
        <f t="shared" si="863"/>
        <v>pack</v>
      </c>
      <c r="W1636" s="584">
        <f t="shared" si="864"/>
        <v>86.666666710000001</v>
      </c>
      <c r="X1636" s="584">
        <f t="shared" si="865"/>
        <v>0.66666666699999999</v>
      </c>
      <c r="Y1636" s="584">
        <f t="shared" si="866"/>
        <v>4.0000000020000002</v>
      </c>
      <c r="Z1636" s="584">
        <f t="shared" si="867"/>
        <v>12.666666673</v>
      </c>
      <c r="AA1636" s="584">
        <f t="shared" si="868"/>
        <v>0</v>
      </c>
      <c r="AB1636" s="584">
        <f t="shared" si="869"/>
        <v>0</v>
      </c>
      <c r="AC1636" s="581"/>
    </row>
    <row r="1637" spans="17:29">
      <c r="Q1637" s="579">
        <v>46131</v>
      </c>
      <c r="R1637" s="580">
        <v>0.54166666666666663</v>
      </c>
      <c r="S1637" s="581" t="s">
        <v>185</v>
      </c>
      <c r="T1637" s="581" t="s">
        <v>176</v>
      </c>
      <c r="U1637" s="582">
        <v>200</v>
      </c>
      <c r="V1637" s="583" t="str">
        <f t="shared" si="863"/>
        <v>g</v>
      </c>
      <c r="W1637" s="584">
        <f t="shared" si="864"/>
        <v>330</v>
      </c>
      <c r="X1637" s="584">
        <f t="shared" si="865"/>
        <v>50</v>
      </c>
      <c r="Y1637" s="584">
        <f t="shared" si="866"/>
        <v>7.2</v>
      </c>
      <c r="Z1637" s="584">
        <f t="shared" si="867"/>
        <v>0</v>
      </c>
      <c r="AA1637" s="584">
        <f t="shared" si="868"/>
        <v>0</v>
      </c>
      <c r="AB1637" s="584">
        <f t="shared" si="869"/>
        <v>0</v>
      </c>
      <c r="AC1637" s="581"/>
    </row>
    <row r="1638" spans="17:29">
      <c r="Q1638" s="579">
        <v>46131</v>
      </c>
      <c r="R1638" s="580">
        <v>0.54166666666666663</v>
      </c>
      <c r="S1638" s="581" t="s">
        <v>185</v>
      </c>
      <c r="T1638" s="581" t="s">
        <v>180</v>
      </c>
      <c r="U1638" s="582">
        <v>250</v>
      </c>
      <c r="V1638" s="583" t="str">
        <f t="shared" si="863"/>
        <v>g</v>
      </c>
      <c r="W1638" s="584">
        <f t="shared" si="864"/>
        <v>325</v>
      </c>
      <c r="X1638" s="584">
        <f t="shared" si="865"/>
        <v>6.75</v>
      </c>
      <c r="Y1638" s="584">
        <f t="shared" si="866"/>
        <v>0.75</v>
      </c>
      <c r="Z1638" s="584">
        <f t="shared" si="867"/>
        <v>70</v>
      </c>
      <c r="AA1638" s="584">
        <f t="shared" si="868"/>
        <v>1</v>
      </c>
      <c r="AB1638" s="584">
        <f t="shared" si="869"/>
        <v>0</v>
      </c>
      <c r="AC1638" s="581"/>
    </row>
    <row r="1639" spans="17:29">
      <c r="Q1639" s="579">
        <v>46131</v>
      </c>
      <c r="R1639" s="580">
        <v>0.58333333333333337</v>
      </c>
      <c r="S1639" s="581" t="s">
        <v>289</v>
      </c>
      <c r="T1639" s="581" t="s">
        <v>268</v>
      </c>
      <c r="U1639" s="582">
        <v>1</v>
      </c>
      <c r="V1639" s="583" t="str">
        <f t="shared" si="863"/>
        <v>scoop</v>
      </c>
      <c r="W1639" s="584">
        <f t="shared" si="864"/>
        <v>160</v>
      </c>
      <c r="X1639" s="584">
        <f t="shared" si="865"/>
        <v>2.5</v>
      </c>
      <c r="Y1639" s="584">
        <f t="shared" si="866"/>
        <v>8.5</v>
      </c>
      <c r="Z1639" s="584">
        <f t="shared" si="867"/>
        <v>19.5</v>
      </c>
      <c r="AA1639" s="584">
        <f t="shared" si="868"/>
        <v>0</v>
      </c>
      <c r="AB1639" s="584">
        <f t="shared" si="869"/>
        <v>0</v>
      </c>
      <c r="AC1639" s="581"/>
    </row>
    <row r="1640" spans="17:29">
      <c r="Q1640" s="579">
        <v>46131</v>
      </c>
      <c r="R1640" s="580">
        <v>0.58333333333333337</v>
      </c>
      <c r="S1640" s="581" t="s">
        <v>289</v>
      </c>
      <c r="T1640" s="581" t="s">
        <v>806</v>
      </c>
      <c r="U1640" s="582">
        <v>0.33333333300000001</v>
      </c>
      <c r="V1640" s="583" t="str">
        <f t="shared" si="863"/>
        <v>pack</v>
      </c>
      <c r="W1640" s="584">
        <f t="shared" si="864"/>
        <v>43.333333289999999</v>
      </c>
      <c r="X1640" s="584">
        <f t="shared" si="865"/>
        <v>0.33333333300000001</v>
      </c>
      <c r="Y1640" s="584">
        <f t="shared" si="866"/>
        <v>1.9999999980000001</v>
      </c>
      <c r="Z1640" s="584">
        <f t="shared" si="867"/>
        <v>6.3333333270000001</v>
      </c>
      <c r="AA1640" s="584">
        <f t="shared" si="868"/>
        <v>0</v>
      </c>
      <c r="AB1640" s="584">
        <f t="shared" si="869"/>
        <v>0</v>
      </c>
      <c r="AC1640" s="581"/>
    </row>
    <row r="1641" spans="17:29">
      <c r="Q1641" s="579">
        <v>46131</v>
      </c>
      <c r="R1641" s="580">
        <v>0.625</v>
      </c>
      <c r="S1641" s="581" t="s">
        <v>289</v>
      </c>
      <c r="T1641" s="581" t="s">
        <v>464</v>
      </c>
      <c r="U1641" s="582">
        <v>1</v>
      </c>
      <c r="V1641" s="583" t="str">
        <f t="shared" si="863"/>
        <v>lozenge</v>
      </c>
      <c r="W1641" s="584">
        <f t="shared" si="864"/>
        <v>10</v>
      </c>
      <c r="X1641" s="584">
        <f t="shared" si="865"/>
        <v>0</v>
      </c>
      <c r="Y1641" s="584">
        <f t="shared" si="866"/>
        <v>0</v>
      </c>
      <c r="Z1641" s="584">
        <f t="shared" si="867"/>
        <v>3</v>
      </c>
      <c r="AA1641" s="584">
        <f t="shared" si="868"/>
        <v>0</v>
      </c>
      <c r="AB1641" s="584">
        <f t="shared" si="869"/>
        <v>0</v>
      </c>
      <c r="AC1641" s="581"/>
    </row>
    <row r="1642" spans="17:29">
      <c r="Q1642" s="579">
        <v>46131</v>
      </c>
      <c r="R1642" s="580">
        <v>0.70833333333333337</v>
      </c>
      <c r="S1642" s="581" t="s">
        <v>289</v>
      </c>
      <c r="T1642" s="581" t="s">
        <v>856</v>
      </c>
      <c r="U1642" s="582">
        <v>150</v>
      </c>
      <c r="V1642" s="583" t="str">
        <f t="shared" si="863"/>
        <v>g</v>
      </c>
      <c r="W1642" s="584">
        <f t="shared" si="864"/>
        <v>90</v>
      </c>
      <c r="X1642" s="584">
        <f t="shared" si="865"/>
        <v>1.5</v>
      </c>
      <c r="Y1642" s="584">
        <f t="shared" si="866"/>
        <v>0</v>
      </c>
      <c r="Z1642" s="584">
        <f t="shared" si="867"/>
        <v>22.5</v>
      </c>
      <c r="AA1642" s="584">
        <f t="shared" si="868"/>
        <v>3</v>
      </c>
      <c r="AB1642" s="584">
        <f t="shared" si="869"/>
        <v>0</v>
      </c>
      <c r="AC1642" s="581"/>
    </row>
    <row r="1643" spans="17:29">
      <c r="Q1643" s="579">
        <v>46131</v>
      </c>
      <c r="R1643" s="580">
        <v>0.70833333333333337</v>
      </c>
      <c r="S1643" s="581" t="s">
        <v>289</v>
      </c>
      <c r="T1643" s="581" t="s">
        <v>497</v>
      </c>
      <c r="U1643" s="582">
        <v>0.5</v>
      </c>
      <c r="V1643" s="583" t="str">
        <f t="shared" si="863"/>
        <v>bag</v>
      </c>
      <c r="W1643" s="584">
        <f t="shared" si="864"/>
        <v>50</v>
      </c>
      <c r="X1643" s="584">
        <f t="shared" si="865"/>
        <v>0.25</v>
      </c>
      <c r="Y1643" s="584">
        <f t="shared" si="866"/>
        <v>3.5</v>
      </c>
      <c r="Z1643" s="584">
        <f t="shared" si="867"/>
        <v>5</v>
      </c>
      <c r="AA1643" s="584">
        <f t="shared" si="868"/>
        <v>0</v>
      </c>
      <c r="AB1643" s="584">
        <f t="shared" si="869"/>
        <v>0</v>
      </c>
      <c r="AC1643" s="581"/>
    </row>
    <row r="1644" spans="17:29">
      <c r="Q1644" s="579">
        <v>46131</v>
      </c>
      <c r="R1644" s="580">
        <v>0.83333333333333337</v>
      </c>
      <c r="S1644" s="581" t="s">
        <v>199</v>
      </c>
      <c r="T1644" s="581" t="s">
        <v>176</v>
      </c>
      <c r="U1644" s="582">
        <v>200</v>
      </c>
      <c r="V1644" s="583" t="str">
        <f t="shared" si="863"/>
        <v>g</v>
      </c>
      <c r="W1644" s="584">
        <f t="shared" si="864"/>
        <v>330</v>
      </c>
      <c r="X1644" s="584">
        <f t="shared" si="865"/>
        <v>50</v>
      </c>
      <c r="Y1644" s="584">
        <f t="shared" si="866"/>
        <v>7.2</v>
      </c>
      <c r="Z1644" s="584">
        <f t="shared" si="867"/>
        <v>0</v>
      </c>
      <c r="AA1644" s="584">
        <f t="shared" si="868"/>
        <v>0</v>
      </c>
      <c r="AB1644" s="584">
        <f t="shared" si="869"/>
        <v>0</v>
      </c>
      <c r="AC1644" s="581"/>
    </row>
    <row r="1645" spans="17:29">
      <c r="Q1645" s="579">
        <v>46131</v>
      </c>
      <c r="R1645" s="580">
        <v>0.83333333333333337</v>
      </c>
      <c r="S1645" s="581" t="s">
        <v>199</v>
      </c>
      <c r="T1645" s="581" t="s">
        <v>180</v>
      </c>
      <c r="U1645" s="582">
        <v>250</v>
      </c>
      <c r="V1645" s="583" t="str">
        <f t="shared" si="863"/>
        <v>g</v>
      </c>
      <c r="W1645" s="584">
        <f t="shared" si="864"/>
        <v>325</v>
      </c>
      <c r="X1645" s="584">
        <f t="shared" si="865"/>
        <v>6.75</v>
      </c>
      <c r="Y1645" s="584">
        <f t="shared" si="866"/>
        <v>0.75</v>
      </c>
      <c r="Z1645" s="584">
        <f t="shared" si="867"/>
        <v>70</v>
      </c>
      <c r="AA1645" s="584">
        <f t="shared" si="868"/>
        <v>1</v>
      </c>
      <c r="AB1645" s="584">
        <f t="shared" si="869"/>
        <v>0</v>
      </c>
      <c r="AC1645" s="581"/>
    </row>
    <row r="1646" spans="17:29">
      <c r="Q1646" s="579">
        <v>46131</v>
      </c>
      <c r="R1646" s="580">
        <v>0.83333333333333337</v>
      </c>
      <c r="S1646" s="581" t="s">
        <v>289</v>
      </c>
      <c r="T1646" s="581" t="s">
        <v>468</v>
      </c>
      <c r="U1646" s="582">
        <v>2</v>
      </c>
      <c r="V1646" s="583" t="str">
        <f t="shared" si="863"/>
        <v>apple</v>
      </c>
      <c r="W1646" s="584">
        <f t="shared" si="864"/>
        <v>190</v>
      </c>
      <c r="X1646" s="584">
        <f t="shared" si="865"/>
        <v>1</v>
      </c>
      <c r="Y1646" s="584">
        <f t="shared" si="866"/>
        <v>0.6</v>
      </c>
      <c r="Z1646" s="584">
        <f t="shared" si="867"/>
        <v>50</v>
      </c>
      <c r="AA1646" s="584">
        <f t="shared" si="868"/>
        <v>8</v>
      </c>
      <c r="AB1646" s="584">
        <f t="shared" si="869"/>
        <v>0</v>
      </c>
      <c r="AC1646" s="581"/>
    </row>
    <row r="1647" spans="17:29">
      <c r="Q1647" s="579">
        <v>46131</v>
      </c>
      <c r="R1647" s="580">
        <v>0.875</v>
      </c>
      <c r="S1647" s="581" t="s">
        <v>289</v>
      </c>
      <c r="T1647" s="581" t="s">
        <v>917</v>
      </c>
      <c r="U1647" s="582">
        <v>1</v>
      </c>
      <c r="V1647" s="583" t="str">
        <f t="shared" si="863"/>
        <v>can</v>
      </c>
      <c r="W1647" s="584">
        <f t="shared" si="864"/>
        <v>0</v>
      </c>
      <c r="X1647" s="584">
        <f t="shared" si="865"/>
        <v>0</v>
      </c>
      <c r="Y1647" s="584">
        <f t="shared" si="866"/>
        <v>0</v>
      </c>
      <c r="Z1647" s="584">
        <f t="shared" si="867"/>
        <v>0</v>
      </c>
      <c r="AA1647" s="584">
        <f t="shared" si="868"/>
        <v>0</v>
      </c>
      <c r="AB1647" s="584">
        <f t="shared" si="869"/>
        <v>0</v>
      </c>
      <c r="AC1647" s="581"/>
    </row>
    <row r="1648" spans="17:29">
      <c r="Q1648" s="579">
        <v>46131</v>
      </c>
      <c r="R1648" s="580">
        <v>0.875</v>
      </c>
      <c r="S1648" s="581" t="s">
        <v>289</v>
      </c>
      <c r="T1648" s="581" t="s">
        <v>461</v>
      </c>
      <c r="U1648" s="582">
        <v>1</v>
      </c>
      <c r="V1648" s="583" t="str">
        <f t="shared" si="863"/>
        <v>chunks</v>
      </c>
      <c r="W1648" s="584">
        <f t="shared" si="864"/>
        <v>24.285714285714285</v>
      </c>
      <c r="X1648" s="584">
        <f t="shared" si="865"/>
        <v>0.42857142857142855</v>
      </c>
      <c r="Y1648" s="584">
        <f t="shared" si="866"/>
        <v>1.4285714285714284</v>
      </c>
      <c r="Z1648" s="584">
        <f t="shared" si="867"/>
        <v>2.5714285714285712</v>
      </c>
      <c r="AA1648" s="584">
        <f t="shared" si="868"/>
        <v>7.1428571428571425E-2</v>
      </c>
      <c r="AB1648" s="584"/>
      <c r="AC1648" s="581"/>
    </row>
    <row r="1649" spans="17:29">
      <c r="Q1649" s="579">
        <v>46131</v>
      </c>
      <c r="R1649" s="580">
        <v>0.875</v>
      </c>
      <c r="S1649" s="581" t="s">
        <v>289</v>
      </c>
      <c r="T1649" s="581" t="s">
        <v>786</v>
      </c>
      <c r="U1649" s="582">
        <v>1</v>
      </c>
      <c r="V1649" s="583" t="str">
        <f t="shared" si="863"/>
        <v>bottle</v>
      </c>
      <c r="W1649" s="584">
        <f t="shared" si="864"/>
        <v>90</v>
      </c>
      <c r="X1649" s="584">
        <f t="shared" si="865"/>
        <v>0</v>
      </c>
      <c r="Y1649" s="584">
        <f t="shared" si="866"/>
        <v>0</v>
      </c>
      <c r="Z1649" s="584">
        <f t="shared" si="867"/>
        <v>22</v>
      </c>
      <c r="AA1649" s="584">
        <f t="shared" si="868"/>
        <v>0</v>
      </c>
      <c r="AB1649" s="584">
        <f>IFERROR(VLOOKUP(T1649, $E$5:$O$818, 9, FALSE) * (U1649 / VLOOKUP(T1649, $E$5:$O$818, 2, FALSE)), "")</f>
        <v>0</v>
      </c>
      <c r="AC1649" s="581"/>
    </row>
    <row r="1650" spans="17:29">
      <c r="Q1650" s="579">
        <v>46131</v>
      </c>
      <c r="R1650" s="580">
        <v>0.875</v>
      </c>
      <c r="S1650" s="581" t="s">
        <v>289</v>
      </c>
      <c r="T1650" s="581" t="s">
        <v>1081</v>
      </c>
      <c r="U1650" s="582">
        <v>23.5</v>
      </c>
      <c r="V1650" s="583" t="str">
        <f t="shared" si="863"/>
        <v>g</v>
      </c>
      <c r="W1650" s="584">
        <f>IFERROR(VLOOKUP(T1650, $E$5:$L$818, 4, FALSE) * (U1650 / VLOOKUP(T1650, $E$5:$L$818, 2, FALSE)), "")</f>
        <v>47</v>
      </c>
      <c r="X1650" s="584">
        <f t="shared" si="865"/>
        <v>0</v>
      </c>
      <c r="Y1650" s="584">
        <f t="shared" si="866"/>
        <v>0</v>
      </c>
      <c r="Z1650" s="584">
        <f t="shared" si="867"/>
        <v>18.8</v>
      </c>
      <c r="AA1650" s="584">
        <f t="shared" si="868"/>
        <v>18.8</v>
      </c>
      <c r="AB1650" s="584"/>
      <c r="AC1650" s="581"/>
    </row>
    <row r="1651" spans="17:29">
      <c r="Q1651" s="585"/>
      <c r="R1651" s="586" t="s">
        <v>217</v>
      </c>
      <c r="S1651" s="587"/>
      <c r="T1651" s="588"/>
      <c r="U1651" s="588"/>
      <c r="V1651" s="589"/>
      <c r="W1651" s="590">
        <f t="shared" ref="W1651:AB1651" si="870">SUM(W1632:W1650)</f>
        <v>2695.2857142857142</v>
      </c>
      <c r="X1651" s="590">
        <f t="shared" si="870"/>
        <v>167.67857142857142</v>
      </c>
      <c r="Y1651" s="590">
        <f t="shared" si="870"/>
        <v>45.428571428571438</v>
      </c>
      <c r="Z1651" s="590">
        <f t="shared" si="870"/>
        <v>383.87142857142857</v>
      </c>
      <c r="AA1651" s="688">
        <f t="shared" si="870"/>
        <v>40.871428571428574</v>
      </c>
      <c r="AB1651" s="691">
        <f t="shared" si="870"/>
        <v>0</v>
      </c>
      <c r="AC1651" s="586"/>
    </row>
    <row r="1652" spans="17:29">
      <c r="Q1652" s="585"/>
      <c r="R1652" s="586" t="s">
        <v>220</v>
      </c>
      <c r="S1652" s="587"/>
      <c r="T1652" s="588"/>
      <c r="U1652" s="588"/>
      <c r="V1652" s="589"/>
      <c r="W1652" s="591">
        <f>$B$27</f>
        <v>2834.5625</v>
      </c>
      <c r="X1652" s="591">
        <f>$B$29</f>
        <v>154</v>
      </c>
      <c r="Y1652" s="591">
        <f>$B$30</f>
        <v>63.91</v>
      </c>
      <c r="Z1652" s="591">
        <f>$B$31</f>
        <v>410.84312499999999</v>
      </c>
      <c r="AA1652" s="642">
        <f>$B$32</f>
        <v>39.683875</v>
      </c>
      <c r="AB1652" s="695">
        <f>$B$39</f>
        <v>500</v>
      </c>
      <c r="AC1652" s="586"/>
    </row>
    <row r="1653" spans="17:29">
      <c r="Q1653" s="585"/>
      <c r="R1653" s="586" t="s">
        <v>222</v>
      </c>
      <c r="S1653" s="587"/>
      <c r="T1653" s="588"/>
      <c r="U1653" s="588"/>
      <c r="V1653" s="589"/>
      <c r="W1653" s="284">
        <f t="shared" ref="W1653:AB1653" si="871">W1651-W1652</f>
        <v>-139.27678571428578</v>
      </c>
      <c r="X1653" s="284">
        <f t="shared" si="871"/>
        <v>13.678571428571416</v>
      </c>
      <c r="Y1653" s="284">
        <f t="shared" si="871"/>
        <v>-18.481428571428559</v>
      </c>
      <c r="Z1653" s="284">
        <f t="shared" si="871"/>
        <v>-26.97169642857142</v>
      </c>
      <c r="AA1653" s="690">
        <f t="shared" si="871"/>
        <v>1.1875535714285732</v>
      </c>
      <c r="AB1653" s="689">
        <f t="shared" si="871"/>
        <v>-500</v>
      </c>
      <c r="AC1653" s="586"/>
    </row>
    <row r="1654" spans="17:29">
      <c r="Q1654" s="579">
        <v>46132</v>
      </c>
      <c r="R1654" s="580">
        <v>0.25</v>
      </c>
      <c r="S1654" s="581" t="s">
        <v>178</v>
      </c>
      <c r="T1654" s="581" t="s">
        <v>1104</v>
      </c>
      <c r="U1654" s="582">
        <v>5</v>
      </c>
      <c r="V1654" s="583" t="str">
        <f t="shared" ref="V1654:V1669" si="872">IFERROR(VLOOKUP(T1654, $E$5:$L$818, 3, FALSE), "")</f>
        <v>g</v>
      </c>
      <c r="W1654" s="584">
        <f t="shared" ref="W1654:W1669" si="873">IFERROR(VLOOKUP(T1654, $E$5:$L$818, 4, FALSE) * (U1654 / VLOOKUP(T1654, $E$5:$L$818, 2, FALSE)), "")</f>
        <v>24</v>
      </c>
      <c r="X1654" s="584">
        <f t="shared" ref="X1654:X1669" si="874">IFERROR(VLOOKUP(T1654, $E$5:$L$818, 5, FALSE) * (U1654 / VLOOKUP(T1654, $E$5:$L$818, 2, FALSE)), "")</f>
        <v>1</v>
      </c>
      <c r="Y1654" s="584">
        <f t="shared" ref="Y1654:Y1669" si="875">IFERROR(VLOOKUP(T1654, $E$5:$L$818, 6, FALSE) * (U1654 / VLOOKUP(T1654, $E$5:$L$818, 2, FALSE)), "")</f>
        <v>2</v>
      </c>
      <c r="Z1654" s="584">
        <f t="shared" ref="Z1654:Z1669" si="876">IFERROR(VLOOKUP(T1654, $E$5:$L$818, 7, FALSE) * (U1654 / VLOOKUP(T1654, $E$5:$L$818, 2, FALSE)), "")</f>
        <v>2</v>
      </c>
      <c r="AA1654" s="584">
        <f t="shared" ref="AA1654:AA1669" si="877">IFERROR(VLOOKUP(T1654, $E$5:$L$818, 8, FALSE) * (U1654 / VLOOKUP(T1654, $E$5:$L$818, 2, FALSE)), "")</f>
        <v>2</v>
      </c>
      <c r="AB1654" s="674">
        <f t="shared" ref="AB1654:AB1668" si="878">IFERROR(VLOOKUP(T1654, $E$5:$O$818, 9, FALSE) * (U1654 / VLOOKUP(T1654, $E$5:$O$818, 2, FALSE)), "")</f>
        <v>0</v>
      </c>
      <c r="AC1654" s="581"/>
    </row>
    <row r="1655" spans="17:29">
      <c r="Q1655" s="579">
        <v>46132</v>
      </c>
      <c r="R1655" s="580">
        <v>0.25</v>
      </c>
      <c r="S1655" s="581" t="s">
        <v>178</v>
      </c>
      <c r="T1655" s="581" t="s">
        <v>1076</v>
      </c>
      <c r="U1655" s="582">
        <v>1</v>
      </c>
      <c r="V1655" s="583" t="str">
        <f t="shared" si="872"/>
        <v>pounch</v>
      </c>
      <c r="W1655" s="584">
        <f t="shared" si="873"/>
        <v>45</v>
      </c>
      <c r="X1655" s="584">
        <f t="shared" si="874"/>
        <v>0</v>
      </c>
      <c r="Y1655" s="584">
        <f t="shared" si="875"/>
        <v>0</v>
      </c>
      <c r="Z1655" s="584">
        <f t="shared" si="876"/>
        <v>11</v>
      </c>
      <c r="AA1655" s="584">
        <f t="shared" si="877"/>
        <v>0</v>
      </c>
      <c r="AB1655" s="584">
        <f t="shared" si="878"/>
        <v>0</v>
      </c>
      <c r="AC1655" s="581"/>
    </row>
    <row r="1656" spans="17:29">
      <c r="Q1656" s="579">
        <v>46132</v>
      </c>
      <c r="R1656" s="580">
        <v>0.33333333333333331</v>
      </c>
      <c r="S1656" s="581" t="s">
        <v>289</v>
      </c>
      <c r="T1656" s="581" t="s">
        <v>181</v>
      </c>
      <c r="U1656" s="582">
        <v>4</v>
      </c>
      <c r="V1656" s="583" t="str">
        <f t="shared" si="872"/>
        <v>slice</v>
      </c>
      <c r="W1656" s="584">
        <f t="shared" si="873"/>
        <v>280</v>
      </c>
      <c r="X1656" s="584">
        <f t="shared" si="874"/>
        <v>10</v>
      </c>
      <c r="Y1656" s="584">
        <f t="shared" si="875"/>
        <v>5</v>
      </c>
      <c r="Z1656" s="584">
        <f t="shared" si="876"/>
        <v>48</v>
      </c>
      <c r="AA1656" s="584">
        <f t="shared" si="877"/>
        <v>4</v>
      </c>
      <c r="AB1656" s="584">
        <f t="shared" si="878"/>
        <v>0</v>
      </c>
      <c r="AC1656" s="581"/>
    </row>
    <row r="1657" spans="17:29">
      <c r="Q1657" s="579">
        <v>46132</v>
      </c>
      <c r="R1657" s="580">
        <v>0.33333333333333331</v>
      </c>
      <c r="S1657" s="581" t="s">
        <v>289</v>
      </c>
      <c r="T1657" s="581" t="s">
        <v>295</v>
      </c>
      <c r="U1657" s="582">
        <v>1</v>
      </c>
      <c r="V1657" s="583" t="str">
        <f t="shared" si="872"/>
        <v>bottle</v>
      </c>
      <c r="W1657" s="584">
        <f t="shared" si="873"/>
        <v>200</v>
      </c>
      <c r="X1657" s="584">
        <f t="shared" si="874"/>
        <v>35</v>
      </c>
      <c r="Y1657" s="584">
        <f t="shared" si="875"/>
        <v>2.5</v>
      </c>
      <c r="Z1657" s="584">
        <f t="shared" si="876"/>
        <v>9</v>
      </c>
      <c r="AA1657" s="584">
        <f t="shared" si="877"/>
        <v>0</v>
      </c>
      <c r="AB1657" s="584">
        <f t="shared" si="878"/>
        <v>0</v>
      </c>
      <c r="AC1657" s="581"/>
    </row>
    <row r="1658" spans="17:29">
      <c r="Q1658" s="579">
        <v>46132</v>
      </c>
      <c r="R1658" s="580">
        <v>0.54166666666666663</v>
      </c>
      <c r="S1658" s="581" t="s">
        <v>185</v>
      </c>
      <c r="T1658" s="581" t="s">
        <v>176</v>
      </c>
      <c r="U1658" s="582">
        <v>200</v>
      </c>
      <c r="V1658" s="583" t="str">
        <f t="shared" si="872"/>
        <v>g</v>
      </c>
      <c r="W1658" s="584">
        <f t="shared" si="873"/>
        <v>330</v>
      </c>
      <c r="X1658" s="584">
        <f t="shared" si="874"/>
        <v>50</v>
      </c>
      <c r="Y1658" s="584">
        <f t="shared" si="875"/>
        <v>7.2</v>
      </c>
      <c r="Z1658" s="584">
        <f t="shared" si="876"/>
        <v>0</v>
      </c>
      <c r="AA1658" s="584">
        <f t="shared" si="877"/>
        <v>0</v>
      </c>
      <c r="AB1658" s="584">
        <f t="shared" si="878"/>
        <v>0</v>
      </c>
      <c r="AC1658" s="581"/>
    </row>
    <row r="1659" spans="17:29">
      <c r="Q1659" s="579">
        <v>46132</v>
      </c>
      <c r="R1659" s="580">
        <v>0.54166666666666663</v>
      </c>
      <c r="S1659" s="581" t="s">
        <v>185</v>
      </c>
      <c r="T1659" s="581" t="s">
        <v>180</v>
      </c>
      <c r="U1659" s="582">
        <v>250</v>
      </c>
      <c r="V1659" s="583" t="str">
        <f t="shared" si="872"/>
        <v>g</v>
      </c>
      <c r="W1659" s="584">
        <f t="shared" si="873"/>
        <v>325</v>
      </c>
      <c r="X1659" s="584">
        <f t="shared" si="874"/>
        <v>6.75</v>
      </c>
      <c r="Y1659" s="584">
        <f t="shared" si="875"/>
        <v>0.75</v>
      </c>
      <c r="Z1659" s="584">
        <f t="shared" si="876"/>
        <v>70</v>
      </c>
      <c r="AA1659" s="584">
        <f t="shared" si="877"/>
        <v>1</v>
      </c>
      <c r="AB1659" s="584">
        <f t="shared" si="878"/>
        <v>0</v>
      </c>
      <c r="AC1659" s="581"/>
    </row>
    <row r="1660" spans="17:29">
      <c r="Q1660" s="579">
        <v>46132</v>
      </c>
      <c r="R1660" s="580">
        <v>0.54166666666666663</v>
      </c>
      <c r="S1660" s="581" t="s">
        <v>289</v>
      </c>
      <c r="T1660" s="581" t="s">
        <v>856</v>
      </c>
      <c r="U1660" s="582">
        <v>100</v>
      </c>
      <c r="V1660" s="583" t="str">
        <f t="shared" si="872"/>
        <v>g</v>
      </c>
      <c r="W1660" s="584">
        <f t="shared" si="873"/>
        <v>60</v>
      </c>
      <c r="X1660" s="584">
        <f t="shared" si="874"/>
        <v>1</v>
      </c>
      <c r="Y1660" s="584">
        <f t="shared" si="875"/>
        <v>0</v>
      </c>
      <c r="Z1660" s="584">
        <f t="shared" si="876"/>
        <v>15</v>
      </c>
      <c r="AA1660" s="584">
        <f t="shared" si="877"/>
        <v>2</v>
      </c>
      <c r="AB1660" s="584">
        <f t="shared" si="878"/>
        <v>0</v>
      </c>
      <c r="AC1660" s="581"/>
    </row>
    <row r="1661" spans="17:29">
      <c r="Q1661" s="579">
        <v>46132</v>
      </c>
      <c r="R1661" s="580">
        <v>0.79166666666666663</v>
      </c>
      <c r="S1661" s="581" t="s">
        <v>289</v>
      </c>
      <c r="T1661" s="581" t="s">
        <v>461</v>
      </c>
      <c r="U1661" s="582">
        <v>2</v>
      </c>
      <c r="V1661" s="583" t="str">
        <f t="shared" si="872"/>
        <v>chunks</v>
      </c>
      <c r="W1661" s="584">
        <f t="shared" si="873"/>
        <v>48.571428571428569</v>
      </c>
      <c r="X1661" s="584">
        <f t="shared" si="874"/>
        <v>0.8571428571428571</v>
      </c>
      <c r="Y1661" s="584">
        <f t="shared" si="875"/>
        <v>2.8571428571428568</v>
      </c>
      <c r="Z1661" s="584">
        <f t="shared" si="876"/>
        <v>5.1428571428571423</v>
      </c>
      <c r="AA1661" s="584">
        <f t="shared" si="877"/>
        <v>0.14285714285714285</v>
      </c>
      <c r="AB1661" s="584">
        <f t="shared" si="878"/>
        <v>0</v>
      </c>
      <c r="AC1661" s="581"/>
    </row>
    <row r="1662" spans="17:29">
      <c r="Q1662" s="579">
        <v>46132</v>
      </c>
      <c r="R1662" s="580">
        <v>0.79166666666666663</v>
      </c>
      <c r="S1662" s="581" t="s">
        <v>289</v>
      </c>
      <c r="T1662" s="581" t="s">
        <v>917</v>
      </c>
      <c r="U1662" s="582">
        <v>1</v>
      </c>
      <c r="V1662" s="583" t="str">
        <f t="shared" si="872"/>
        <v>can</v>
      </c>
      <c r="W1662" s="584">
        <f t="shared" si="873"/>
        <v>0</v>
      </c>
      <c r="X1662" s="584">
        <f t="shared" si="874"/>
        <v>0</v>
      </c>
      <c r="Y1662" s="584">
        <f t="shared" si="875"/>
        <v>0</v>
      </c>
      <c r="Z1662" s="584">
        <f t="shared" si="876"/>
        <v>0</v>
      </c>
      <c r="AA1662" s="584">
        <f t="shared" si="877"/>
        <v>0</v>
      </c>
      <c r="AB1662" s="584">
        <f t="shared" si="878"/>
        <v>0</v>
      </c>
      <c r="AC1662" s="581"/>
    </row>
    <row r="1663" spans="17:29">
      <c r="Q1663" s="579">
        <v>46132</v>
      </c>
      <c r="R1663" s="580">
        <v>0.79166666666666663</v>
      </c>
      <c r="S1663" s="581" t="s">
        <v>199</v>
      </c>
      <c r="T1663" s="581" t="s">
        <v>849</v>
      </c>
      <c r="U1663" s="582">
        <v>1</v>
      </c>
      <c r="V1663" s="583" t="str">
        <f t="shared" si="872"/>
        <v>bowl</v>
      </c>
      <c r="W1663" s="584">
        <f t="shared" si="873"/>
        <v>320</v>
      </c>
      <c r="X1663" s="584">
        <f t="shared" si="874"/>
        <v>22</v>
      </c>
      <c r="Y1663" s="584">
        <f t="shared" si="875"/>
        <v>8</v>
      </c>
      <c r="Z1663" s="584">
        <f t="shared" si="876"/>
        <v>42</v>
      </c>
      <c r="AA1663" s="584">
        <f t="shared" si="877"/>
        <v>4</v>
      </c>
      <c r="AB1663" s="584">
        <f t="shared" si="878"/>
        <v>0</v>
      </c>
      <c r="AC1663" s="581"/>
    </row>
    <row r="1664" spans="17:29">
      <c r="Q1664" s="579">
        <v>46132</v>
      </c>
      <c r="R1664" s="580">
        <v>0.79166666666666663</v>
      </c>
      <c r="S1664" s="581" t="s">
        <v>199</v>
      </c>
      <c r="T1664" s="581" t="s">
        <v>234</v>
      </c>
      <c r="U1664" s="582">
        <v>1</v>
      </c>
      <c r="V1664" s="583" t="str">
        <f t="shared" si="872"/>
        <v>can</v>
      </c>
      <c r="W1664" s="584">
        <f t="shared" si="873"/>
        <v>260</v>
      </c>
      <c r="X1664" s="584">
        <f t="shared" si="874"/>
        <v>30</v>
      </c>
      <c r="Y1664" s="584">
        <f t="shared" si="875"/>
        <v>16</v>
      </c>
      <c r="Z1664" s="584">
        <f t="shared" si="876"/>
        <v>2</v>
      </c>
      <c r="AA1664" s="584">
        <f t="shared" si="877"/>
        <v>0</v>
      </c>
      <c r="AB1664" s="584">
        <f t="shared" si="878"/>
        <v>1300</v>
      </c>
      <c r="AC1664" s="581"/>
    </row>
    <row r="1665" spans="17:29">
      <c r="Q1665" s="579">
        <v>46132</v>
      </c>
      <c r="R1665" s="580">
        <v>0.79166666666666663</v>
      </c>
      <c r="S1665" s="581" t="s">
        <v>199</v>
      </c>
      <c r="T1665" s="581" t="s">
        <v>176</v>
      </c>
      <c r="U1665" s="582">
        <v>100</v>
      </c>
      <c r="V1665" s="583" t="str">
        <f t="shared" si="872"/>
        <v>g</v>
      </c>
      <c r="W1665" s="584">
        <f t="shared" si="873"/>
        <v>165</v>
      </c>
      <c r="X1665" s="584">
        <f t="shared" si="874"/>
        <v>25</v>
      </c>
      <c r="Y1665" s="584">
        <f t="shared" si="875"/>
        <v>3.6</v>
      </c>
      <c r="Z1665" s="584">
        <f t="shared" si="876"/>
        <v>0</v>
      </c>
      <c r="AA1665" s="584">
        <f t="shared" si="877"/>
        <v>0</v>
      </c>
      <c r="AB1665" s="584">
        <f t="shared" si="878"/>
        <v>0</v>
      </c>
      <c r="AC1665" s="581"/>
    </row>
    <row r="1666" spans="17:29">
      <c r="Q1666" s="579">
        <v>46132</v>
      </c>
      <c r="R1666" s="580">
        <v>0.79166666666666663</v>
      </c>
      <c r="S1666" s="581" t="s">
        <v>199</v>
      </c>
      <c r="T1666" s="581" t="s">
        <v>484</v>
      </c>
      <c r="U1666" s="582">
        <v>282</v>
      </c>
      <c r="V1666" s="583" t="str">
        <f t="shared" si="872"/>
        <v>g</v>
      </c>
      <c r="W1666" s="584">
        <f t="shared" si="873"/>
        <v>262.26</v>
      </c>
      <c r="X1666" s="584">
        <f t="shared" si="874"/>
        <v>7.05</v>
      </c>
      <c r="Y1666" s="584">
        <f t="shared" si="875"/>
        <v>0.56399999999999995</v>
      </c>
      <c r="Z1666" s="584">
        <f t="shared" si="876"/>
        <v>59.22</v>
      </c>
      <c r="AA1666" s="584">
        <f t="shared" si="877"/>
        <v>7.3319999999999999</v>
      </c>
      <c r="AB1666" s="584">
        <f t="shared" si="878"/>
        <v>0</v>
      </c>
      <c r="AC1666" s="581"/>
    </row>
    <row r="1667" spans="17:29">
      <c r="Q1667" s="579">
        <v>46132</v>
      </c>
      <c r="R1667" s="580">
        <v>0.91666666666666663</v>
      </c>
      <c r="S1667" s="581" t="s">
        <v>289</v>
      </c>
      <c r="T1667" s="581" t="s">
        <v>190</v>
      </c>
      <c r="U1667" s="582">
        <v>2</v>
      </c>
      <c r="V1667" s="583" t="str">
        <f t="shared" si="872"/>
        <v>medium</v>
      </c>
      <c r="W1667" s="584">
        <f t="shared" si="873"/>
        <v>124</v>
      </c>
      <c r="X1667" s="584">
        <f t="shared" si="874"/>
        <v>2.4</v>
      </c>
      <c r="Y1667" s="584">
        <f t="shared" si="875"/>
        <v>0.4</v>
      </c>
      <c r="Z1667" s="584">
        <f t="shared" si="876"/>
        <v>30.8</v>
      </c>
      <c r="AA1667" s="584">
        <f t="shared" si="877"/>
        <v>6.2</v>
      </c>
      <c r="AB1667" s="584">
        <f t="shared" si="878"/>
        <v>0</v>
      </c>
      <c r="AC1667" s="581"/>
    </row>
    <row r="1668" spans="17:29">
      <c r="Q1668" s="579">
        <v>46132</v>
      </c>
      <c r="R1668" s="580">
        <v>0.91666666666666663</v>
      </c>
      <c r="S1668" s="581" t="s">
        <v>289</v>
      </c>
      <c r="T1668" s="581" t="s">
        <v>786</v>
      </c>
      <c r="U1668" s="582">
        <v>1</v>
      </c>
      <c r="V1668" s="583" t="str">
        <f t="shared" si="872"/>
        <v>bottle</v>
      </c>
      <c r="W1668" s="584">
        <f t="shared" si="873"/>
        <v>90</v>
      </c>
      <c r="X1668" s="584">
        <f t="shared" si="874"/>
        <v>0</v>
      </c>
      <c r="Y1668" s="584">
        <f t="shared" si="875"/>
        <v>0</v>
      </c>
      <c r="Z1668" s="584">
        <f t="shared" si="876"/>
        <v>22</v>
      </c>
      <c r="AA1668" s="584">
        <f t="shared" si="877"/>
        <v>0</v>
      </c>
      <c r="AB1668" s="584">
        <f t="shared" si="878"/>
        <v>0</v>
      </c>
      <c r="AC1668" s="581"/>
    </row>
    <row r="1669" spans="17:29">
      <c r="Q1669" s="579">
        <v>46132</v>
      </c>
      <c r="R1669" s="580">
        <v>0.91666666666666663</v>
      </c>
      <c r="S1669" s="581" t="s">
        <v>289</v>
      </c>
      <c r="T1669" s="581" t="s">
        <v>1081</v>
      </c>
      <c r="U1669" s="582">
        <v>16</v>
      </c>
      <c r="V1669" s="583" t="str">
        <f t="shared" si="872"/>
        <v>g</v>
      </c>
      <c r="W1669" s="584">
        <f t="shared" si="873"/>
        <v>32</v>
      </c>
      <c r="X1669" s="584">
        <f t="shared" si="874"/>
        <v>0</v>
      </c>
      <c r="Y1669" s="584">
        <f t="shared" si="875"/>
        <v>0</v>
      </c>
      <c r="Z1669" s="584">
        <f t="shared" si="876"/>
        <v>12.8</v>
      </c>
      <c r="AA1669" s="584">
        <f t="shared" si="877"/>
        <v>12.8</v>
      </c>
      <c r="AB1669" s="584"/>
      <c r="AC1669" s="581"/>
    </row>
    <row r="1670" spans="17:29">
      <c r="Q1670" s="585"/>
      <c r="R1670" s="586" t="s">
        <v>217</v>
      </c>
      <c r="S1670" s="587"/>
      <c r="T1670" s="588"/>
      <c r="U1670" s="588"/>
      <c r="V1670" s="589"/>
      <c r="W1670" s="590">
        <f t="shared" ref="W1670:AB1670" si="879">SUM(W1654:W1669)</f>
        <v>2565.8314285714287</v>
      </c>
      <c r="X1670" s="590">
        <f t="shared" si="879"/>
        <v>191.05714285714288</v>
      </c>
      <c r="Y1670" s="590">
        <f t="shared" si="879"/>
        <v>48.871142857142857</v>
      </c>
      <c r="Z1670" s="590">
        <f t="shared" si="879"/>
        <v>328.96285714285716</v>
      </c>
      <c r="AA1670" s="688">
        <f t="shared" si="879"/>
        <v>39.474857142857147</v>
      </c>
      <c r="AB1670" s="691">
        <f t="shared" si="879"/>
        <v>1300</v>
      </c>
      <c r="AC1670" s="586"/>
    </row>
    <row r="1671" spans="17:29">
      <c r="Q1671" s="585"/>
      <c r="R1671" s="586" t="s">
        <v>220</v>
      </c>
      <c r="S1671" s="587"/>
      <c r="T1671" s="588"/>
      <c r="U1671" s="588"/>
      <c r="V1671" s="589"/>
      <c r="W1671" s="591">
        <f>$B$27</f>
        <v>2834.5625</v>
      </c>
      <c r="X1671" s="591">
        <f>$B$29</f>
        <v>154</v>
      </c>
      <c r="Y1671" s="591">
        <f>$B$30</f>
        <v>63.91</v>
      </c>
      <c r="Z1671" s="591">
        <f>$B$31</f>
        <v>410.84312499999999</v>
      </c>
      <c r="AA1671" s="642">
        <f>$B$32</f>
        <v>39.683875</v>
      </c>
      <c r="AB1671" s="695">
        <f>$B$39</f>
        <v>500</v>
      </c>
      <c r="AC1671" s="586"/>
    </row>
    <row r="1672" spans="17:29">
      <c r="Q1672" s="585"/>
      <c r="R1672" s="586" t="s">
        <v>222</v>
      </c>
      <c r="S1672" s="587"/>
      <c r="T1672" s="588"/>
      <c r="U1672" s="588"/>
      <c r="V1672" s="589"/>
      <c r="W1672" s="284">
        <f t="shared" ref="W1672:AB1672" si="880">W1670-W1671</f>
        <v>-268.73107142857134</v>
      </c>
      <c r="X1672" s="284">
        <f t="shared" si="880"/>
        <v>37.057142857142878</v>
      </c>
      <c r="Y1672" s="284">
        <f t="shared" si="880"/>
        <v>-15.03885714285714</v>
      </c>
      <c r="Z1672" s="284">
        <f t="shared" si="880"/>
        <v>-81.880267857142826</v>
      </c>
      <c r="AA1672" s="690">
        <f t="shared" si="880"/>
        <v>-0.20901785714285381</v>
      </c>
      <c r="AB1672" s="689">
        <f t="shared" si="880"/>
        <v>800</v>
      </c>
      <c r="AC1672" s="586"/>
    </row>
    <row r="1673" spans="17:29">
      <c r="Q1673" s="579">
        <v>46133</v>
      </c>
      <c r="R1673" s="580">
        <v>0.25</v>
      </c>
      <c r="S1673" s="581" t="s">
        <v>178</v>
      </c>
      <c r="T1673" s="581" t="s">
        <v>1104</v>
      </c>
      <c r="U1673" s="582">
        <v>5</v>
      </c>
      <c r="V1673" s="583" t="str">
        <f t="shared" ref="V1673:V1686" si="881">IFERROR(VLOOKUP(T1673, $E$5:$L$818, 3, FALSE), "")</f>
        <v>g</v>
      </c>
      <c r="W1673" s="584">
        <f t="shared" ref="W1673:W1684" si="882">IFERROR(VLOOKUP(T1673, $E$5:$L$818, 4, FALSE) * (U1673 / VLOOKUP(T1673, $E$5:$L$818, 2, FALSE)), "")</f>
        <v>24</v>
      </c>
      <c r="X1673" s="584">
        <f t="shared" ref="X1673:X1686" si="883">IFERROR(VLOOKUP(T1673, $E$5:$L$818, 5, FALSE) * (U1673 / VLOOKUP(T1673, $E$5:$L$818, 2, FALSE)), "")</f>
        <v>1</v>
      </c>
      <c r="Y1673" s="584">
        <f t="shared" ref="Y1673:Y1686" si="884">IFERROR(VLOOKUP(T1673, $E$5:$L$818, 6, FALSE) * (U1673 / VLOOKUP(T1673, $E$5:$L$818, 2, FALSE)), "")</f>
        <v>2</v>
      </c>
      <c r="Z1673" s="584">
        <f t="shared" ref="Z1673:Z1686" si="885">IFERROR(VLOOKUP(T1673, $E$5:$L$818, 7, FALSE) * (U1673 / VLOOKUP(T1673, $E$5:$L$818, 2, FALSE)), "")</f>
        <v>2</v>
      </c>
      <c r="AA1673" s="584">
        <f t="shared" ref="AA1673:AA1686" si="886">IFERROR(VLOOKUP(T1673, $E$5:$L$818, 8, FALSE) * (U1673 / VLOOKUP(T1673, $E$5:$L$818, 2, FALSE)), "")</f>
        <v>2</v>
      </c>
      <c r="AB1673" s="674">
        <f t="shared" ref="AB1673:AB1684" si="887">IFERROR(VLOOKUP(T1673, $E$5:$O$818, 9, FALSE) * (U1673 / VLOOKUP(T1673, $E$5:$O$818, 2, FALSE)), "")</f>
        <v>0</v>
      </c>
      <c r="AC1673" s="581"/>
    </row>
    <row r="1674" spans="17:29">
      <c r="Q1674" s="579">
        <v>46133</v>
      </c>
      <c r="R1674" s="580">
        <v>0.25</v>
      </c>
      <c r="S1674" s="581" t="s">
        <v>178</v>
      </c>
      <c r="T1674" s="581" t="s">
        <v>1076</v>
      </c>
      <c r="U1674" s="582">
        <v>1</v>
      </c>
      <c r="V1674" s="583" t="str">
        <f t="shared" si="881"/>
        <v>pounch</v>
      </c>
      <c r="W1674" s="584">
        <f t="shared" si="882"/>
        <v>45</v>
      </c>
      <c r="X1674" s="584">
        <f t="shared" si="883"/>
        <v>0</v>
      </c>
      <c r="Y1674" s="584">
        <f t="shared" si="884"/>
        <v>0</v>
      </c>
      <c r="Z1674" s="584">
        <f t="shared" si="885"/>
        <v>11</v>
      </c>
      <c r="AA1674" s="584">
        <f t="shared" si="886"/>
        <v>0</v>
      </c>
      <c r="AB1674" s="584">
        <f t="shared" si="887"/>
        <v>0</v>
      </c>
      <c r="AC1674" s="581"/>
    </row>
    <row r="1675" spans="17:29">
      <c r="Q1675" s="579">
        <v>46133</v>
      </c>
      <c r="R1675" s="580">
        <v>0.33333333333333331</v>
      </c>
      <c r="S1675" s="581" t="s">
        <v>289</v>
      </c>
      <c r="T1675" s="581" t="s">
        <v>181</v>
      </c>
      <c r="U1675" s="582">
        <v>4</v>
      </c>
      <c r="V1675" s="583" t="str">
        <f t="shared" si="881"/>
        <v>slice</v>
      </c>
      <c r="W1675" s="584">
        <f t="shared" si="882"/>
        <v>280</v>
      </c>
      <c r="X1675" s="584">
        <f t="shared" si="883"/>
        <v>10</v>
      </c>
      <c r="Y1675" s="584">
        <f t="shared" si="884"/>
        <v>5</v>
      </c>
      <c r="Z1675" s="584">
        <f t="shared" si="885"/>
        <v>48</v>
      </c>
      <c r="AA1675" s="584">
        <f t="shared" si="886"/>
        <v>4</v>
      </c>
      <c r="AB1675" s="584">
        <f t="shared" si="887"/>
        <v>0</v>
      </c>
      <c r="AC1675" s="581"/>
    </row>
    <row r="1676" spans="17:29">
      <c r="Q1676" s="579">
        <v>46133</v>
      </c>
      <c r="R1676" s="580">
        <v>0.33333333333333331</v>
      </c>
      <c r="S1676" s="581" t="s">
        <v>289</v>
      </c>
      <c r="T1676" s="581" t="s">
        <v>295</v>
      </c>
      <c r="U1676" s="582">
        <v>1</v>
      </c>
      <c r="V1676" s="583" t="str">
        <f t="shared" si="881"/>
        <v>bottle</v>
      </c>
      <c r="W1676" s="584">
        <f t="shared" si="882"/>
        <v>200</v>
      </c>
      <c r="X1676" s="584">
        <f t="shared" si="883"/>
        <v>35</v>
      </c>
      <c r="Y1676" s="584">
        <f t="shared" si="884"/>
        <v>2.5</v>
      </c>
      <c r="Z1676" s="584">
        <f t="shared" si="885"/>
        <v>9</v>
      </c>
      <c r="AA1676" s="584">
        <f t="shared" si="886"/>
        <v>0</v>
      </c>
      <c r="AB1676" s="584">
        <f t="shared" si="887"/>
        <v>0</v>
      </c>
      <c r="AC1676" s="581"/>
    </row>
    <row r="1677" spans="17:29">
      <c r="Q1677" s="579">
        <v>46133</v>
      </c>
      <c r="R1677" s="580">
        <v>0.33333333333333331</v>
      </c>
      <c r="S1677" s="581" t="s">
        <v>289</v>
      </c>
      <c r="T1677" s="581" t="s">
        <v>461</v>
      </c>
      <c r="U1677" s="582">
        <v>2</v>
      </c>
      <c r="V1677" s="583" t="str">
        <f t="shared" si="881"/>
        <v>chunks</v>
      </c>
      <c r="W1677" s="584">
        <f t="shared" si="882"/>
        <v>48.571428571428569</v>
      </c>
      <c r="X1677" s="584">
        <f t="shared" si="883"/>
        <v>0.8571428571428571</v>
      </c>
      <c r="Y1677" s="584">
        <f t="shared" si="884"/>
        <v>2.8571428571428568</v>
      </c>
      <c r="Z1677" s="584">
        <f t="shared" si="885"/>
        <v>5.1428571428571423</v>
      </c>
      <c r="AA1677" s="584">
        <f t="shared" si="886"/>
        <v>0.14285714285714285</v>
      </c>
      <c r="AB1677" s="584">
        <f t="shared" si="887"/>
        <v>0</v>
      </c>
      <c r="AC1677" s="581"/>
    </row>
    <row r="1678" spans="17:29">
      <c r="Q1678" s="579">
        <v>46133</v>
      </c>
      <c r="R1678" s="580">
        <v>0.54166666666666663</v>
      </c>
      <c r="S1678" s="581" t="s">
        <v>185</v>
      </c>
      <c r="T1678" s="581" t="s">
        <v>176</v>
      </c>
      <c r="U1678" s="582">
        <v>200</v>
      </c>
      <c r="V1678" s="583" t="str">
        <f t="shared" si="881"/>
        <v>g</v>
      </c>
      <c r="W1678" s="584">
        <f t="shared" si="882"/>
        <v>330</v>
      </c>
      <c r="X1678" s="584">
        <f t="shared" si="883"/>
        <v>50</v>
      </c>
      <c r="Y1678" s="584">
        <f t="shared" si="884"/>
        <v>7.2</v>
      </c>
      <c r="Z1678" s="584">
        <f t="shared" si="885"/>
        <v>0</v>
      </c>
      <c r="AA1678" s="584">
        <f t="shared" si="886"/>
        <v>0</v>
      </c>
      <c r="AB1678" s="584">
        <f t="shared" si="887"/>
        <v>0</v>
      </c>
      <c r="AC1678" s="581"/>
    </row>
    <row r="1679" spans="17:29">
      <c r="Q1679" s="579">
        <v>46133</v>
      </c>
      <c r="R1679" s="580">
        <v>0.54166666666666663</v>
      </c>
      <c r="S1679" s="581" t="s">
        <v>185</v>
      </c>
      <c r="T1679" s="581" t="s">
        <v>180</v>
      </c>
      <c r="U1679" s="582">
        <v>250</v>
      </c>
      <c r="V1679" s="583" t="str">
        <f t="shared" si="881"/>
        <v>g</v>
      </c>
      <c r="W1679" s="584">
        <f t="shared" si="882"/>
        <v>325</v>
      </c>
      <c r="X1679" s="584">
        <f t="shared" si="883"/>
        <v>6.75</v>
      </c>
      <c r="Y1679" s="584">
        <f t="shared" si="884"/>
        <v>0.75</v>
      </c>
      <c r="Z1679" s="584">
        <f t="shared" si="885"/>
        <v>70</v>
      </c>
      <c r="AA1679" s="584">
        <f t="shared" si="886"/>
        <v>1</v>
      </c>
      <c r="AB1679" s="584">
        <f t="shared" si="887"/>
        <v>0</v>
      </c>
      <c r="AC1679" s="581"/>
    </row>
    <row r="1680" spans="17:29">
      <c r="Q1680" s="579">
        <v>46133</v>
      </c>
      <c r="R1680" s="580">
        <v>0.625</v>
      </c>
      <c r="S1680" s="581" t="s">
        <v>289</v>
      </c>
      <c r="T1680" s="581" t="s">
        <v>359</v>
      </c>
      <c r="U1680" s="582">
        <v>1</v>
      </c>
      <c r="V1680" s="583" t="str">
        <f t="shared" si="881"/>
        <v>piece</v>
      </c>
      <c r="W1680" s="584">
        <f t="shared" si="882"/>
        <v>520</v>
      </c>
      <c r="X1680" s="584">
        <f t="shared" si="883"/>
        <v>9</v>
      </c>
      <c r="Y1680" s="584">
        <f t="shared" si="884"/>
        <v>31</v>
      </c>
      <c r="Z1680" s="584">
        <f t="shared" si="885"/>
        <v>60</v>
      </c>
      <c r="AA1680" s="584">
        <f t="shared" si="886"/>
        <v>3.5</v>
      </c>
      <c r="AB1680" s="584">
        <f t="shared" si="887"/>
        <v>0</v>
      </c>
      <c r="AC1680" s="581"/>
    </row>
    <row r="1681" spans="17:29">
      <c r="Q1681" s="579">
        <v>46133</v>
      </c>
      <c r="R1681" s="580">
        <v>0.625</v>
      </c>
      <c r="S1681" s="581" t="s">
        <v>289</v>
      </c>
      <c r="T1681" s="581" t="s">
        <v>190</v>
      </c>
      <c r="U1681" s="582">
        <v>4</v>
      </c>
      <c r="V1681" s="583" t="str">
        <f t="shared" si="881"/>
        <v>medium</v>
      </c>
      <c r="W1681" s="584">
        <f t="shared" si="882"/>
        <v>248</v>
      </c>
      <c r="X1681" s="584">
        <f t="shared" si="883"/>
        <v>4.8</v>
      </c>
      <c r="Y1681" s="584">
        <f t="shared" si="884"/>
        <v>0.8</v>
      </c>
      <c r="Z1681" s="584">
        <f t="shared" si="885"/>
        <v>61.6</v>
      </c>
      <c r="AA1681" s="584">
        <f t="shared" si="886"/>
        <v>12.4</v>
      </c>
      <c r="AB1681" s="584">
        <f t="shared" si="887"/>
        <v>0</v>
      </c>
      <c r="AC1681" s="581"/>
    </row>
    <row r="1682" spans="17:29">
      <c r="Q1682" s="579">
        <v>46133</v>
      </c>
      <c r="R1682" s="580">
        <v>0.625</v>
      </c>
      <c r="S1682" s="581" t="s">
        <v>289</v>
      </c>
      <c r="T1682" s="581" t="s">
        <v>856</v>
      </c>
      <c r="U1682" s="582">
        <v>100</v>
      </c>
      <c r="V1682" s="583" t="str">
        <f t="shared" si="881"/>
        <v>g</v>
      </c>
      <c r="W1682" s="584">
        <f t="shared" si="882"/>
        <v>60</v>
      </c>
      <c r="X1682" s="584">
        <f t="shared" si="883"/>
        <v>1</v>
      </c>
      <c r="Y1682" s="584">
        <f t="shared" si="884"/>
        <v>0</v>
      </c>
      <c r="Z1682" s="584">
        <f t="shared" si="885"/>
        <v>15</v>
      </c>
      <c r="AA1682" s="584">
        <f t="shared" si="886"/>
        <v>2</v>
      </c>
      <c r="AB1682" s="584">
        <f t="shared" si="887"/>
        <v>0</v>
      </c>
      <c r="AC1682" s="581"/>
    </row>
    <row r="1683" spans="17:29">
      <c r="Q1683" s="579">
        <v>46133</v>
      </c>
      <c r="R1683" s="580">
        <v>0.83333333333333337</v>
      </c>
      <c r="S1683" s="581" t="s">
        <v>199</v>
      </c>
      <c r="T1683" s="581" t="s">
        <v>176</v>
      </c>
      <c r="U1683" s="582">
        <v>150</v>
      </c>
      <c r="V1683" s="583" t="str">
        <f t="shared" si="881"/>
        <v>g</v>
      </c>
      <c r="W1683" s="584">
        <f t="shared" si="882"/>
        <v>247.5</v>
      </c>
      <c r="X1683" s="584">
        <f t="shared" si="883"/>
        <v>37.5</v>
      </c>
      <c r="Y1683" s="584">
        <f t="shared" si="884"/>
        <v>5.4</v>
      </c>
      <c r="Z1683" s="584">
        <f t="shared" si="885"/>
        <v>0</v>
      </c>
      <c r="AA1683" s="584">
        <f t="shared" si="886"/>
        <v>0</v>
      </c>
      <c r="AB1683" s="584">
        <f t="shared" si="887"/>
        <v>0</v>
      </c>
      <c r="AC1683" s="581"/>
    </row>
    <row r="1684" spans="17:29">
      <c r="Q1684" s="579">
        <v>46133</v>
      </c>
      <c r="R1684" s="580">
        <v>0.83333333333333337</v>
      </c>
      <c r="S1684" s="581" t="s">
        <v>199</v>
      </c>
      <c r="T1684" s="581" t="s">
        <v>484</v>
      </c>
      <c r="U1684" s="582">
        <f>470-284</f>
        <v>186</v>
      </c>
      <c r="V1684" s="583" t="str">
        <f t="shared" si="881"/>
        <v>g</v>
      </c>
      <c r="W1684" s="584">
        <f t="shared" si="882"/>
        <v>172.98000000000002</v>
      </c>
      <c r="X1684" s="584">
        <f t="shared" si="883"/>
        <v>4.6500000000000004</v>
      </c>
      <c r="Y1684" s="584">
        <f t="shared" si="884"/>
        <v>0.37200000000000005</v>
      </c>
      <c r="Z1684" s="584">
        <f t="shared" si="885"/>
        <v>39.06</v>
      </c>
      <c r="AA1684" s="584">
        <f t="shared" si="886"/>
        <v>4.8360000000000003</v>
      </c>
      <c r="AB1684" s="584">
        <f t="shared" si="887"/>
        <v>0</v>
      </c>
      <c r="AC1684" s="581"/>
    </row>
    <row r="1685" spans="17:29">
      <c r="Q1685" s="579">
        <v>46133</v>
      </c>
      <c r="R1685" s="580">
        <v>0.83333333333333337</v>
      </c>
      <c r="S1685" s="581" t="s">
        <v>289</v>
      </c>
      <c r="T1685" s="581" t="s">
        <v>786</v>
      </c>
      <c r="U1685" s="582">
        <v>1</v>
      </c>
      <c r="V1685" s="583" t="str">
        <f t="shared" si="881"/>
        <v>bottle</v>
      </c>
      <c r="W1685" s="584">
        <f>IFERROR(VLOOKUP(T1685, $E$5:$L$818, 4, FALSE) * (U1685 / VLOOKUP(T1685, $E$5:$L$818, 2, FALSE)), "")</f>
        <v>90</v>
      </c>
      <c r="X1685" s="584">
        <f t="shared" si="883"/>
        <v>0</v>
      </c>
      <c r="Y1685" s="584">
        <f t="shared" si="884"/>
        <v>0</v>
      </c>
      <c r="Z1685" s="584">
        <f t="shared" si="885"/>
        <v>22</v>
      </c>
      <c r="AA1685" s="584">
        <f t="shared" si="886"/>
        <v>0</v>
      </c>
      <c r="AB1685" s="584"/>
      <c r="AC1685" s="581"/>
    </row>
    <row r="1686" spans="17:29">
      <c r="Q1686" s="579">
        <v>46133</v>
      </c>
      <c r="R1686" s="580">
        <v>0.83333333333333337</v>
      </c>
      <c r="S1686" s="581" t="s">
        <v>289</v>
      </c>
      <c r="T1686" s="581" t="s">
        <v>1081</v>
      </c>
      <c r="U1686" s="582">
        <v>18</v>
      </c>
      <c r="V1686" s="583" t="str">
        <f t="shared" si="881"/>
        <v>g</v>
      </c>
      <c r="W1686" s="584">
        <f t="shared" ref="W1686" si="888">IFERROR(VLOOKUP(T1686, $E$5:$L$818, 4, FALSE) * (U1686 / VLOOKUP(T1686, $E$5:$L$818, 2, FALSE)), "")</f>
        <v>36</v>
      </c>
      <c r="X1686" s="584">
        <f t="shared" si="883"/>
        <v>0</v>
      </c>
      <c r="Y1686" s="584">
        <f t="shared" si="884"/>
        <v>0</v>
      </c>
      <c r="Z1686" s="584">
        <f t="shared" si="885"/>
        <v>14.4</v>
      </c>
      <c r="AA1686" s="584">
        <f t="shared" si="886"/>
        <v>14.4</v>
      </c>
      <c r="AB1686" s="584"/>
      <c r="AC1686" s="581"/>
    </row>
    <row r="1687" spans="17:29">
      <c r="Q1687" s="585"/>
      <c r="R1687" s="586" t="s">
        <v>217</v>
      </c>
      <c r="S1687" s="587"/>
      <c r="T1687" s="588"/>
      <c r="U1687" s="588"/>
      <c r="V1687" s="589"/>
      <c r="W1687" s="590">
        <f t="shared" ref="W1687:AB1687" si="889">SUM(W1673:W1686)</f>
        <v>2627.0514285714285</v>
      </c>
      <c r="X1687" s="590">
        <f t="shared" si="889"/>
        <v>160.55714285714285</v>
      </c>
      <c r="Y1687" s="590">
        <f t="shared" si="889"/>
        <v>57.879142857142853</v>
      </c>
      <c r="Z1687" s="590">
        <f t="shared" si="889"/>
        <v>357.20285714285711</v>
      </c>
      <c r="AA1687" s="688">
        <f t="shared" si="889"/>
        <v>44.278857142857142</v>
      </c>
      <c r="AB1687" s="691">
        <f t="shared" si="889"/>
        <v>0</v>
      </c>
      <c r="AC1687" s="586"/>
    </row>
    <row r="1688" spans="17:29">
      <c r="Q1688" s="585"/>
      <c r="R1688" s="586" t="s">
        <v>220</v>
      </c>
      <c r="S1688" s="587"/>
      <c r="T1688" s="588"/>
      <c r="U1688" s="588"/>
      <c r="V1688" s="589"/>
      <c r="W1688" s="591">
        <f>$B$27</f>
        <v>2834.5625</v>
      </c>
      <c r="X1688" s="591">
        <f>$B$29</f>
        <v>154</v>
      </c>
      <c r="Y1688" s="591">
        <f>$B$30</f>
        <v>63.91</v>
      </c>
      <c r="Z1688" s="591">
        <f>$B$31</f>
        <v>410.84312499999999</v>
      </c>
      <c r="AA1688" s="642">
        <f>$B$32</f>
        <v>39.683875</v>
      </c>
      <c r="AB1688" s="695">
        <f>$B$39</f>
        <v>500</v>
      </c>
      <c r="AC1688" s="586"/>
    </row>
    <row r="1689" spans="17:29">
      <c r="Q1689" s="585"/>
      <c r="R1689" s="586" t="s">
        <v>222</v>
      </c>
      <c r="S1689" s="587"/>
      <c r="T1689" s="588"/>
      <c r="U1689" s="588"/>
      <c r="V1689" s="589"/>
      <c r="W1689" s="284">
        <f t="shared" ref="W1689:AB1689" si="890">W1687-W1688</f>
        <v>-207.51107142857154</v>
      </c>
      <c r="X1689" s="284">
        <f t="shared" si="890"/>
        <v>6.5571428571428498</v>
      </c>
      <c r="Y1689" s="284">
        <f t="shared" si="890"/>
        <v>-6.030857142857144</v>
      </c>
      <c r="Z1689" s="284">
        <f t="shared" si="890"/>
        <v>-53.640267857142874</v>
      </c>
      <c r="AA1689" s="690">
        <f t="shared" si="890"/>
        <v>4.5949821428571411</v>
      </c>
      <c r="AB1689" s="689">
        <f t="shared" si="890"/>
        <v>-500</v>
      </c>
      <c r="AC1689" s="586"/>
    </row>
    <row r="1690" spans="17:29">
      <c r="Q1690" s="579">
        <v>46134</v>
      </c>
      <c r="R1690" s="580">
        <v>0.25</v>
      </c>
      <c r="S1690" s="581" t="s">
        <v>178</v>
      </c>
      <c r="T1690" s="581" t="s">
        <v>1104</v>
      </c>
      <c r="U1690" s="582">
        <v>5</v>
      </c>
      <c r="V1690" s="583" t="str">
        <f t="shared" ref="V1690:V1705" si="891">IFERROR(VLOOKUP(T1690, $E$5:$L$818, 3, FALSE), "")</f>
        <v>g</v>
      </c>
      <c r="W1690" s="584">
        <f t="shared" ref="W1690:W1704" si="892">IFERROR(VLOOKUP(T1690, $E$5:$L$818, 4, FALSE) * (U1690 / VLOOKUP(T1690, $E$5:$L$818, 2, FALSE)), "")</f>
        <v>24</v>
      </c>
      <c r="X1690" s="584">
        <f t="shared" ref="X1690:X1705" si="893">IFERROR(VLOOKUP(T1690, $E$5:$L$818, 5, FALSE) * (U1690 / VLOOKUP(T1690, $E$5:$L$818, 2, FALSE)), "")</f>
        <v>1</v>
      </c>
      <c r="Y1690" s="584">
        <f t="shared" ref="Y1690:Y1705" si="894">IFERROR(VLOOKUP(T1690, $E$5:$L$818, 6, FALSE) * (U1690 / VLOOKUP(T1690, $E$5:$L$818, 2, FALSE)), "")</f>
        <v>2</v>
      </c>
      <c r="Z1690" s="584">
        <f t="shared" ref="Z1690:Z1705" si="895">IFERROR(VLOOKUP(T1690, $E$5:$L$818, 7, FALSE) * (U1690 / VLOOKUP(T1690, $E$5:$L$818, 2, FALSE)), "")</f>
        <v>2</v>
      </c>
      <c r="AA1690" s="584">
        <f t="shared" ref="AA1690:AA1705" si="896">IFERROR(VLOOKUP(T1690, $E$5:$L$818, 8, FALSE) * (U1690 / VLOOKUP(T1690, $E$5:$L$818, 2, FALSE)), "")</f>
        <v>2</v>
      </c>
      <c r="AB1690" s="674">
        <f t="shared" ref="AB1690:AB1703" si="897">IFERROR(VLOOKUP(T1690, $E$5:$O$818, 9, FALSE) * (U1690 / VLOOKUP(T1690, $E$5:$O$818, 2, FALSE)), "")</f>
        <v>0</v>
      </c>
      <c r="AC1690" s="581"/>
    </row>
    <row r="1691" spans="17:29">
      <c r="Q1691" s="579">
        <v>46134</v>
      </c>
      <c r="R1691" s="580">
        <v>0.25</v>
      </c>
      <c r="S1691" s="581" t="s">
        <v>178</v>
      </c>
      <c r="T1691" s="581" t="s">
        <v>1076</v>
      </c>
      <c r="U1691" s="582">
        <v>1</v>
      </c>
      <c r="V1691" s="583" t="str">
        <f t="shared" si="891"/>
        <v>pounch</v>
      </c>
      <c r="W1691" s="584">
        <f t="shared" si="892"/>
        <v>45</v>
      </c>
      <c r="X1691" s="584">
        <f t="shared" si="893"/>
        <v>0</v>
      </c>
      <c r="Y1691" s="584">
        <f t="shared" si="894"/>
        <v>0</v>
      </c>
      <c r="Z1691" s="584">
        <f t="shared" si="895"/>
        <v>11</v>
      </c>
      <c r="AA1691" s="584">
        <f t="shared" si="896"/>
        <v>0</v>
      </c>
      <c r="AB1691" s="584">
        <f t="shared" si="897"/>
        <v>0</v>
      </c>
      <c r="AC1691" s="581"/>
    </row>
    <row r="1692" spans="17:29">
      <c r="Q1692" s="579">
        <v>46134</v>
      </c>
      <c r="R1692" s="580">
        <v>0.33333333333333331</v>
      </c>
      <c r="S1692" s="581" t="s">
        <v>289</v>
      </c>
      <c r="T1692" s="581" t="s">
        <v>181</v>
      </c>
      <c r="U1692" s="582">
        <v>4</v>
      </c>
      <c r="V1692" s="583" t="str">
        <f t="shared" si="891"/>
        <v>slice</v>
      </c>
      <c r="W1692" s="584">
        <f t="shared" si="892"/>
        <v>280</v>
      </c>
      <c r="X1692" s="584">
        <f t="shared" si="893"/>
        <v>10</v>
      </c>
      <c r="Y1692" s="584">
        <f t="shared" si="894"/>
        <v>5</v>
      </c>
      <c r="Z1692" s="584">
        <f t="shared" si="895"/>
        <v>48</v>
      </c>
      <c r="AA1692" s="584">
        <f t="shared" si="896"/>
        <v>4</v>
      </c>
      <c r="AB1692" s="584">
        <f t="shared" si="897"/>
        <v>0</v>
      </c>
      <c r="AC1692" s="581"/>
    </row>
    <row r="1693" spans="17:29">
      <c r="Q1693" s="579">
        <v>46134</v>
      </c>
      <c r="R1693" s="580">
        <v>0.33333333333333331</v>
      </c>
      <c r="S1693" s="581" t="s">
        <v>289</v>
      </c>
      <c r="T1693" s="581" t="s">
        <v>295</v>
      </c>
      <c r="U1693" s="582">
        <v>1</v>
      </c>
      <c r="V1693" s="583" t="str">
        <f t="shared" si="891"/>
        <v>bottle</v>
      </c>
      <c r="W1693" s="584">
        <f t="shared" si="892"/>
        <v>200</v>
      </c>
      <c r="X1693" s="584">
        <f t="shared" si="893"/>
        <v>35</v>
      </c>
      <c r="Y1693" s="584">
        <f t="shared" si="894"/>
        <v>2.5</v>
      </c>
      <c r="Z1693" s="584">
        <f t="shared" si="895"/>
        <v>9</v>
      </c>
      <c r="AA1693" s="584">
        <f t="shared" si="896"/>
        <v>0</v>
      </c>
      <c r="AB1693" s="584">
        <f t="shared" si="897"/>
        <v>0</v>
      </c>
      <c r="AC1693" s="581"/>
    </row>
    <row r="1694" spans="17:29">
      <c r="Q1694" s="579">
        <v>46134</v>
      </c>
      <c r="R1694" s="580">
        <v>0.33333333333333331</v>
      </c>
      <c r="S1694" s="581" t="s">
        <v>289</v>
      </c>
      <c r="T1694" s="581" t="s">
        <v>856</v>
      </c>
      <c r="U1694" s="582">
        <v>50</v>
      </c>
      <c r="V1694" s="583"/>
      <c r="W1694" s="584">
        <f t="shared" si="892"/>
        <v>30</v>
      </c>
      <c r="X1694" s="584">
        <f t="shared" si="893"/>
        <v>0.5</v>
      </c>
      <c r="Y1694" s="584">
        <f t="shared" si="894"/>
        <v>0</v>
      </c>
      <c r="Z1694" s="584">
        <f t="shared" si="895"/>
        <v>7.5</v>
      </c>
      <c r="AA1694" s="584">
        <f t="shared" si="896"/>
        <v>1</v>
      </c>
      <c r="AB1694" s="584">
        <f t="shared" si="897"/>
        <v>0</v>
      </c>
      <c r="AC1694" s="581"/>
    </row>
    <row r="1695" spans="17:29">
      <c r="Q1695" s="579">
        <v>46134</v>
      </c>
      <c r="R1695" s="580">
        <v>0.33333333333333331</v>
      </c>
      <c r="S1695" s="581" t="s">
        <v>289</v>
      </c>
      <c r="T1695" s="581" t="s">
        <v>464</v>
      </c>
      <c r="U1695" s="582">
        <v>1</v>
      </c>
      <c r="V1695" s="583" t="str">
        <f t="shared" si="891"/>
        <v>lozenge</v>
      </c>
      <c r="W1695" s="584">
        <f t="shared" si="892"/>
        <v>10</v>
      </c>
      <c r="X1695" s="584">
        <f t="shared" si="893"/>
        <v>0</v>
      </c>
      <c r="Y1695" s="584">
        <f t="shared" si="894"/>
        <v>0</v>
      </c>
      <c r="Z1695" s="584">
        <f t="shared" si="895"/>
        <v>3</v>
      </c>
      <c r="AA1695" s="584">
        <f t="shared" si="896"/>
        <v>0</v>
      </c>
      <c r="AB1695" s="584">
        <f t="shared" si="897"/>
        <v>0</v>
      </c>
      <c r="AC1695" s="581"/>
    </row>
    <row r="1696" spans="17:29">
      <c r="Q1696" s="579">
        <v>46134</v>
      </c>
      <c r="R1696" s="580">
        <v>0.33333333333333331</v>
      </c>
      <c r="S1696" s="581" t="s">
        <v>289</v>
      </c>
      <c r="T1696" s="581" t="s">
        <v>190</v>
      </c>
      <c r="U1696" s="582">
        <v>2</v>
      </c>
      <c r="V1696" s="583" t="str">
        <f t="shared" si="891"/>
        <v>medium</v>
      </c>
      <c r="W1696" s="584">
        <f t="shared" si="892"/>
        <v>124</v>
      </c>
      <c r="X1696" s="584">
        <f t="shared" si="893"/>
        <v>2.4</v>
      </c>
      <c r="Y1696" s="584">
        <f t="shared" si="894"/>
        <v>0.4</v>
      </c>
      <c r="Z1696" s="584">
        <f t="shared" si="895"/>
        <v>30.8</v>
      </c>
      <c r="AA1696" s="584">
        <f t="shared" si="896"/>
        <v>6.2</v>
      </c>
      <c r="AB1696" s="584">
        <f t="shared" si="897"/>
        <v>0</v>
      </c>
      <c r="AC1696" s="581"/>
    </row>
    <row r="1697" spans="17:29">
      <c r="Q1697" s="579">
        <v>46134</v>
      </c>
      <c r="R1697" s="580">
        <v>0.54166666666666663</v>
      </c>
      <c r="S1697" s="581" t="s">
        <v>185</v>
      </c>
      <c r="T1697" s="581" t="s">
        <v>176</v>
      </c>
      <c r="U1697" s="582">
        <v>250</v>
      </c>
      <c r="V1697" s="583" t="str">
        <f t="shared" si="891"/>
        <v>g</v>
      </c>
      <c r="W1697" s="584">
        <f t="shared" si="892"/>
        <v>412.5</v>
      </c>
      <c r="X1697" s="584">
        <f t="shared" si="893"/>
        <v>62.5</v>
      </c>
      <c r="Y1697" s="584">
        <f t="shared" si="894"/>
        <v>9</v>
      </c>
      <c r="Z1697" s="584">
        <f t="shared" si="895"/>
        <v>0</v>
      </c>
      <c r="AA1697" s="584">
        <f t="shared" si="896"/>
        <v>0</v>
      </c>
      <c r="AB1697" s="584">
        <f t="shared" si="897"/>
        <v>0</v>
      </c>
      <c r="AC1697" s="581"/>
    </row>
    <row r="1698" spans="17:29">
      <c r="Q1698" s="579">
        <v>46134</v>
      </c>
      <c r="R1698" s="580">
        <v>0.54166666666666663</v>
      </c>
      <c r="S1698" s="581" t="s">
        <v>185</v>
      </c>
      <c r="T1698" s="581" t="s">
        <v>180</v>
      </c>
      <c r="U1698" s="582">
        <v>200</v>
      </c>
      <c r="V1698" s="583" t="str">
        <f t="shared" si="891"/>
        <v>g</v>
      </c>
      <c r="W1698" s="584">
        <f t="shared" si="892"/>
        <v>260</v>
      </c>
      <c r="X1698" s="584">
        <f t="shared" si="893"/>
        <v>5.4</v>
      </c>
      <c r="Y1698" s="584">
        <f t="shared" si="894"/>
        <v>0.6</v>
      </c>
      <c r="Z1698" s="584">
        <f t="shared" si="895"/>
        <v>56</v>
      </c>
      <c r="AA1698" s="584">
        <f t="shared" si="896"/>
        <v>0.8</v>
      </c>
      <c r="AB1698" s="584">
        <f t="shared" si="897"/>
        <v>0</v>
      </c>
      <c r="AC1698" s="581"/>
    </row>
    <row r="1699" spans="17:29">
      <c r="Q1699" s="579">
        <v>46134</v>
      </c>
      <c r="R1699" s="580">
        <v>0.58333333333333337</v>
      </c>
      <c r="S1699" s="581" t="s">
        <v>289</v>
      </c>
      <c r="T1699" s="581" t="s">
        <v>268</v>
      </c>
      <c r="U1699" s="582">
        <v>2</v>
      </c>
      <c r="V1699" s="583" t="str">
        <f t="shared" si="891"/>
        <v>scoop</v>
      </c>
      <c r="W1699" s="584">
        <f t="shared" si="892"/>
        <v>320</v>
      </c>
      <c r="X1699" s="584">
        <f t="shared" si="893"/>
        <v>5</v>
      </c>
      <c r="Y1699" s="584">
        <f t="shared" si="894"/>
        <v>17</v>
      </c>
      <c r="Z1699" s="584">
        <f t="shared" si="895"/>
        <v>39</v>
      </c>
      <c r="AA1699" s="584">
        <f t="shared" si="896"/>
        <v>0</v>
      </c>
      <c r="AB1699" s="584">
        <f t="shared" si="897"/>
        <v>0</v>
      </c>
      <c r="AC1699" s="581"/>
    </row>
    <row r="1700" spans="17:29">
      <c r="Q1700" s="579">
        <v>46134</v>
      </c>
      <c r="R1700" s="580">
        <v>0.58333333333333337</v>
      </c>
      <c r="S1700" s="581" t="s">
        <v>289</v>
      </c>
      <c r="T1700" s="581" t="s">
        <v>497</v>
      </c>
      <c r="U1700" s="582">
        <v>3</v>
      </c>
      <c r="V1700" s="583" t="str">
        <f t="shared" si="891"/>
        <v>bag</v>
      </c>
      <c r="W1700" s="584">
        <f t="shared" si="892"/>
        <v>300</v>
      </c>
      <c r="X1700" s="584">
        <f t="shared" si="893"/>
        <v>1.5</v>
      </c>
      <c r="Y1700" s="584">
        <f t="shared" si="894"/>
        <v>21</v>
      </c>
      <c r="Z1700" s="584">
        <f t="shared" si="895"/>
        <v>30</v>
      </c>
      <c r="AA1700" s="584">
        <f t="shared" si="896"/>
        <v>0</v>
      </c>
      <c r="AB1700" s="584">
        <f t="shared" si="897"/>
        <v>0</v>
      </c>
      <c r="AC1700" s="581"/>
    </row>
    <row r="1701" spans="17:29">
      <c r="Q1701" s="579">
        <v>46134</v>
      </c>
      <c r="R1701" s="580">
        <v>0.83333333333333337</v>
      </c>
      <c r="S1701" s="581" t="s">
        <v>289</v>
      </c>
      <c r="T1701" s="581" t="s">
        <v>292</v>
      </c>
      <c r="U1701" s="582">
        <v>2</v>
      </c>
      <c r="V1701" s="583" t="str">
        <f t="shared" si="891"/>
        <v>bar</v>
      </c>
      <c r="W1701" s="584">
        <f t="shared" si="892"/>
        <v>500</v>
      </c>
      <c r="X1701" s="584">
        <f t="shared" si="893"/>
        <v>6</v>
      </c>
      <c r="Y1701" s="584">
        <f t="shared" si="894"/>
        <v>30</v>
      </c>
      <c r="Z1701" s="584">
        <f t="shared" si="895"/>
        <v>52</v>
      </c>
      <c r="AA1701" s="584">
        <f t="shared" si="896"/>
        <v>0</v>
      </c>
      <c r="AB1701" s="584">
        <f t="shared" si="897"/>
        <v>0</v>
      </c>
      <c r="AC1701" s="581"/>
    </row>
    <row r="1702" spans="17:29">
      <c r="Q1702" s="579">
        <v>46134</v>
      </c>
      <c r="R1702" s="580">
        <v>0.83333333333333337</v>
      </c>
      <c r="S1702" s="581" t="s">
        <v>199</v>
      </c>
      <c r="T1702" s="581" t="s">
        <v>176</v>
      </c>
      <c r="U1702" s="582">
        <v>100</v>
      </c>
      <c r="V1702" s="583" t="str">
        <f t="shared" si="891"/>
        <v>g</v>
      </c>
      <c r="W1702" s="584">
        <f t="shared" si="892"/>
        <v>165</v>
      </c>
      <c r="X1702" s="584">
        <f t="shared" si="893"/>
        <v>25</v>
      </c>
      <c r="Y1702" s="584">
        <f t="shared" si="894"/>
        <v>3.6</v>
      </c>
      <c r="Z1702" s="584">
        <f t="shared" si="895"/>
        <v>0</v>
      </c>
      <c r="AA1702" s="584">
        <f t="shared" si="896"/>
        <v>0</v>
      </c>
      <c r="AB1702" s="584">
        <f t="shared" si="897"/>
        <v>0</v>
      </c>
      <c r="AC1702" s="581"/>
    </row>
    <row r="1703" spans="17:29">
      <c r="Q1703" s="579">
        <v>46134</v>
      </c>
      <c r="R1703" s="580">
        <v>0.83333333333333337</v>
      </c>
      <c r="S1703" s="581" t="s">
        <v>199</v>
      </c>
      <c r="T1703" s="581" t="s">
        <v>484</v>
      </c>
      <c r="U1703" s="582">
        <f>710-534</f>
        <v>176</v>
      </c>
      <c r="V1703" s="583" t="str">
        <f t="shared" si="891"/>
        <v>g</v>
      </c>
      <c r="W1703" s="584">
        <f t="shared" si="892"/>
        <v>163.68</v>
      </c>
      <c r="X1703" s="584">
        <f t="shared" si="893"/>
        <v>4.4000000000000004</v>
      </c>
      <c r="Y1703" s="584">
        <f t="shared" si="894"/>
        <v>0.35200000000000004</v>
      </c>
      <c r="Z1703" s="584">
        <f t="shared" si="895"/>
        <v>36.96</v>
      </c>
      <c r="AA1703" s="584">
        <f t="shared" si="896"/>
        <v>4.5760000000000005</v>
      </c>
      <c r="AB1703" s="584">
        <f t="shared" si="897"/>
        <v>0</v>
      </c>
      <c r="AC1703" s="581"/>
    </row>
    <row r="1704" spans="17:29">
      <c r="Q1704" s="579">
        <v>46134</v>
      </c>
      <c r="R1704" s="580">
        <v>0.83333333333333337</v>
      </c>
      <c r="S1704" s="581" t="s">
        <v>289</v>
      </c>
      <c r="T1704" s="581" t="s">
        <v>786</v>
      </c>
      <c r="U1704" s="582">
        <v>1</v>
      </c>
      <c r="V1704" s="583" t="str">
        <f t="shared" si="891"/>
        <v>bottle</v>
      </c>
      <c r="W1704" s="584">
        <f t="shared" si="892"/>
        <v>90</v>
      </c>
      <c r="X1704" s="584">
        <f t="shared" si="893"/>
        <v>0</v>
      </c>
      <c r="Y1704" s="584">
        <f t="shared" si="894"/>
        <v>0</v>
      </c>
      <c r="Z1704" s="584">
        <f t="shared" si="895"/>
        <v>22</v>
      </c>
      <c r="AA1704" s="584">
        <f t="shared" si="896"/>
        <v>0</v>
      </c>
      <c r="AB1704" s="584">
        <f>IFERROR(VLOOKUP(T1704, $E$5:$O$818, 9, FALSE) * (U1704 / VLOOKUP(T1704, $E$5:$O$818, 2, FALSE)), "")</f>
        <v>0</v>
      </c>
      <c r="AC1704" s="581"/>
    </row>
    <row r="1705" spans="17:29">
      <c r="Q1705" s="579">
        <v>46134</v>
      </c>
      <c r="R1705" s="580">
        <v>0.83333333333333337</v>
      </c>
      <c r="S1705" s="581" t="s">
        <v>289</v>
      </c>
      <c r="T1705" s="581" t="s">
        <v>1081</v>
      </c>
      <c r="U1705" s="582">
        <v>27</v>
      </c>
      <c r="V1705" s="583" t="str">
        <f t="shared" si="891"/>
        <v>g</v>
      </c>
      <c r="W1705" s="584">
        <f>IFERROR(VLOOKUP(T1705, $E$5:$L$818, 4, FALSE) * (U1705 / VLOOKUP(T1705, $E$5:$L$818, 2, FALSE)), "")</f>
        <v>54</v>
      </c>
      <c r="X1705" s="584">
        <f t="shared" si="893"/>
        <v>0</v>
      </c>
      <c r="Y1705" s="584">
        <f t="shared" si="894"/>
        <v>0</v>
      </c>
      <c r="Z1705" s="584">
        <f t="shared" si="895"/>
        <v>21.6</v>
      </c>
      <c r="AA1705" s="584">
        <f t="shared" si="896"/>
        <v>21.6</v>
      </c>
      <c r="AB1705" s="584"/>
      <c r="AC1705" s="581"/>
    </row>
    <row r="1706" spans="17:29">
      <c r="Q1706" s="585"/>
      <c r="R1706" s="586" t="s">
        <v>217</v>
      </c>
      <c r="S1706" s="587"/>
      <c r="T1706" s="588"/>
      <c r="U1706" s="588"/>
      <c r="V1706" s="589"/>
      <c r="W1706" s="590">
        <f t="shared" ref="W1706:AB1706" si="898">SUM(W1690:W1705)</f>
        <v>2978.18</v>
      </c>
      <c r="X1706" s="590">
        <f t="shared" si="898"/>
        <v>158.70000000000002</v>
      </c>
      <c r="Y1706" s="590">
        <f t="shared" si="898"/>
        <v>91.451999999999998</v>
      </c>
      <c r="Z1706" s="590">
        <f t="shared" si="898"/>
        <v>368.86</v>
      </c>
      <c r="AA1706" s="688">
        <f t="shared" si="898"/>
        <v>40.176000000000002</v>
      </c>
      <c r="AB1706" s="691">
        <f t="shared" si="898"/>
        <v>0</v>
      </c>
      <c r="AC1706" s="586"/>
    </row>
    <row r="1707" spans="17:29">
      <c r="Q1707" s="585"/>
      <c r="R1707" s="586" t="s">
        <v>220</v>
      </c>
      <c r="S1707" s="587"/>
      <c r="T1707" s="588"/>
      <c r="U1707" s="588"/>
      <c r="V1707" s="589"/>
      <c r="W1707" s="591">
        <f>$B$27</f>
        <v>2834.5625</v>
      </c>
      <c r="X1707" s="591">
        <f>$B$29</f>
        <v>154</v>
      </c>
      <c r="Y1707" s="591">
        <f>$B$30</f>
        <v>63.91</v>
      </c>
      <c r="Z1707" s="591">
        <f>$B$31</f>
        <v>410.84312499999999</v>
      </c>
      <c r="AA1707" s="642">
        <f>$B$32</f>
        <v>39.683875</v>
      </c>
      <c r="AB1707" s="695">
        <f>$B$39</f>
        <v>500</v>
      </c>
      <c r="AC1707" s="586"/>
    </row>
    <row r="1708" spans="17:29">
      <c r="Q1708" s="585"/>
      <c r="R1708" s="586" t="s">
        <v>222</v>
      </c>
      <c r="S1708" s="587"/>
      <c r="T1708" s="588"/>
      <c r="U1708" s="588"/>
      <c r="V1708" s="589"/>
      <c r="W1708" s="591">
        <f>W1706-W1707</f>
        <v>143.61749999999984</v>
      </c>
      <c r="X1708" s="591">
        <f t="shared" ref="X1708:AB1708" si="899">X1706-X1707</f>
        <v>4.7000000000000171</v>
      </c>
      <c r="Y1708" s="591">
        <f t="shared" si="899"/>
        <v>27.542000000000002</v>
      </c>
      <c r="Z1708" s="591">
        <f t="shared" si="899"/>
        <v>-41.983124999999973</v>
      </c>
      <c r="AA1708" s="642">
        <f t="shared" si="899"/>
        <v>0.49212500000000148</v>
      </c>
      <c r="AB1708" s="689">
        <f t="shared" si="899"/>
        <v>-500</v>
      </c>
      <c r="AC1708" s="586"/>
    </row>
    <row r="1709" spans="17:29">
      <c r="Q1709" s="579">
        <v>46135</v>
      </c>
      <c r="R1709" s="580">
        <v>0.25</v>
      </c>
      <c r="S1709" s="581" t="s">
        <v>178</v>
      </c>
      <c r="T1709" s="581" t="s">
        <v>1104</v>
      </c>
      <c r="U1709" s="582">
        <v>5</v>
      </c>
      <c r="V1709" s="583" t="str">
        <f t="shared" ref="V1709:V1712" si="900">IFERROR(VLOOKUP(T1709, $E$5:$L$818, 3, FALSE), "")</f>
        <v>g</v>
      </c>
      <c r="W1709" s="584">
        <f t="shared" ref="W1709:W1717" si="901">IFERROR(VLOOKUP(T1709, $E$5:$L$818, 4, FALSE) * (U1709 / VLOOKUP(T1709, $E$5:$L$818, 2, FALSE)), "")</f>
        <v>24</v>
      </c>
      <c r="X1709" s="584">
        <f t="shared" ref="X1709:X1717" si="902">IFERROR(VLOOKUP(T1709, $E$5:$L$818, 5, FALSE) * (U1709 / VLOOKUP(T1709, $E$5:$L$818, 2, FALSE)), "")</f>
        <v>1</v>
      </c>
      <c r="Y1709" s="584">
        <f t="shared" ref="Y1709:Y1717" si="903">IFERROR(VLOOKUP(T1709, $E$5:$L$818, 6, FALSE) * (U1709 / VLOOKUP(T1709, $E$5:$L$818, 2, FALSE)), "")</f>
        <v>2</v>
      </c>
      <c r="Z1709" s="584">
        <f t="shared" ref="Z1709:Z1717" si="904">IFERROR(VLOOKUP(T1709, $E$5:$L$818, 7, FALSE) * (U1709 / VLOOKUP(T1709, $E$5:$L$818, 2, FALSE)), "")</f>
        <v>2</v>
      </c>
      <c r="AA1709" s="584">
        <f t="shared" ref="AA1709:AA1717" si="905">IFERROR(VLOOKUP(T1709, $E$5:$L$818, 8, FALSE) * (U1709 / VLOOKUP(T1709, $E$5:$L$818, 2, FALSE)), "")</f>
        <v>2</v>
      </c>
      <c r="AB1709" s="674">
        <f t="shared" ref="AB1709:AB1717" si="906">IFERROR(VLOOKUP(T1709, $E$5:$O$818, 9, FALSE) * (U1709 / VLOOKUP(T1709, $E$5:$O$818, 2, FALSE)), "")</f>
        <v>0</v>
      </c>
      <c r="AC1709" s="581"/>
    </row>
    <row r="1710" spans="17:29">
      <c r="Q1710" s="579">
        <v>46135</v>
      </c>
      <c r="R1710" s="580">
        <v>0.25</v>
      </c>
      <c r="S1710" s="581" t="s">
        <v>178</v>
      </c>
      <c r="T1710" s="581" t="s">
        <v>1076</v>
      </c>
      <c r="U1710" s="582">
        <v>1</v>
      </c>
      <c r="V1710" s="583" t="str">
        <f t="shared" si="900"/>
        <v>pounch</v>
      </c>
      <c r="W1710" s="584">
        <f t="shared" si="901"/>
        <v>45</v>
      </c>
      <c r="X1710" s="584">
        <f t="shared" si="902"/>
        <v>0</v>
      </c>
      <c r="Y1710" s="584">
        <f t="shared" si="903"/>
        <v>0</v>
      </c>
      <c r="Z1710" s="584">
        <f t="shared" si="904"/>
        <v>11</v>
      </c>
      <c r="AA1710" s="584">
        <f t="shared" si="905"/>
        <v>0</v>
      </c>
      <c r="AB1710" s="584">
        <f t="shared" si="906"/>
        <v>0</v>
      </c>
      <c r="AC1710" s="581"/>
    </row>
    <row r="1711" spans="17:29">
      <c r="Q1711" s="579">
        <v>46135</v>
      </c>
      <c r="R1711" s="580">
        <v>0.33333333333333331</v>
      </c>
      <c r="S1711" s="581" t="s">
        <v>289</v>
      </c>
      <c r="T1711" s="581" t="s">
        <v>181</v>
      </c>
      <c r="U1711" s="582">
        <v>4</v>
      </c>
      <c r="V1711" s="583" t="str">
        <f t="shared" si="900"/>
        <v>slice</v>
      </c>
      <c r="W1711" s="584">
        <f t="shared" si="901"/>
        <v>280</v>
      </c>
      <c r="X1711" s="584">
        <f t="shared" si="902"/>
        <v>10</v>
      </c>
      <c r="Y1711" s="584">
        <f t="shared" si="903"/>
        <v>5</v>
      </c>
      <c r="Z1711" s="584">
        <f t="shared" si="904"/>
        <v>48</v>
      </c>
      <c r="AA1711" s="584">
        <f t="shared" si="905"/>
        <v>4</v>
      </c>
      <c r="AB1711" s="584">
        <f t="shared" si="906"/>
        <v>0</v>
      </c>
      <c r="AC1711" s="581"/>
    </row>
    <row r="1712" spans="17:29">
      <c r="Q1712" s="579">
        <v>46135</v>
      </c>
      <c r="R1712" s="580">
        <v>0.33333333333333331</v>
      </c>
      <c r="S1712" s="581" t="s">
        <v>289</v>
      </c>
      <c r="T1712" s="581" t="s">
        <v>295</v>
      </c>
      <c r="U1712" s="582">
        <v>1</v>
      </c>
      <c r="V1712" s="583" t="str">
        <f t="shared" si="900"/>
        <v>bottle</v>
      </c>
      <c r="W1712" s="584">
        <f t="shared" si="901"/>
        <v>200</v>
      </c>
      <c r="X1712" s="584">
        <f t="shared" si="902"/>
        <v>35</v>
      </c>
      <c r="Y1712" s="584">
        <f t="shared" si="903"/>
        <v>2.5</v>
      </c>
      <c r="Z1712" s="584">
        <f t="shared" si="904"/>
        <v>9</v>
      </c>
      <c r="AA1712" s="584">
        <f t="shared" si="905"/>
        <v>0</v>
      </c>
      <c r="AB1712" s="584">
        <f t="shared" si="906"/>
        <v>0</v>
      </c>
      <c r="AC1712" s="581"/>
    </row>
    <row r="1713" spans="17:29">
      <c r="Q1713" s="579">
        <v>46135</v>
      </c>
      <c r="R1713" s="580">
        <v>0.54166666666666663</v>
      </c>
      <c r="S1713" s="581" t="s">
        <v>185</v>
      </c>
      <c r="T1713" s="581" t="s">
        <v>176</v>
      </c>
      <c r="U1713" s="582">
        <v>190</v>
      </c>
      <c r="V1713" s="583" t="str">
        <f t="shared" ref="V1713:V1717" si="907">IFERROR(VLOOKUP(T1713, $E$5:$L$818, 3, FALSE), "")</f>
        <v>g</v>
      </c>
      <c r="W1713" s="584">
        <f t="shared" si="901"/>
        <v>313.5</v>
      </c>
      <c r="X1713" s="584">
        <f t="shared" si="902"/>
        <v>47.5</v>
      </c>
      <c r="Y1713" s="584">
        <f t="shared" si="903"/>
        <v>6.84</v>
      </c>
      <c r="Z1713" s="584">
        <f t="shared" si="904"/>
        <v>0</v>
      </c>
      <c r="AA1713" s="584">
        <f t="shared" si="905"/>
        <v>0</v>
      </c>
      <c r="AB1713" s="584">
        <f t="shared" si="906"/>
        <v>0</v>
      </c>
      <c r="AC1713" s="581"/>
    </row>
    <row r="1714" spans="17:29">
      <c r="Q1714" s="579">
        <v>46135</v>
      </c>
      <c r="R1714" s="580">
        <v>0.54166666666666663</v>
      </c>
      <c r="S1714" s="581" t="s">
        <v>185</v>
      </c>
      <c r="T1714" s="581" t="s">
        <v>180</v>
      </c>
      <c r="U1714" s="582">
        <v>310</v>
      </c>
      <c r="V1714" s="583" t="str">
        <f t="shared" si="907"/>
        <v>g</v>
      </c>
      <c r="W1714" s="584">
        <f t="shared" si="901"/>
        <v>403</v>
      </c>
      <c r="X1714" s="584">
        <f t="shared" si="902"/>
        <v>8.370000000000001</v>
      </c>
      <c r="Y1714" s="584">
        <f t="shared" si="903"/>
        <v>0.92999999999999994</v>
      </c>
      <c r="Z1714" s="584">
        <f t="shared" si="904"/>
        <v>86.8</v>
      </c>
      <c r="AA1714" s="584">
        <f t="shared" si="905"/>
        <v>1.2400000000000002</v>
      </c>
      <c r="AB1714" s="584">
        <f t="shared" si="906"/>
        <v>0</v>
      </c>
      <c r="AC1714" s="581"/>
    </row>
    <row r="1715" spans="17:29">
      <c r="Q1715" s="579">
        <v>46135</v>
      </c>
      <c r="R1715" s="580">
        <v>0.54166666666666663</v>
      </c>
      <c r="S1715" s="581" t="s">
        <v>289</v>
      </c>
      <c r="T1715" s="581" t="s">
        <v>856</v>
      </c>
      <c r="U1715" s="582">
        <v>400</v>
      </c>
      <c r="V1715" s="583" t="str">
        <f t="shared" si="907"/>
        <v>g</v>
      </c>
      <c r="W1715" s="584">
        <f t="shared" si="901"/>
        <v>240</v>
      </c>
      <c r="X1715" s="584">
        <f t="shared" si="902"/>
        <v>4</v>
      </c>
      <c r="Y1715" s="584">
        <f t="shared" si="903"/>
        <v>0</v>
      </c>
      <c r="Z1715" s="584">
        <f t="shared" si="904"/>
        <v>60</v>
      </c>
      <c r="AA1715" s="584">
        <f t="shared" si="905"/>
        <v>8</v>
      </c>
      <c r="AB1715" s="584">
        <f t="shared" si="906"/>
        <v>0</v>
      </c>
      <c r="AC1715" s="581"/>
    </row>
    <row r="1716" spans="17:29">
      <c r="Q1716" s="579">
        <v>46135</v>
      </c>
      <c r="R1716" s="580">
        <v>0.875</v>
      </c>
      <c r="S1716" s="581" t="s">
        <v>289</v>
      </c>
      <c r="T1716" s="581" t="s">
        <v>1106</v>
      </c>
      <c r="U1716" s="582">
        <v>1.5</v>
      </c>
      <c r="V1716" s="583" t="str">
        <f t="shared" si="907"/>
        <v>plate</v>
      </c>
      <c r="W1716" s="584">
        <f t="shared" si="901"/>
        <v>630</v>
      </c>
      <c r="X1716" s="584">
        <f t="shared" si="902"/>
        <v>27</v>
      </c>
      <c r="Y1716" s="584">
        <f t="shared" si="903"/>
        <v>18</v>
      </c>
      <c r="Z1716" s="584">
        <f t="shared" si="904"/>
        <v>87</v>
      </c>
      <c r="AA1716" s="584">
        <f t="shared" si="905"/>
        <v>6</v>
      </c>
      <c r="AB1716" s="584">
        <f t="shared" si="906"/>
        <v>0</v>
      </c>
      <c r="AC1716" s="581"/>
    </row>
    <row r="1717" spans="17:29">
      <c r="Q1717" s="579">
        <v>46135</v>
      </c>
      <c r="R1717" s="580">
        <v>0.875</v>
      </c>
      <c r="S1717" s="581" t="s">
        <v>199</v>
      </c>
      <c r="T1717" s="581" t="s">
        <v>180</v>
      </c>
      <c r="U1717" s="582">
        <v>200</v>
      </c>
      <c r="V1717" s="583" t="str">
        <f t="shared" si="907"/>
        <v>g</v>
      </c>
      <c r="W1717" s="584">
        <f t="shared" si="901"/>
        <v>260</v>
      </c>
      <c r="X1717" s="584">
        <f t="shared" si="902"/>
        <v>5.4</v>
      </c>
      <c r="Y1717" s="584">
        <f t="shared" si="903"/>
        <v>0.6</v>
      </c>
      <c r="Z1717" s="584">
        <f t="shared" si="904"/>
        <v>56</v>
      </c>
      <c r="AA1717" s="584">
        <f t="shared" si="905"/>
        <v>0.8</v>
      </c>
      <c r="AB1717" s="584">
        <f t="shared" si="906"/>
        <v>0</v>
      </c>
      <c r="AC1717" s="581"/>
    </row>
    <row r="1718" spans="17:29">
      <c r="Q1718" s="585"/>
      <c r="R1718" s="586" t="s">
        <v>217</v>
      </c>
      <c r="S1718" s="587"/>
      <c r="T1718" s="588"/>
      <c r="U1718" s="588"/>
      <c r="V1718" s="589"/>
      <c r="W1718" s="590">
        <f t="shared" ref="W1718:AB1718" si="908">SUM(W1709:W1717)</f>
        <v>2395.5</v>
      </c>
      <c r="X1718" s="590">
        <f t="shared" si="908"/>
        <v>138.27000000000001</v>
      </c>
      <c r="Y1718" s="590">
        <f t="shared" si="908"/>
        <v>35.869999999999997</v>
      </c>
      <c r="Z1718" s="590">
        <f t="shared" si="908"/>
        <v>359.8</v>
      </c>
      <c r="AA1718" s="688">
        <f t="shared" si="908"/>
        <v>22.040000000000003</v>
      </c>
      <c r="AB1718" s="691">
        <f t="shared" si="908"/>
        <v>0</v>
      </c>
      <c r="AC1718" s="586"/>
    </row>
    <row r="1719" spans="17:29">
      <c r="Q1719" s="585"/>
      <c r="R1719" s="586" t="s">
        <v>220</v>
      </c>
      <c r="S1719" s="587"/>
      <c r="T1719" s="588"/>
      <c r="U1719" s="588"/>
      <c r="V1719" s="589"/>
      <c r="W1719" s="591">
        <f>$B$27</f>
        <v>2834.5625</v>
      </c>
      <c r="X1719" s="591">
        <f>$B$29</f>
        <v>154</v>
      </c>
      <c r="Y1719" s="591">
        <f>$B$30</f>
        <v>63.91</v>
      </c>
      <c r="Z1719" s="591">
        <f>$B$31</f>
        <v>410.84312499999999</v>
      </c>
      <c r="AA1719" s="642">
        <f>$B$32</f>
        <v>39.683875</v>
      </c>
      <c r="AB1719" s="695">
        <f>$B$39</f>
        <v>500</v>
      </c>
      <c r="AC1719" s="586"/>
    </row>
    <row r="1720" spans="17:29">
      <c r="Q1720" s="585"/>
      <c r="R1720" s="586" t="s">
        <v>222</v>
      </c>
      <c r="S1720" s="587"/>
      <c r="T1720" s="588"/>
      <c r="U1720" s="588"/>
      <c r="V1720" s="589"/>
      <c r="W1720" s="284">
        <f t="shared" ref="W1720:AB1720" si="909">W1718-W1719</f>
        <v>-439.0625</v>
      </c>
      <c r="X1720" s="284">
        <f t="shared" si="909"/>
        <v>-15.72999999999999</v>
      </c>
      <c r="Y1720" s="284">
        <f t="shared" si="909"/>
        <v>-28.04</v>
      </c>
      <c r="Z1720" s="284">
        <f t="shared" si="909"/>
        <v>-51.043124999999975</v>
      </c>
      <c r="AA1720" s="690">
        <f t="shared" si="909"/>
        <v>-17.643874999999998</v>
      </c>
      <c r="AB1720" s="689">
        <f t="shared" si="909"/>
        <v>-500</v>
      </c>
      <c r="AC1720" s="586"/>
    </row>
    <row r="1721" spans="17:29">
      <c r="Q1721" s="579">
        <v>46136</v>
      </c>
      <c r="R1721" s="580">
        <v>0.375</v>
      </c>
      <c r="S1721" s="581" t="s">
        <v>178</v>
      </c>
      <c r="T1721" s="581" t="s">
        <v>915</v>
      </c>
      <c r="U1721" s="582">
        <v>1.5</v>
      </c>
      <c r="V1721" s="583" t="str">
        <f t="shared" ref="V1721:V1725" si="910">IFERROR(VLOOKUP(T1721, $E$5:$L$818, 3, FALSE), "")</f>
        <v>piece</v>
      </c>
      <c r="W1721" s="584">
        <f t="shared" ref="W1721:W1734" si="911">IFERROR(VLOOKUP(T1721, $E$5:$L$818, 4, FALSE) * (U1721 / VLOOKUP(T1721, $E$5:$L$818, 2, FALSE)), "")</f>
        <v>367.5</v>
      </c>
      <c r="X1721" s="584">
        <f t="shared" ref="X1721:X1734" si="912">IFERROR(VLOOKUP(T1721, $E$5:$L$818, 5, FALSE) * (U1721 / VLOOKUP(T1721, $E$5:$L$818, 2, FALSE)), "")</f>
        <v>13.5</v>
      </c>
      <c r="Y1721" s="584">
        <f t="shared" ref="Y1721:Y1734" si="913">IFERROR(VLOOKUP(T1721, $E$5:$L$818, 6, FALSE) * (U1721 / VLOOKUP(T1721, $E$5:$L$818, 2, FALSE)), "")</f>
        <v>3</v>
      </c>
      <c r="Z1721" s="584">
        <f t="shared" ref="Z1721:Z1734" si="914">IFERROR(VLOOKUP(T1721, $E$5:$L$818, 7, FALSE) * (U1721 / VLOOKUP(T1721, $E$5:$L$818, 2, FALSE)), "")</f>
        <v>72</v>
      </c>
      <c r="AA1721" s="584">
        <f t="shared" ref="AA1721:AA1734" si="915">IFERROR(VLOOKUP(T1721, $E$5:$L$818, 8, FALSE) * (U1721 / VLOOKUP(T1721, $E$5:$L$818, 2, FALSE)), "")</f>
        <v>3</v>
      </c>
      <c r="AB1721" s="674">
        <f t="shared" ref="AB1721:AB1732" si="916">IFERROR(VLOOKUP(T1721, $E$5:$O$818, 9, FALSE) * (U1721 / VLOOKUP(T1721, $E$5:$O$818, 2, FALSE)), "")</f>
        <v>0</v>
      </c>
      <c r="AC1721" s="581"/>
    </row>
    <row r="1722" spans="17:29">
      <c r="Q1722" s="579">
        <v>46136</v>
      </c>
      <c r="R1722" s="580">
        <v>0.375</v>
      </c>
      <c r="S1722" s="581" t="s">
        <v>178</v>
      </c>
      <c r="T1722" s="581" t="s">
        <v>204</v>
      </c>
      <c r="U1722" s="582">
        <v>3</v>
      </c>
      <c r="V1722" s="583" t="str">
        <f t="shared" si="910"/>
        <v>tbsp</v>
      </c>
      <c r="W1722" s="584">
        <f t="shared" si="911"/>
        <v>150</v>
      </c>
      <c r="X1722" s="584">
        <f t="shared" si="912"/>
        <v>3</v>
      </c>
      <c r="Y1722" s="584">
        <f t="shared" si="913"/>
        <v>15</v>
      </c>
      <c r="Z1722" s="584">
        <f t="shared" si="914"/>
        <v>3</v>
      </c>
      <c r="AA1722" s="584">
        <f t="shared" si="915"/>
        <v>0</v>
      </c>
      <c r="AB1722" s="584">
        <f t="shared" si="916"/>
        <v>0</v>
      </c>
      <c r="AC1722" s="581"/>
    </row>
    <row r="1723" spans="17:29">
      <c r="Q1723" s="579">
        <v>46136</v>
      </c>
      <c r="R1723" s="580">
        <v>0.41666666666666669</v>
      </c>
      <c r="S1723" s="581" t="s">
        <v>289</v>
      </c>
      <c r="T1723" s="581" t="s">
        <v>295</v>
      </c>
      <c r="U1723" s="582">
        <v>1</v>
      </c>
      <c r="V1723" s="583" t="str">
        <f t="shared" si="910"/>
        <v>bottle</v>
      </c>
      <c r="W1723" s="584">
        <f t="shared" si="911"/>
        <v>200</v>
      </c>
      <c r="X1723" s="584">
        <f t="shared" si="912"/>
        <v>35</v>
      </c>
      <c r="Y1723" s="584">
        <f t="shared" si="913"/>
        <v>2.5</v>
      </c>
      <c r="Z1723" s="584">
        <f t="shared" si="914"/>
        <v>9</v>
      </c>
      <c r="AA1723" s="584">
        <f t="shared" si="915"/>
        <v>0</v>
      </c>
      <c r="AB1723" s="584">
        <f t="shared" si="916"/>
        <v>0</v>
      </c>
      <c r="AC1723" s="581"/>
    </row>
    <row r="1724" spans="17:29">
      <c r="Q1724" s="579">
        <v>46136</v>
      </c>
      <c r="R1724" s="580">
        <v>0.5</v>
      </c>
      <c r="S1724" s="581" t="s">
        <v>289</v>
      </c>
      <c r="T1724" s="581" t="s">
        <v>461</v>
      </c>
      <c r="U1724" s="582">
        <v>5</v>
      </c>
      <c r="V1724" s="583" t="str">
        <f t="shared" si="910"/>
        <v>chunks</v>
      </c>
      <c r="W1724" s="584">
        <f t="shared" si="911"/>
        <v>121.42857142857143</v>
      </c>
      <c r="X1724" s="584">
        <f t="shared" si="912"/>
        <v>2.1428571428571428</v>
      </c>
      <c r="Y1724" s="584">
        <f t="shared" si="913"/>
        <v>7.1428571428571432</v>
      </c>
      <c r="Z1724" s="584">
        <f t="shared" si="914"/>
        <v>12.857142857142858</v>
      </c>
      <c r="AA1724" s="584">
        <f t="shared" si="915"/>
        <v>0.35714285714285715</v>
      </c>
      <c r="AB1724" s="584">
        <f t="shared" si="916"/>
        <v>0</v>
      </c>
      <c r="AC1724" s="581"/>
    </row>
    <row r="1725" spans="17:29">
      <c r="Q1725" s="579">
        <v>46136</v>
      </c>
      <c r="R1725" s="580">
        <v>0.5</v>
      </c>
      <c r="S1725" s="581" t="s">
        <v>185</v>
      </c>
      <c r="T1725" s="581" t="s">
        <v>176</v>
      </c>
      <c r="U1725" s="582">
        <v>200</v>
      </c>
      <c r="V1725" s="583" t="str">
        <f t="shared" si="910"/>
        <v>g</v>
      </c>
      <c r="W1725" s="584">
        <f t="shared" si="911"/>
        <v>330</v>
      </c>
      <c r="X1725" s="584">
        <f t="shared" si="912"/>
        <v>50</v>
      </c>
      <c r="Y1725" s="584">
        <f t="shared" si="913"/>
        <v>7.2</v>
      </c>
      <c r="Z1725" s="584">
        <f t="shared" si="914"/>
        <v>0</v>
      </c>
      <c r="AA1725" s="584">
        <f t="shared" si="915"/>
        <v>0</v>
      </c>
      <c r="AB1725" s="584">
        <f t="shared" si="916"/>
        <v>0</v>
      </c>
      <c r="AC1725" s="581"/>
    </row>
    <row r="1726" spans="17:29">
      <c r="Q1726" s="579">
        <v>46136</v>
      </c>
      <c r="R1726" s="580">
        <v>0.5</v>
      </c>
      <c r="S1726" s="581" t="s">
        <v>185</v>
      </c>
      <c r="T1726" s="581" t="s">
        <v>180</v>
      </c>
      <c r="U1726" s="582">
        <v>200</v>
      </c>
      <c r="V1726" s="583" t="str">
        <f t="shared" ref="V1726:V1734" si="917">IFERROR(VLOOKUP(T1726, $E$5:$L$818, 3, FALSE), "")</f>
        <v>g</v>
      </c>
      <c r="W1726" s="584">
        <f t="shared" si="911"/>
        <v>260</v>
      </c>
      <c r="X1726" s="584">
        <f t="shared" si="912"/>
        <v>5.4</v>
      </c>
      <c r="Y1726" s="584">
        <f t="shared" si="913"/>
        <v>0.6</v>
      </c>
      <c r="Z1726" s="584">
        <f t="shared" si="914"/>
        <v>56</v>
      </c>
      <c r="AA1726" s="584">
        <f t="shared" si="915"/>
        <v>0.8</v>
      </c>
      <c r="AB1726" s="584">
        <f t="shared" si="916"/>
        <v>0</v>
      </c>
      <c r="AC1726" s="581"/>
    </row>
    <row r="1727" spans="17:29">
      <c r="Q1727" s="579">
        <v>46136</v>
      </c>
      <c r="R1727" s="580">
        <v>0.66666666666666663</v>
      </c>
      <c r="S1727" s="581" t="s">
        <v>289</v>
      </c>
      <c r="T1727" s="581" t="s">
        <v>461</v>
      </c>
      <c r="U1727" s="582">
        <v>1</v>
      </c>
      <c r="V1727" s="583" t="str">
        <f t="shared" si="917"/>
        <v>chunks</v>
      </c>
      <c r="W1727" s="584">
        <f t="shared" si="911"/>
        <v>24.285714285714285</v>
      </c>
      <c r="X1727" s="584">
        <f t="shared" si="912"/>
        <v>0.42857142857142855</v>
      </c>
      <c r="Y1727" s="584">
        <f t="shared" si="913"/>
        <v>1.4285714285714284</v>
      </c>
      <c r="Z1727" s="584">
        <f t="shared" si="914"/>
        <v>2.5714285714285712</v>
      </c>
      <c r="AA1727" s="584">
        <f t="shared" si="915"/>
        <v>7.1428571428571425E-2</v>
      </c>
      <c r="AB1727" s="584">
        <f t="shared" si="916"/>
        <v>0</v>
      </c>
      <c r="AC1727" s="581"/>
    </row>
    <row r="1728" spans="17:29">
      <c r="Q1728" s="579">
        <v>46136</v>
      </c>
      <c r="R1728" s="580">
        <v>0.79166666666666663</v>
      </c>
      <c r="S1728" s="581" t="s">
        <v>289</v>
      </c>
      <c r="T1728" s="581" t="s">
        <v>190</v>
      </c>
      <c r="U1728" s="582">
        <v>3</v>
      </c>
      <c r="V1728" s="583" t="str">
        <f t="shared" si="917"/>
        <v>medium</v>
      </c>
      <c r="W1728" s="584">
        <f t="shared" si="911"/>
        <v>186</v>
      </c>
      <c r="X1728" s="584">
        <f t="shared" si="912"/>
        <v>3.5999999999999996</v>
      </c>
      <c r="Y1728" s="584">
        <f t="shared" si="913"/>
        <v>0.60000000000000009</v>
      </c>
      <c r="Z1728" s="584">
        <f t="shared" si="914"/>
        <v>46.2</v>
      </c>
      <c r="AA1728" s="584">
        <f t="shared" si="915"/>
        <v>9.3000000000000007</v>
      </c>
      <c r="AB1728" s="584">
        <f t="shared" si="916"/>
        <v>0</v>
      </c>
      <c r="AC1728" s="581"/>
    </row>
    <row r="1729" spans="17:29">
      <c r="Q1729" s="579">
        <v>46136</v>
      </c>
      <c r="R1729" s="580">
        <v>0.79166666666666663</v>
      </c>
      <c r="S1729" s="581" t="s">
        <v>289</v>
      </c>
      <c r="T1729" s="581" t="s">
        <v>827</v>
      </c>
      <c r="U1729" s="582">
        <v>1</v>
      </c>
      <c r="V1729" s="583" t="str">
        <f t="shared" si="917"/>
        <v>pack</v>
      </c>
      <c r="W1729" s="584">
        <f t="shared" si="911"/>
        <v>20</v>
      </c>
      <c r="X1729" s="584">
        <f t="shared" si="912"/>
        <v>0</v>
      </c>
      <c r="Y1729" s="584">
        <f t="shared" si="913"/>
        <v>0.5</v>
      </c>
      <c r="Z1729" s="584">
        <f t="shared" si="914"/>
        <v>3</v>
      </c>
      <c r="AA1729" s="584">
        <f t="shared" si="915"/>
        <v>0</v>
      </c>
      <c r="AB1729" s="584">
        <f t="shared" si="916"/>
        <v>0</v>
      </c>
      <c r="AC1729" s="581"/>
    </row>
    <row r="1730" spans="17:29">
      <c r="Q1730" s="579">
        <v>46136</v>
      </c>
      <c r="R1730" s="580">
        <v>0.79166666666666663</v>
      </c>
      <c r="S1730" s="581" t="s">
        <v>289</v>
      </c>
      <c r="T1730" s="581" t="s">
        <v>468</v>
      </c>
      <c r="U1730" s="582">
        <v>1</v>
      </c>
      <c r="V1730" s="583" t="str">
        <f t="shared" si="917"/>
        <v>apple</v>
      </c>
      <c r="W1730" s="584">
        <f t="shared" si="911"/>
        <v>95</v>
      </c>
      <c r="X1730" s="584">
        <f t="shared" si="912"/>
        <v>0.5</v>
      </c>
      <c r="Y1730" s="584">
        <f t="shared" si="913"/>
        <v>0.3</v>
      </c>
      <c r="Z1730" s="584">
        <f t="shared" si="914"/>
        <v>25</v>
      </c>
      <c r="AA1730" s="584">
        <f t="shared" si="915"/>
        <v>4</v>
      </c>
      <c r="AB1730" s="584">
        <f t="shared" si="916"/>
        <v>0</v>
      </c>
      <c r="AC1730" s="581"/>
    </row>
    <row r="1731" spans="17:29">
      <c r="Q1731" s="579">
        <v>46136</v>
      </c>
      <c r="R1731" s="580">
        <v>0.79166666666666663</v>
      </c>
      <c r="S1731" s="581" t="s">
        <v>199</v>
      </c>
      <c r="T1731" s="581" t="s">
        <v>176</v>
      </c>
      <c r="U1731" s="582">
        <v>250</v>
      </c>
      <c r="V1731" s="583" t="str">
        <f t="shared" si="917"/>
        <v>g</v>
      </c>
      <c r="W1731" s="584">
        <f t="shared" si="911"/>
        <v>412.5</v>
      </c>
      <c r="X1731" s="584">
        <f t="shared" si="912"/>
        <v>62.5</v>
      </c>
      <c r="Y1731" s="584">
        <f t="shared" si="913"/>
        <v>9</v>
      </c>
      <c r="Z1731" s="584">
        <f t="shared" si="914"/>
        <v>0</v>
      </c>
      <c r="AA1731" s="584">
        <f t="shared" si="915"/>
        <v>0</v>
      </c>
      <c r="AB1731" s="584">
        <f t="shared" si="916"/>
        <v>0</v>
      </c>
      <c r="AC1731" s="581"/>
    </row>
    <row r="1732" spans="17:29">
      <c r="Q1732" s="579">
        <v>46136</v>
      </c>
      <c r="R1732" s="580">
        <v>0.79166666666666663</v>
      </c>
      <c r="S1732" s="581" t="s">
        <v>199</v>
      </c>
      <c r="T1732" s="581" t="s">
        <v>180</v>
      </c>
      <c r="U1732" s="582">
        <v>220</v>
      </c>
      <c r="V1732" s="583" t="str">
        <f t="shared" si="917"/>
        <v>g</v>
      </c>
      <c r="W1732" s="584">
        <f t="shared" si="911"/>
        <v>286</v>
      </c>
      <c r="X1732" s="584">
        <f t="shared" si="912"/>
        <v>5.9400000000000013</v>
      </c>
      <c r="Y1732" s="584">
        <f t="shared" si="913"/>
        <v>0.66</v>
      </c>
      <c r="Z1732" s="584">
        <f t="shared" si="914"/>
        <v>61.600000000000009</v>
      </c>
      <c r="AA1732" s="584">
        <f t="shared" si="915"/>
        <v>0.88000000000000012</v>
      </c>
      <c r="AB1732" s="584">
        <f t="shared" si="916"/>
        <v>0</v>
      </c>
      <c r="AC1732" s="581"/>
    </row>
    <row r="1733" spans="17:29">
      <c r="Q1733" s="579">
        <v>46136</v>
      </c>
      <c r="R1733" s="580">
        <v>0.79166666666666663</v>
      </c>
      <c r="S1733" s="581" t="s">
        <v>289</v>
      </c>
      <c r="T1733" s="581" t="s">
        <v>786</v>
      </c>
      <c r="U1733" s="582">
        <v>1</v>
      </c>
      <c r="V1733" s="583" t="str">
        <f t="shared" si="917"/>
        <v>bottle</v>
      </c>
      <c r="W1733" s="584">
        <f t="shared" si="911"/>
        <v>90</v>
      </c>
      <c r="X1733" s="584">
        <f t="shared" si="912"/>
        <v>0</v>
      </c>
      <c r="Y1733" s="584">
        <f t="shared" si="913"/>
        <v>0</v>
      </c>
      <c r="Z1733" s="584">
        <f t="shared" si="914"/>
        <v>22</v>
      </c>
      <c r="AA1733" s="584">
        <f t="shared" si="915"/>
        <v>0</v>
      </c>
      <c r="AB1733" s="584"/>
      <c r="AC1733" s="581"/>
    </row>
    <row r="1734" spans="17:29">
      <c r="Q1734" s="579">
        <v>46136</v>
      </c>
      <c r="R1734" s="580">
        <v>0.79166666666666663</v>
      </c>
      <c r="S1734" s="581" t="s">
        <v>289</v>
      </c>
      <c r="T1734" s="581" t="s">
        <v>1081</v>
      </c>
      <c r="U1734" s="582">
        <v>27</v>
      </c>
      <c r="V1734" s="583" t="str">
        <f t="shared" si="917"/>
        <v>g</v>
      </c>
      <c r="W1734" s="584">
        <f t="shared" si="911"/>
        <v>54</v>
      </c>
      <c r="X1734" s="584">
        <f t="shared" si="912"/>
        <v>0</v>
      </c>
      <c r="Y1734" s="584">
        <f t="shared" si="913"/>
        <v>0</v>
      </c>
      <c r="Z1734" s="584">
        <f t="shared" si="914"/>
        <v>21.6</v>
      </c>
      <c r="AA1734" s="584">
        <f t="shared" si="915"/>
        <v>21.6</v>
      </c>
      <c r="AB1734" s="584">
        <f>IFERROR(VLOOKUP(T1734, $E$5:$O$818, 9, FALSE) * (U1734 / VLOOKUP(T1734, $E$5:$O$818, 2, FALSE)), "")</f>
        <v>0</v>
      </c>
      <c r="AC1734" s="581"/>
    </row>
    <row r="1735" spans="17:29">
      <c r="Q1735" s="585"/>
      <c r="R1735" s="586" t="s">
        <v>217</v>
      </c>
      <c r="S1735" s="587"/>
      <c r="T1735" s="588"/>
      <c r="U1735" s="588"/>
      <c r="V1735" s="589"/>
      <c r="W1735" s="590">
        <f t="shared" ref="W1735:AB1735" si="918">SUM(W1721:W1734)</f>
        <v>2596.7142857142858</v>
      </c>
      <c r="X1735" s="590">
        <f t="shared" si="918"/>
        <v>182.01142857142855</v>
      </c>
      <c r="Y1735" s="590">
        <f t="shared" si="918"/>
        <v>47.931428571428569</v>
      </c>
      <c r="Z1735" s="590">
        <f t="shared" si="918"/>
        <v>334.82857142857148</v>
      </c>
      <c r="AA1735" s="688">
        <f t="shared" si="918"/>
        <v>40.008571428571429</v>
      </c>
      <c r="AB1735" s="691">
        <f t="shared" si="918"/>
        <v>0</v>
      </c>
      <c r="AC1735" s="586"/>
    </row>
    <row r="1736" spans="17:29">
      <c r="Q1736" s="585"/>
      <c r="R1736" s="586" t="s">
        <v>220</v>
      </c>
      <c r="S1736" s="587"/>
      <c r="T1736" s="588"/>
      <c r="U1736" s="588"/>
      <c r="V1736" s="589"/>
      <c r="W1736" s="591">
        <f>$B$27</f>
        <v>2834.5625</v>
      </c>
      <c r="X1736" s="591">
        <f>$B$29</f>
        <v>154</v>
      </c>
      <c r="Y1736" s="591">
        <f>$B$30</f>
        <v>63.91</v>
      </c>
      <c r="Z1736" s="591">
        <f>$B$31</f>
        <v>410.84312499999999</v>
      </c>
      <c r="AA1736" s="642">
        <f>$B$32</f>
        <v>39.683875</v>
      </c>
      <c r="AB1736" s="695">
        <f>$B$39</f>
        <v>500</v>
      </c>
      <c r="AC1736" s="586"/>
    </row>
    <row r="1737" spans="17:29">
      <c r="Q1737" s="585"/>
      <c r="R1737" s="586" t="s">
        <v>222</v>
      </c>
      <c r="S1737" s="587"/>
      <c r="T1737" s="588"/>
      <c r="U1737" s="588"/>
      <c r="V1737" s="589"/>
      <c r="W1737" s="284">
        <f t="shared" ref="W1737:AB1737" si="919">W1735-W1736</f>
        <v>-237.84821428571422</v>
      </c>
      <c r="X1737" s="284">
        <f t="shared" si="919"/>
        <v>28.011428571428553</v>
      </c>
      <c r="Y1737" s="284">
        <f t="shared" si="919"/>
        <v>-15.978571428571428</v>
      </c>
      <c r="Z1737" s="284">
        <f t="shared" si="919"/>
        <v>-76.014553571428507</v>
      </c>
      <c r="AA1737" s="690">
        <f t="shared" si="919"/>
        <v>0.32469642857142844</v>
      </c>
      <c r="AB1737" s="689">
        <f t="shared" si="919"/>
        <v>-500</v>
      </c>
      <c r="AC1737" s="586"/>
    </row>
    <row r="1738" spans="17:29">
      <c r="Q1738" s="579">
        <v>46137</v>
      </c>
      <c r="R1738" s="580">
        <v>0.45833333333333331</v>
      </c>
      <c r="S1738" s="581" t="s">
        <v>178</v>
      </c>
      <c r="T1738" s="581" t="s">
        <v>1104</v>
      </c>
      <c r="U1738" s="582">
        <v>5.6</v>
      </c>
      <c r="V1738" s="583" t="str">
        <f t="shared" ref="V1738:V1741" si="920">IFERROR(VLOOKUP(T1738, $E$5:$L$818, 3, FALSE), "")</f>
        <v>g</v>
      </c>
      <c r="W1738" s="584">
        <f t="shared" ref="W1738:W1751" si="921">IFERROR(VLOOKUP(T1738, $E$5:$L$818, 4, FALSE) * (U1738 / VLOOKUP(T1738, $E$5:$L$818, 2, FALSE)), "")</f>
        <v>26.879999999999995</v>
      </c>
      <c r="X1738" s="584">
        <f t="shared" ref="X1738:X1751" si="922">IFERROR(VLOOKUP(T1738, $E$5:$L$818, 5, FALSE) * (U1738 / VLOOKUP(T1738, $E$5:$L$818, 2, FALSE)), "")</f>
        <v>1.1199999999999999</v>
      </c>
      <c r="Y1738" s="584">
        <f t="shared" ref="Y1738:Y1751" si="923">IFERROR(VLOOKUP(T1738, $E$5:$L$818, 6, FALSE) * (U1738 / VLOOKUP(T1738, $E$5:$L$818, 2, FALSE)), "")</f>
        <v>2.2399999999999998</v>
      </c>
      <c r="Z1738" s="584">
        <f t="shared" ref="Z1738:Z1751" si="924">IFERROR(VLOOKUP(T1738, $E$5:$L$818, 7, FALSE) * (U1738 / VLOOKUP(T1738, $E$5:$L$818, 2, FALSE)), "")</f>
        <v>2.2399999999999998</v>
      </c>
      <c r="AA1738" s="584">
        <f t="shared" ref="AA1738:AA1751" si="925">IFERROR(VLOOKUP(T1738, $E$5:$L$818, 8, FALSE) * (U1738 / VLOOKUP(T1738, $E$5:$L$818, 2, FALSE)), "")</f>
        <v>2.2399999999999998</v>
      </c>
      <c r="AB1738" s="674">
        <f t="shared" ref="AB1738:AB1751" si="926">IFERROR(VLOOKUP(T1738, $E$5:$O$818, 9, FALSE) * (U1738 / VLOOKUP(T1738, $E$5:$O$818, 2, FALSE)), "")</f>
        <v>0</v>
      </c>
      <c r="AC1738" s="581"/>
    </row>
    <row r="1739" spans="17:29">
      <c r="Q1739" s="579">
        <v>46137</v>
      </c>
      <c r="R1739" s="580">
        <v>0.45833333333333331</v>
      </c>
      <c r="S1739" s="581" t="s">
        <v>178</v>
      </c>
      <c r="T1739" s="581" t="s">
        <v>915</v>
      </c>
      <c r="U1739" s="582">
        <v>1</v>
      </c>
      <c r="V1739" s="583" t="str">
        <f t="shared" si="920"/>
        <v>piece</v>
      </c>
      <c r="W1739" s="584">
        <f t="shared" si="921"/>
        <v>245</v>
      </c>
      <c r="X1739" s="584">
        <f t="shared" si="922"/>
        <v>9</v>
      </c>
      <c r="Y1739" s="584">
        <f t="shared" si="923"/>
        <v>2</v>
      </c>
      <c r="Z1739" s="584">
        <f t="shared" si="924"/>
        <v>48</v>
      </c>
      <c r="AA1739" s="584">
        <f t="shared" si="925"/>
        <v>2</v>
      </c>
      <c r="AB1739" s="584">
        <f t="shared" si="926"/>
        <v>0</v>
      </c>
      <c r="AC1739" s="581"/>
    </row>
    <row r="1740" spans="17:29">
      <c r="Q1740" s="579">
        <v>46137</v>
      </c>
      <c r="R1740" s="580">
        <v>0.45833333333333331</v>
      </c>
      <c r="S1740" s="581" t="s">
        <v>178</v>
      </c>
      <c r="T1740" s="581" t="s">
        <v>204</v>
      </c>
      <c r="U1740" s="582">
        <v>3</v>
      </c>
      <c r="V1740" s="583" t="str">
        <f t="shared" si="920"/>
        <v>tbsp</v>
      </c>
      <c r="W1740" s="584">
        <f t="shared" si="921"/>
        <v>150</v>
      </c>
      <c r="X1740" s="584">
        <f t="shared" si="922"/>
        <v>3</v>
      </c>
      <c r="Y1740" s="584">
        <f t="shared" si="923"/>
        <v>15</v>
      </c>
      <c r="Z1740" s="584">
        <f t="shared" si="924"/>
        <v>3</v>
      </c>
      <c r="AA1740" s="584">
        <f t="shared" si="925"/>
        <v>0</v>
      </c>
      <c r="AB1740" s="584">
        <f t="shared" si="926"/>
        <v>0</v>
      </c>
      <c r="AC1740" s="581"/>
    </row>
    <row r="1741" spans="17:29">
      <c r="Q1741" s="579">
        <v>46137</v>
      </c>
      <c r="R1741" s="580">
        <v>0.45833333333333331</v>
      </c>
      <c r="S1741" s="581" t="s">
        <v>178</v>
      </c>
      <c r="T1741" s="581" t="s">
        <v>181</v>
      </c>
      <c r="U1741" s="582">
        <v>2</v>
      </c>
      <c r="V1741" s="583" t="str">
        <f t="shared" si="920"/>
        <v>slice</v>
      </c>
      <c r="W1741" s="584">
        <f t="shared" si="921"/>
        <v>140</v>
      </c>
      <c r="X1741" s="584">
        <f t="shared" si="922"/>
        <v>5</v>
      </c>
      <c r="Y1741" s="584">
        <f t="shared" si="923"/>
        <v>2.5</v>
      </c>
      <c r="Z1741" s="584">
        <f t="shared" si="924"/>
        <v>24</v>
      </c>
      <c r="AA1741" s="584">
        <f t="shared" si="925"/>
        <v>2</v>
      </c>
      <c r="AB1741" s="584">
        <f t="shared" si="926"/>
        <v>0</v>
      </c>
      <c r="AC1741" s="581"/>
    </row>
    <row r="1742" spans="17:29">
      <c r="Q1742" s="579">
        <v>46137</v>
      </c>
      <c r="R1742" s="580">
        <v>0.45833333333333331</v>
      </c>
      <c r="S1742" s="581" t="s">
        <v>178</v>
      </c>
      <c r="T1742" s="581" t="s">
        <v>295</v>
      </c>
      <c r="U1742" s="582">
        <v>1</v>
      </c>
      <c r="V1742" s="583"/>
      <c r="W1742" s="584">
        <f t="shared" si="921"/>
        <v>200</v>
      </c>
      <c r="X1742" s="584">
        <f t="shared" si="922"/>
        <v>35</v>
      </c>
      <c r="Y1742" s="584">
        <f t="shared" si="923"/>
        <v>2.5</v>
      </c>
      <c r="Z1742" s="584">
        <f t="shared" si="924"/>
        <v>9</v>
      </c>
      <c r="AA1742" s="584">
        <f t="shared" si="925"/>
        <v>0</v>
      </c>
      <c r="AB1742" s="584">
        <f t="shared" si="926"/>
        <v>0</v>
      </c>
      <c r="AC1742" s="581"/>
    </row>
    <row r="1743" spans="17:29">
      <c r="Q1743" s="579">
        <v>46137</v>
      </c>
      <c r="R1743" s="580">
        <v>0.45833333333333331</v>
      </c>
      <c r="S1743" s="581" t="s">
        <v>178</v>
      </c>
      <c r="T1743" s="581" t="s">
        <v>461</v>
      </c>
      <c r="U1743" s="582">
        <v>1</v>
      </c>
      <c r="V1743" s="583" t="str">
        <f t="shared" ref="V1743:V1751" si="927">IFERROR(VLOOKUP(T1743, $E$5:$L$818, 3, FALSE), "")</f>
        <v>chunks</v>
      </c>
      <c r="W1743" s="584">
        <f t="shared" si="921"/>
        <v>24.285714285714285</v>
      </c>
      <c r="X1743" s="584">
        <f t="shared" si="922"/>
        <v>0.42857142857142855</v>
      </c>
      <c r="Y1743" s="584">
        <f t="shared" si="923"/>
        <v>1.4285714285714284</v>
      </c>
      <c r="Z1743" s="584">
        <f t="shared" si="924"/>
        <v>2.5714285714285712</v>
      </c>
      <c r="AA1743" s="584">
        <f t="shared" si="925"/>
        <v>7.1428571428571425E-2</v>
      </c>
      <c r="AB1743" s="584">
        <f t="shared" si="926"/>
        <v>0</v>
      </c>
      <c r="AC1743" s="581"/>
    </row>
    <row r="1744" spans="17:29">
      <c r="Q1744" s="579">
        <v>46137</v>
      </c>
      <c r="R1744" s="580">
        <v>0.5</v>
      </c>
      <c r="S1744" s="581" t="s">
        <v>289</v>
      </c>
      <c r="T1744" s="581" t="s">
        <v>1076</v>
      </c>
      <c r="U1744" s="582">
        <v>1</v>
      </c>
      <c r="V1744" s="583" t="str">
        <f t="shared" si="927"/>
        <v>pounch</v>
      </c>
      <c r="W1744" s="584">
        <f t="shared" si="921"/>
        <v>45</v>
      </c>
      <c r="X1744" s="584">
        <f t="shared" si="922"/>
        <v>0</v>
      </c>
      <c r="Y1744" s="584">
        <f t="shared" si="923"/>
        <v>0</v>
      </c>
      <c r="Z1744" s="584">
        <f t="shared" si="924"/>
        <v>11</v>
      </c>
      <c r="AA1744" s="584">
        <f t="shared" si="925"/>
        <v>0</v>
      </c>
      <c r="AB1744" s="584">
        <f t="shared" si="926"/>
        <v>0</v>
      </c>
      <c r="AC1744" s="581"/>
    </row>
    <row r="1745" spans="17:29">
      <c r="Q1745" s="579">
        <v>46137</v>
      </c>
      <c r="R1745" s="580">
        <v>0.5</v>
      </c>
      <c r="S1745" s="581" t="s">
        <v>185</v>
      </c>
      <c r="T1745" s="581" t="s">
        <v>176</v>
      </c>
      <c r="U1745" s="582">
        <v>200</v>
      </c>
      <c r="V1745" s="583" t="str">
        <f t="shared" si="927"/>
        <v>g</v>
      </c>
      <c r="W1745" s="584">
        <f t="shared" si="921"/>
        <v>330</v>
      </c>
      <c r="X1745" s="584">
        <f t="shared" si="922"/>
        <v>50</v>
      </c>
      <c r="Y1745" s="584">
        <f t="shared" si="923"/>
        <v>7.2</v>
      </c>
      <c r="Z1745" s="584">
        <f t="shared" si="924"/>
        <v>0</v>
      </c>
      <c r="AA1745" s="584">
        <f t="shared" si="925"/>
        <v>0</v>
      </c>
      <c r="AB1745" s="584">
        <f t="shared" si="926"/>
        <v>0</v>
      </c>
      <c r="AC1745" s="581"/>
    </row>
    <row r="1746" spans="17:29">
      <c r="Q1746" s="579">
        <v>46137</v>
      </c>
      <c r="R1746" s="580">
        <v>0.5</v>
      </c>
      <c r="S1746" s="581" t="s">
        <v>185</v>
      </c>
      <c r="T1746" s="581" t="s">
        <v>180</v>
      </c>
      <c r="U1746" s="582">
        <v>250</v>
      </c>
      <c r="V1746" s="583" t="str">
        <f t="shared" si="927"/>
        <v>g</v>
      </c>
      <c r="W1746" s="584">
        <f t="shared" si="921"/>
        <v>325</v>
      </c>
      <c r="X1746" s="584">
        <f t="shared" si="922"/>
        <v>6.75</v>
      </c>
      <c r="Y1746" s="584">
        <f t="shared" si="923"/>
        <v>0.75</v>
      </c>
      <c r="Z1746" s="584">
        <f t="shared" si="924"/>
        <v>70</v>
      </c>
      <c r="AA1746" s="584">
        <f t="shared" si="925"/>
        <v>1</v>
      </c>
      <c r="AB1746" s="584">
        <f t="shared" si="926"/>
        <v>0</v>
      </c>
      <c r="AC1746" s="581"/>
    </row>
    <row r="1747" spans="17:29">
      <c r="Q1747" s="579">
        <v>46137</v>
      </c>
      <c r="R1747" s="580">
        <v>0.875</v>
      </c>
      <c r="S1747" s="581" t="s">
        <v>199</v>
      </c>
      <c r="T1747" s="581" t="s">
        <v>176</v>
      </c>
      <c r="U1747" s="582">
        <v>200</v>
      </c>
      <c r="V1747" s="583" t="str">
        <f t="shared" si="927"/>
        <v>g</v>
      </c>
      <c r="W1747" s="584">
        <f t="shared" si="921"/>
        <v>330</v>
      </c>
      <c r="X1747" s="584">
        <f t="shared" si="922"/>
        <v>50</v>
      </c>
      <c r="Y1747" s="584">
        <f t="shared" si="923"/>
        <v>7.2</v>
      </c>
      <c r="Z1747" s="584">
        <f t="shared" si="924"/>
        <v>0</v>
      </c>
      <c r="AA1747" s="584">
        <f t="shared" si="925"/>
        <v>0</v>
      </c>
      <c r="AB1747" s="584">
        <f t="shared" si="926"/>
        <v>0</v>
      </c>
      <c r="AC1747" s="581"/>
    </row>
    <row r="1748" spans="17:29">
      <c r="Q1748" s="579">
        <v>46137</v>
      </c>
      <c r="R1748" s="580">
        <v>0.875</v>
      </c>
      <c r="S1748" s="581" t="s">
        <v>199</v>
      </c>
      <c r="T1748" s="581" t="s">
        <v>180</v>
      </c>
      <c r="U1748" s="582">
        <v>250</v>
      </c>
      <c r="V1748" s="583" t="str">
        <f t="shared" si="927"/>
        <v>g</v>
      </c>
      <c r="W1748" s="584">
        <f t="shared" si="921"/>
        <v>325</v>
      </c>
      <c r="X1748" s="584">
        <f t="shared" si="922"/>
        <v>6.75</v>
      </c>
      <c r="Y1748" s="584">
        <f t="shared" si="923"/>
        <v>0.75</v>
      </c>
      <c r="Z1748" s="584">
        <f t="shared" si="924"/>
        <v>70</v>
      </c>
      <c r="AA1748" s="584">
        <f t="shared" si="925"/>
        <v>1</v>
      </c>
      <c r="AB1748" s="584">
        <f t="shared" si="926"/>
        <v>0</v>
      </c>
      <c r="AC1748" s="581"/>
    </row>
    <row r="1749" spans="17:29">
      <c r="Q1749" s="579">
        <v>46137</v>
      </c>
      <c r="R1749" s="580">
        <v>0.91666666666666663</v>
      </c>
      <c r="S1749" s="581" t="s">
        <v>289</v>
      </c>
      <c r="T1749" s="581" t="s">
        <v>786</v>
      </c>
      <c r="U1749" s="582">
        <v>1</v>
      </c>
      <c r="V1749" s="583" t="str">
        <f t="shared" si="927"/>
        <v>bottle</v>
      </c>
      <c r="W1749" s="584">
        <f t="shared" si="921"/>
        <v>90</v>
      </c>
      <c r="X1749" s="584">
        <f t="shared" si="922"/>
        <v>0</v>
      </c>
      <c r="Y1749" s="584">
        <f t="shared" si="923"/>
        <v>0</v>
      </c>
      <c r="Z1749" s="584">
        <f t="shared" si="924"/>
        <v>22</v>
      </c>
      <c r="AA1749" s="584">
        <f t="shared" si="925"/>
        <v>0</v>
      </c>
      <c r="AB1749" s="584">
        <f t="shared" si="926"/>
        <v>0</v>
      </c>
      <c r="AC1749" s="581"/>
    </row>
    <row r="1750" spans="17:29">
      <c r="Q1750" s="579">
        <v>46137</v>
      </c>
      <c r="R1750" s="580">
        <v>0.91666666666666663</v>
      </c>
      <c r="S1750" s="581" t="s">
        <v>289</v>
      </c>
      <c r="T1750" s="581" t="s">
        <v>1081</v>
      </c>
      <c r="U1750" s="582">
        <v>40</v>
      </c>
      <c r="V1750" s="583" t="str">
        <f t="shared" si="927"/>
        <v>g</v>
      </c>
      <c r="W1750" s="584">
        <f t="shared" si="921"/>
        <v>80</v>
      </c>
      <c r="X1750" s="584">
        <f t="shared" si="922"/>
        <v>0</v>
      </c>
      <c r="Y1750" s="584">
        <f t="shared" si="923"/>
        <v>0</v>
      </c>
      <c r="Z1750" s="584">
        <f t="shared" si="924"/>
        <v>32</v>
      </c>
      <c r="AA1750" s="584">
        <f t="shared" si="925"/>
        <v>32</v>
      </c>
      <c r="AB1750" s="584">
        <f t="shared" si="926"/>
        <v>0</v>
      </c>
      <c r="AC1750" s="581"/>
    </row>
    <row r="1751" spans="17:29">
      <c r="Q1751" s="579">
        <v>46137</v>
      </c>
      <c r="R1751" s="580">
        <v>0.91666666666666663</v>
      </c>
      <c r="S1751" s="581" t="s">
        <v>289</v>
      </c>
      <c r="T1751" s="581" t="s">
        <v>214</v>
      </c>
      <c r="U1751" s="582">
        <v>1</v>
      </c>
      <c r="V1751" s="583" t="str">
        <f t="shared" si="927"/>
        <v>bar</v>
      </c>
      <c r="W1751" s="584">
        <f t="shared" si="921"/>
        <v>67</v>
      </c>
      <c r="X1751" s="584">
        <f t="shared" si="922"/>
        <v>1</v>
      </c>
      <c r="Y1751" s="584">
        <f t="shared" si="923"/>
        <v>3.5</v>
      </c>
      <c r="Z1751" s="584">
        <f t="shared" si="924"/>
        <v>22</v>
      </c>
      <c r="AA1751" s="584">
        <f t="shared" si="925"/>
        <v>0.3</v>
      </c>
      <c r="AB1751" s="584">
        <f t="shared" si="926"/>
        <v>0</v>
      </c>
      <c r="AC1751" s="581"/>
    </row>
    <row r="1752" spans="17:29">
      <c r="Q1752" s="585"/>
      <c r="R1752" s="586" t="s">
        <v>217</v>
      </c>
      <c r="S1752" s="587"/>
      <c r="T1752" s="588"/>
      <c r="U1752" s="588"/>
      <c r="V1752" s="589"/>
      <c r="W1752" s="590">
        <f t="shared" ref="W1752:AB1752" si="928">SUM(W1738:W1751)</f>
        <v>2378.1657142857143</v>
      </c>
      <c r="X1752" s="590">
        <f t="shared" si="928"/>
        <v>168.04857142857142</v>
      </c>
      <c r="Y1752" s="590">
        <f t="shared" si="928"/>
        <v>45.068571428571431</v>
      </c>
      <c r="Z1752" s="590">
        <f t="shared" si="928"/>
        <v>315.81142857142856</v>
      </c>
      <c r="AA1752" s="688">
        <f t="shared" si="928"/>
        <v>40.611428571428569</v>
      </c>
      <c r="AB1752" s="691">
        <f t="shared" si="928"/>
        <v>0</v>
      </c>
      <c r="AC1752" s="586"/>
    </row>
    <row r="1753" spans="17:29">
      <c r="Q1753" s="585"/>
      <c r="R1753" s="586" t="s">
        <v>220</v>
      </c>
      <c r="S1753" s="587"/>
      <c r="T1753" s="588"/>
      <c r="U1753" s="588"/>
      <c r="V1753" s="589"/>
      <c r="W1753" s="591">
        <f>$B$27</f>
        <v>2834.5625</v>
      </c>
      <c r="X1753" s="591">
        <f>$B$29</f>
        <v>154</v>
      </c>
      <c r="Y1753" s="591">
        <f>$B$30</f>
        <v>63.91</v>
      </c>
      <c r="Z1753" s="591">
        <f>$B$31</f>
        <v>410.84312499999999</v>
      </c>
      <c r="AA1753" s="642">
        <f>$B$32</f>
        <v>39.683875</v>
      </c>
      <c r="AB1753" s="695">
        <f>$B$39</f>
        <v>500</v>
      </c>
      <c r="AC1753" s="586"/>
    </row>
    <row r="1754" spans="17:29">
      <c r="Q1754" s="585"/>
      <c r="R1754" s="586" t="s">
        <v>222</v>
      </c>
      <c r="S1754" s="587"/>
      <c r="T1754" s="588"/>
      <c r="U1754" s="588"/>
      <c r="V1754" s="589"/>
      <c r="W1754" s="284">
        <f t="shared" ref="W1754:AB1754" si="929">W1752-W1753</f>
        <v>-456.39678571428567</v>
      </c>
      <c r="X1754" s="284">
        <f t="shared" si="929"/>
        <v>14.048571428571421</v>
      </c>
      <c r="Y1754" s="284">
        <f t="shared" si="929"/>
        <v>-18.841428571428565</v>
      </c>
      <c r="Z1754" s="284">
        <f t="shared" si="929"/>
        <v>-95.031696428571422</v>
      </c>
      <c r="AA1754" s="690">
        <f t="shared" si="929"/>
        <v>0.92755357142856809</v>
      </c>
      <c r="AB1754" s="689">
        <f t="shared" si="929"/>
        <v>-500</v>
      </c>
      <c r="AC1754" s="586"/>
    </row>
    <row r="1755" spans="17:29">
      <c r="Q1755" s="579">
        <v>46138</v>
      </c>
      <c r="R1755" s="580">
        <v>0.25</v>
      </c>
      <c r="S1755" s="581" t="s">
        <v>178</v>
      </c>
      <c r="T1755" s="581" t="s">
        <v>1104</v>
      </c>
      <c r="U1755" s="582">
        <v>5.6</v>
      </c>
      <c r="V1755" s="583" t="str">
        <f t="shared" ref="V1755:V1757" si="930">IFERROR(VLOOKUP(T1755, $E$5:$L$818, 3, FALSE), "")</f>
        <v>g</v>
      </c>
      <c r="W1755" s="584">
        <f t="shared" ref="W1755:W1766" si="931">IFERROR(VLOOKUP(T1755, $E$5:$L$818, 4, FALSE) * (U1755 / VLOOKUP(T1755, $E$5:$L$818, 2, FALSE)), "")</f>
        <v>26.879999999999995</v>
      </c>
      <c r="X1755" s="584">
        <f t="shared" ref="X1755:X1769" si="932">IFERROR(VLOOKUP(T1755, $E$5:$L$818, 5, FALSE) * (U1755 / VLOOKUP(T1755, $E$5:$L$818, 2, FALSE)), "")</f>
        <v>1.1199999999999999</v>
      </c>
      <c r="Y1755" s="584">
        <f t="shared" ref="Y1755:Y1769" si="933">IFERROR(VLOOKUP(T1755, $E$5:$L$818, 6, FALSE) * (U1755 / VLOOKUP(T1755, $E$5:$L$818, 2, FALSE)), "")</f>
        <v>2.2399999999999998</v>
      </c>
      <c r="Z1755" s="584">
        <f t="shared" ref="Z1755:Z1769" si="934">IFERROR(VLOOKUP(T1755, $E$5:$L$818, 7, FALSE) * (U1755 / VLOOKUP(T1755, $E$5:$L$818, 2, FALSE)), "")</f>
        <v>2.2399999999999998</v>
      </c>
      <c r="AA1755" s="584">
        <f t="shared" ref="AA1755:AA1769" si="935">IFERROR(VLOOKUP(T1755, $E$5:$L$818, 8, FALSE) * (U1755 / VLOOKUP(T1755, $E$5:$L$818, 2, FALSE)), "")</f>
        <v>2.2399999999999998</v>
      </c>
      <c r="AB1755" s="674">
        <f t="shared" ref="AB1755:AB1764" si="936">IFERROR(VLOOKUP(T1755, $E$5:$O$818, 9, FALSE) * (U1755 / VLOOKUP(T1755, $E$5:$O$818, 2, FALSE)), "")</f>
        <v>0</v>
      </c>
      <c r="AC1755" s="581"/>
    </row>
    <row r="1756" spans="17:29">
      <c r="Q1756" s="579">
        <v>46138</v>
      </c>
      <c r="R1756" s="580">
        <v>0.33333333333333331</v>
      </c>
      <c r="S1756" s="581" t="s">
        <v>289</v>
      </c>
      <c r="T1756" s="581" t="s">
        <v>487</v>
      </c>
      <c r="U1756" s="582">
        <v>4</v>
      </c>
      <c r="V1756" s="583" t="str">
        <f t="shared" si="930"/>
        <v>biscuits</v>
      </c>
      <c r="W1756" s="584">
        <f t="shared" si="931"/>
        <v>280</v>
      </c>
      <c r="X1756" s="584">
        <f t="shared" si="932"/>
        <v>4</v>
      </c>
      <c r="Y1756" s="584">
        <f t="shared" si="933"/>
        <v>12</v>
      </c>
      <c r="Z1756" s="584">
        <f t="shared" si="934"/>
        <v>38</v>
      </c>
      <c r="AA1756" s="584">
        <f t="shared" si="935"/>
        <v>1</v>
      </c>
      <c r="AB1756" s="584">
        <f t="shared" si="936"/>
        <v>0</v>
      </c>
      <c r="AC1756" s="581"/>
    </row>
    <row r="1757" spans="17:29">
      <c r="Q1757" s="579">
        <v>46138</v>
      </c>
      <c r="R1757" s="580">
        <v>0.33333333333333331</v>
      </c>
      <c r="S1757" s="581" t="s">
        <v>289</v>
      </c>
      <c r="T1757" s="581" t="s">
        <v>295</v>
      </c>
      <c r="U1757" s="582">
        <v>1</v>
      </c>
      <c r="V1757" s="583" t="str">
        <f t="shared" si="930"/>
        <v>bottle</v>
      </c>
      <c r="W1757" s="584">
        <f t="shared" si="931"/>
        <v>200</v>
      </c>
      <c r="X1757" s="584">
        <f t="shared" si="932"/>
        <v>35</v>
      </c>
      <c r="Y1757" s="584">
        <f t="shared" si="933"/>
        <v>2.5</v>
      </c>
      <c r="Z1757" s="584">
        <f t="shared" si="934"/>
        <v>9</v>
      </c>
      <c r="AA1757" s="584">
        <f t="shared" si="935"/>
        <v>0</v>
      </c>
      <c r="AB1757" s="584">
        <f t="shared" si="936"/>
        <v>0</v>
      </c>
      <c r="AC1757" s="581"/>
    </row>
    <row r="1758" spans="17:29">
      <c r="Q1758" s="579">
        <v>46138</v>
      </c>
      <c r="R1758" s="580">
        <v>0.5</v>
      </c>
      <c r="S1758" s="581" t="s">
        <v>185</v>
      </c>
      <c r="T1758" s="581" t="s">
        <v>176</v>
      </c>
      <c r="U1758" s="582">
        <v>200</v>
      </c>
      <c r="V1758" s="583" t="str">
        <f t="shared" ref="V1758:V1769" si="937">IFERROR(VLOOKUP(T1758, $E$5:$L$818, 3, FALSE), "")</f>
        <v>g</v>
      </c>
      <c r="W1758" s="584">
        <f t="shared" si="931"/>
        <v>330</v>
      </c>
      <c r="X1758" s="584">
        <f t="shared" si="932"/>
        <v>50</v>
      </c>
      <c r="Y1758" s="584">
        <f t="shared" si="933"/>
        <v>7.2</v>
      </c>
      <c r="Z1758" s="584">
        <f t="shared" si="934"/>
        <v>0</v>
      </c>
      <c r="AA1758" s="584">
        <f t="shared" si="935"/>
        <v>0</v>
      </c>
      <c r="AB1758" s="584">
        <f t="shared" si="936"/>
        <v>0</v>
      </c>
      <c r="AC1758" s="581"/>
    </row>
    <row r="1759" spans="17:29">
      <c r="Q1759" s="579">
        <v>46138</v>
      </c>
      <c r="R1759" s="580">
        <v>0.5</v>
      </c>
      <c r="S1759" s="581" t="s">
        <v>185</v>
      </c>
      <c r="T1759" s="581" t="s">
        <v>180</v>
      </c>
      <c r="U1759" s="582">
        <v>250</v>
      </c>
      <c r="V1759" s="583" t="str">
        <f t="shared" si="937"/>
        <v>g</v>
      </c>
      <c r="W1759" s="584">
        <f t="shared" si="931"/>
        <v>325</v>
      </c>
      <c r="X1759" s="584">
        <f t="shared" si="932"/>
        <v>6.75</v>
      </c>
      <c r="Y1759" s="584">
        <f t="shared" si="933"/>
        <v>0.75</v>
      </c>
      <c r="Z1759" s="584">
        <f t="shared" si="934"/>
        <v>70</v>
      </c>
      <c r="AA1759" s="584">
        <f t="shared" si="935"/>
        <v>1</v>
      </c>
      <c r="AB1759" s="584">
        <f t="shared" si="936"/>
        <v>0</v>
      </c>
      <c r="AC1759" s="581"/>
    </row>
    <row r="1760" spans="17:29">
      <c r="Q1760" s="579">
        <v>46138</v>
      </c>
      <c r="R1760" s="580">
        <v>0.58333333333333337</v>
      </c>
      <c r="S1760" s="581" t="s">
        <v>289</v>
      </c>
      <c r="T1760" s="581" t="s">
        <v>181</v>
      </c>
      <c r="U1760" s="582">
        <v>4</v>
      </c>
      <c r="V1760" s="583" t="str">
        <f t="shared" si="937"/>
        <v>slice</v>
      </c>
      <c r="W1760" s="584">
        <f t="shared" si="931"/>
        <v>280</v>
      </c>
      <c r="X1760" s="584">
        <f t="shared" si="932"/>
        <v>10</v>
      </c>
      <c r="Y1760" s="584">
        <f t="shared" si="933"/>
        <v>5</v>
      </c>
      <c r="Z1760" s="584">
        <f t="shared" si="934"/>
        <v>48</v>
      </c>
      <c r="AA1760" s="584">
        <f t="shared" si="935"/>
        <v>4</v>
      </c>
      <c r="AB1760" s="584">
        <f t="shared" si="936"/>
        <v>0</v>
      </c>
      <c r="AC1760" s="581"/>
    </row>
    <row r="1761" spans="17:29">
      <c r="Q1761" s="579">
        <v>46138</v>
      </c>
      <c r="R1761" s="580">
        <v>0.58333333333333337</v>
      </c>
      <c r="S1761" s="581" t="s">
        <v>289</v>
      </c>
      <c r="T1761" s="581" t="s">
        <v>806</v>
      </c>
      <c r="U1761" s="582">
        <v>1</v>
      </c>
      <c r="V1761" s="583" t="str">
        <f t="shared" si="937"/>
        <v>pack</v>
      </c>
      <c r="W1761" s="584">
        <f t="shared" si="931"/>
        <v>130</v>
      </c>
      <c r="X1761" s="584">
        <f t="shared" si="932"/>
        <v>1</v>
      </c>
      <c r="Y1761" s="584">
        <f t="shared" si="933"/>
        <v>6</v>
      </c>
      <c r="Z1761" s="584">
        <f t="shared" si="934"/>
        <v>19</v>
      </c>
      <c r="AA1761" s="584">
        <f t="shared" si="935"/>
        <v>0</v>
      </c>
      <c r="AB1761" s="584">
        <f t="shared" si="936"/>
        <v>0</v>
      </c>
      <c r="AC1761" s="581"/>
    </row>
    <row r="1762" spans="17:29">
      <c r="Q1762" s="579">
        <v>46138</v>
      </c>
      <c r="R1762" s="580">
        <v>0.58333333333333337</v>
      </c>
      <c r="S1762" s="581" t="s">
        <v>289</v>
      </c>
      <c r="T1762" s="581" t="s">
        <v>464</v>
      </c>
      <c r="U1762" s="582">
        <v>1</v>
      </c>
      <c r="V1762" s="583" t="str">
        <f t="shared" si="937"/>
        <v>lozenge</v>
      </c>
      <c r="W1762" s="584">
        <f t="shared" si="931"/>
        <v>10</v>
      </c>
      <c r="X1762" s="584">
        <f t="shared" si="932"/>
        <v>0</v>
      </c>
      <c r="Y1762" s="584">
        <f t="shared" si="933"/>
        <v>0</v>
      </c>
      <c r="Z1762" s="584">
        <f t="shared" si="934"/>
        <v>3</v>
      </c>
      <c r="AA1762" s="584">
        <f t="shared" si="935"/>
        <v>0</v>
      </c>
      <c r="AB1762" s="584">
        <f t="shared" si="936"/>
        <v>0</v>
      </c>
      <c r="AC1762" s="581"/>
    </row>
    <row r="1763" spans="17:29">
      <c r="Q1763" s="579">
        <v>46138</v>
      </c>
      <c r="R1763" s="580">
        <v>0.58333333333333337</v>
      </c>
      <c r="S1763" s="581" t="s">
        <v>289</v>
      </c>
      <c r="T1763" s="581" t="s">
        <v>461</v>
      </c>
      <c r="U1763" s="582">
        <v>1</v>
      </c>
      <c r="V1763" s="583" t="str">
        <f t="shared" si="937"/>
        <v>chunks</v>
      </c>
      <c r="W1763" s="584">
        <f t="shared" si="931"/>
        <v>24.285714285714285</v>
      </c>
      <c r="X1763" s="584">
        <f t="shared" si="932"/>
        <v>0.42857142857142855</v>
      </c>
      <c r="Y1763" s="584">
        <f t="shared" si="933"/>
        <v>1.4285714285714284</v>
      </c>
      <c r="Z1763" s="584">
        <f t="shared" si="934"/>
        <v>2.5714285714285712</v>
      </c>
      <c r="AA1763" s="584">
        <f t="shared" si="935"/>
        <v>7.1428571428571425E-2</v>
      </c>
      <c r="AB1763" s="584">
        <f t="shared" si="936"/>
        <v>0</v>
      </c>
      <c r="AC1763" s="581"/>
    </row>
    <row r="1764" spans="17:29">
      <c r="Q1764" s="579">
        <v>46138</v>
      </c>
      <c r="R1764" s="580">
        <v>0.58333333333333337</v>
      </c>
      <c r="S1764" s="581" t="s">
        <v>289</v>
      </c>
      <c r="T1764" s="581" t="s">
        <v>856</v>
      </c>
      <c r="U1764" s="582">
        <v>100</v>
      </c>
      <c r="V1764" s="583" t="str">
        <f t="shared" si="937"/>
        <v>g</v>
      </c>
      <c r="W1764" s="584">
        <f t="shared" si="931"/>
        <v>60</v>
      </c>
      <c r="X1764" s="584">
        <f t="shared" si="932"/>
        <v>1</v>
      </c>
      <c r="Y1764" s="584">
        <f t="shared" si="933"/>
        <v>0</v>
      </c>
      <c r="Z1764" s="584">
        <f t="shared" si="934"/>
        <v>15</v>
      </c>
      <c r="AA1764" s="584">
        <f t="shared" si="935"/>
        <v>2</v>
      </c>
      <c r="AB1764" s="584">
        <f t="shared" si="936"/>
        <v>0</v>
      </c>
      <c r="AC1764" s="581"/>
    </row>
    <row r="1765" spans="17:29">
      <c r="Q1765" s="579">
        <v>46138</v>
      </c>
      <c r="R1765" s="580">
        <v>0.83333333333333337</v>
      </c>
      <c r="S1765" s="581" t="s">
        <v>199</v>
      </c>
      <c r="T1765" s="581" t="s">
        <v>176</v>
      </c>
      <c r="U1765" s="582">
        <v>200</v>
      </c>
      <c r="V1765" s="583" t="str">
        <f t="shared" si="937"/>
        <v>g</v>
      </c>
      <c r="W1765" s="584">
        <f t="shared" si="931"/>
        <v>330</v>
      </c>
      <c r="X1765" s="584">
        <f t="shared" si="932"/>
        <v>50</v>
      </c>
      <c r="Y1765" s="584">
        <f t="shared" si="933"/>
        <v>7.2</v>
      </c>
      <c r="Z1765" s="584">
        <f t="shared" si="934"/>
        <v>0</v>
      </c>
      <c r="AA1765" s="584">
        <f t="shared" si="935"/>
        <v>0</v>
      </c>
      <c r="AB1765" s="584"/>
      <c r="AC1765" s="581"/>
    </row>
    <row r="1766" spans="17:29">
      <c r="Q1766" s="579">
        <v>46138</v>
      </c>
      <c r="R1766" s="580">
        <v>0.83333333333333337</v>
      </c>
      <c r="S1766" s="581" t="s">
        <v>199</v>
      </c>
      <c r="T1766" s="581" t="s">
        <v>180</v>
      </c>
      <c r="U1766" s="582">
        <v>250</v>
      </c>
      <c r="V1766" s="583" t="str">
        <f t="shared" si="937"/>
        <v>g</v>
      </c>
      <c r="W1766" s="584">
        <f t="shared" si="931"/>
        <v>325</v>
      </c>
      <c r="X1766" s="584">
        <f t="shared" si="932"/>
        <v>6.75</v>
      </c>
      <c r="Y1766" s="584">
        <f t="shared" si="933"/>
        <v>0.75</v>
      </c>
      <c r="Z1766" s="584">
        <f t="shared" si="934"/>
        <v>70</v>
      </c>
      <c r="AA1766" s="584">
        <f t="shared" si="935"/>
        <v>1</v>
      </c>
      <c r="AB1766" s="584">
        <f>IFERROR(VLOOKUP(T1766, $E$5:$O$818, 9, FALSE) * (U1766 / VLOOKUP(T1766, $E$5:$O$818, 2, FALSE)), "")</f>
        <v>0</v>
      </c>
      <c r="AC1766" s="581"/>
    </row>
    <row r="1767" spans="17:29">
      <c r="Q1767" s="579">
        <v>46138</v>
      </c>
      <c r="R1767" s="580">
        <v>0.83333333333333337</v>
      </c>
      <c r="S1767" s="581" t="s">
        <v>289</v>
      </c>
      <c r="T1767" s="581" t="s">
        <v>786</v>
      </c>
      <c r="U1767" s="582">
        <v>1</v>
      </c>
      <c r="V1767" s="583" t="str">
        <f t="shared" si="937"/>
        <v>bottle</v>
      </c>
      <c r="W1767" s="584">
        <f>IFERROR(VLOOKUP(T1767, $E$5:$L$818, 4, FALSE) * (U1767 / VLOOKUP(T1767, $E$5:$L$818, 2, FALSE)), "")</f>
        <v>90</v>
      </c>
      <c r="X1767" s="584">
        <f t="shared" si="932"/>
        <v>0</v>
      </c>
      <c r="Y1767" s="584">
        <f t="shared" si="933"/>
        <v>0</v>
      </c>
      <c r="Z1767" s="584">
        <f t="shared" si="934"/>
        <v>22</v>
      </c>
      <c r="AA1767" s="584">
        <f t="shared" si="935"/>
        <v>0</v>
      </c>
      <c r="AB1767" s="584">
        <f>IFERROR(VLOOKUP(T1767, $E$5:$O$818, 9, FALSE) * (U1767 / VLOOKUP(T1767, $E$5:$O$818, 2, FALSE)), "")</f>
        <v>0</v>
      </c>
      <c r="AC1767" s="581"/>
    </row>
    <row r="1768" spans="17:29">
      <c r="Q1768" s="579">
        <v>46138</v>
      </c>
      <c r="R1768" s="580">
        <v>0.83333333333333337</v>
      </c>
      <c r="S1768" s="581" t="s">
        <v>289</v>
      </c>
      <c r="T1768" s="581" t="s">
        <v>1081</v>
      </c>
      <c r="U1768" s="582">
        <v>35</v>
      </c>
      <c r="V1768" s="583" t="str">
        <f t="shared" si="937"/>
        <v>g</v>
      </c>
      <c r="W1768" s="584">
        <f t="shared" ref="W1768:W1769" si="938">IFERROR(VLOOKUP(T1768, $E$5:$L$818, 4, FALSE) * (U1768 / VLOOKUP(T1768, $E$5:$L$818, 2, FALSE)), "")</f>
        <v>70</v>
      </c>
      <c r="X1768" s="584">
        <f t="shared" si="932"/>
        <v>0</v>
      </c>
      <c r="Y1768" s="584">
        <f t="shared" si="933"/>
        <v>0</v>
      </c>
      <c r="Z1768" s="584">
        <f t="shared" si="934"/>
        <v>28</v>
      </c>
      <c r="AA1768" s="584">
        <f t="shared" si="935"/>
        <v>28</v>
      </c>
      <c r="AB1768" s="584"/>
      <c r="AC1768" s="581"/>
    </row>
    <row r="1769" spans="17:29">
      <c r="Q1769" s="579">
        <v>46138</v>
      </c>
      <c r="R1769" s="580">
        <v>0.83333333333333337</v>
      </c>
      <c r="S1769" s="581" t="s">
        <v>289</v>
      </c>
      <c r="T1769" s="581" t="s">
        <v>214</v>
      </c>
      <c r="U1769" s="582">
        <v>1</v>
      </c>
      <c r="V1769" s="583" t="str">
        <f t="shared" si="937"/>
        <v>bar</v>
      </c>
      <c r="W1769" s="584">
        <f t="shared" si="938"/>
        <v>67</v>
      </c>
      <c r="X1769" s="584">
        <f t="shared" si="932"/>
        <v>1</v>
      </c>
      <c r="Y1769" s="584">
        <f t="shared" si="933"/>
        <v>3.5</v>
      </c>
      <c r="Z1769" s="584">
        <f t="shared" si="934"/>
        <v>22</v>
      </c>
      <c r="AA1769" s="584">
        <f t="shared" si="935"/>
        <v>0.3</v>
      </c>
      <c r="AB1769" s="584"/>
      <c r="AC1769" s="581"/>
    </row>
    <row r="1770" spans="17:29">
      <c r="Q1770" s="585"/>
      <c r="R1770" s="586" t="s">
        <v>217</v>
      </c>
      <c r="S1770" s="587"/>
      <c r="T1770" s="588"/>
      <c r="U1770" s="588"/>
      <c r="V1770" s="589"/>
      <c r="W1770" s="590">
        <f t="shared" ref="W1770:AB1770" si="939">SUM(W1755:W1769)</f>
        <v>2548.1657142857143</v>
      </c>
      <c r="X1770" s="590">
        <f t="shared" si="939"/>
        <v>167.04857142857145</v>
      </c>
      <c r="Y1770" s="590">
        <f t="shared" si="939"/>
        <v>48.568571428571431</v>
      </c>
      <c r="Z1770" s="590">
        <f t="shared" si="939"/>
        <v>348.81142857142856</v>
      </c>
      <c r="AA1770" s="688">
        <f t="shared" si="939"/>
        <v>39.611428571428569</v>
      </c>
      <c r="AB1770" s="691">
        <f t="shared" si="939"/>
        <v>0</v>
      </c>
      <c r="AC1770" s="586"/>
    </row>
    <row r="1771" spans="17:29">
      <c r="Q1771" s="585"/>
      <c r="R1771" s="586" t="s">
        <v>220</v>
      </c>
      <c r="S1771" s="587"/>
      <c r="T1771" s="588"/>
      <c r="U1771" s="588"/>
      <c r="V1771" s="589"/>
      <c r="W1771" s="591">
        <f>$B$27</f>
        <v>2834.5625</v>
      </c>
      <c r="X1771" s="591">
        <f>$B$29</f>
        <v>154</v>
      </c>
      <c r="Y1771" s="591">
        <f>$B$30</f>
        <v>63.91</v>
      </c>
      <c r="Z1771" s="591">
        <f>$B$31</f>
        <v>410.84312499999999</v>
      </c>
      <c r="AA1771" s="642">
        <f>$B$32</f>
        <v>39.683875</v>
      </c>
      <c r="AB1771" s="695">
        <f>$B$39</f>
        <v>500</v>
      </c>
      <c r="AC1771" s="586"/>
    </row>
    <row r="1772" spans="17:29">
      <c r="Q1772" s="585"/>
      <c r="R1772" s="586" t="s">
        <v>222</v>
      </c>
      <c r="S1772" s="587"/>
      <c r="T1772" s="588"/>
      <c r="U1772" s="588"/>
      <c r="V1772" s="589"/>
      <c r="W1772" s="284">
        <f t="shared" ref="W1772:AB1772" si="940">W1770-W1771</f>
        <v>-286.39678571428567</v>
      </c>
      <c r="X1772" s="284">
        <f t="shared" si="940"/>
        <v>13.048571428571449</v>
      </c>
      <c r="Y1772" s="284">
        <f t="shared" si="940"/>
        <v>-15.341428571428565</v>
      </c>
      <c r="Z1772" s="284">
        <f t="shared" si="940"/>
        <v>-62.031696428571422</v>
      </c>
      <c r="AA1772" s="690">
        <f t="shared" si="940"/>
        <v>-7.2446428571431909E-2</v>
      </c>
      <c r="AB1772" s="689">
        <f t="shared" si="940"/>
        <v>-500</v>
      </c>
      <c r="AC1772" s="586"/>
    </row>
    <row r="1773" spans="17:29">
      <c r="Q1773" s="579">
        <v>46139</v>
      </c>
      <c r="R1773" s="580">
        <v>0.25</v>
      </c>
      <c r="S1773" s="581" t="s">
        <v>178</v>
      </c>
      <c r="T1773" s="581" t="s">
        <v>1104</v>
      </c>
      <c r="U1773" s="582">
        <v>5.6</v>
      </c>
      <c r="V1773" s="583" t="str">
        <f t="shared" ref="V1773:V1775" si="941">IFERROR(VLOOKUP(T1773, $E$5:$L$818, 3, FALSE), "")</f>
        <v>g</v>
      </c>
      <c r="W1773" s="584">
        <f t="shared" ref="W1773:W1784" si="942">IFERROR(VLOOKUP(T1773, $E$5:$L$818, 4, FALSE) * (U1773 / VLOOKUP(T1773, $E$5:$L$818, 2, FALSE)), "")</f>
        <v>26.879999999999995</v>
      </c>
      <c r="X1773" s="584">
        <f t="shared" ref="X1773:X1787" si="943">IFERROR(VLOOKUP(T1773, $E$5:$L$818, 5, FALSE) * (U1773 / VLOOKUP(T1773, $E$5:$L$818, 2, FALSE)), "")</f>
        <v>1.1199999999999999</v>
      </c>
      <c r="Y1773" s="584">
        <f t="shared" ref="Y1773:Y1787" si="944">IFERROR(VLOOKUP(T1773, $E$5:$L$818, 6, FALSE) * (U1773 / VLOOKUP(T1773, $E$5:$L$818, 2, FALSE)), "")</f>
        <v>2.2399999999999998</v>
      </c>
      <c r="Z1773" s="584">
        <f t="shared" ref="Z1773:Z1787" si="945">IFERROR(VLOOKUP(T1773, $E$5:$L$818, 7, FALSE) * (U1773 / VLOOKUP(T1773, $E$5:$L$818, 2, FALSE)), "")</f>
        <v>2.2399999999999998</v>
      </c>
      <c r="AA1773" s="584">
        <f t="shared" ref="AA1773:AA1787" si="946">IFERROR(VLOOKUP(T1773, $E$5:$L$818, 8, FALSE) * (U1773 / VLOOKUP(T1773, $E$5:$L$818, 2, FALSE)), "")</f>
        <v>2.2399999999999998</v>
      </c>
      <c r="AB1773" s="674">
        <f t="shared" ref="AB1773:AB1782" si="947">IFERROR(VLOOKUP(T1773, $E$5:$O$818, 9, FALSE) * (U1773 / VLOOKUP(T1773, $E$5:$O$818, 2, FALSE)), "")</f>
        <v>0</v>
      </c>
      <c r="AC1773" s="581"/>
    </row>
    <row r="1774" spans="17:29">
      <c r="Q1774" s="579">
        <v>46139</v>
      </c>
      <c r="R1774" s="580">
        <v>0.33333333333333331</v>
      </c>
      <c r="S1774" s="581" t="s">
        <v>289</v>
      </c>
      <c r="T1774" s="581" t="s">
        <v>487</v>
      </c>
      <c r="U1774" s="582">
        <v>4</v>
      </c>
      <c r="V1774" s="583" t="str">
        <f t="shared" si="941"/>
        <v>biscuits</v>
      </c>
      <c r="W1774" s="584">
        <f t="shared" si="942"/>
        <v>280</v>
      </c>
      <c r="X1774" s="584">
        <f t="shared" si="943"/>
        <v>4</v>
      </c>
      <c r="Y1774" s="584">
        <f t="shared" si="944"/>
        <v>12</v>
      </c>
      <c r="Z1774" s="584">
        <f t="shared" si="945"/>
        <v>38</v>
      </c>
      <c r="AA1774" s="584">
        <f t="shared" si="946"/>
        <v>1</v>
      </c>
      <c r="AB1774" s="584">
        <f t="shared" si="947"/>
        <v>0</v>
      </c>
      <c r="AC1774" s="581"/>
    </row>
    <row r="1775" spans="17:29">
      <c r="Q1775" s="579">
        <v>46139</v>
      </c>
      <c r="R1775" s="580">
        <v>0.33333333333333331</v>
      </c>
      <c r="S1775" s="581" t="s">
        <v>289</v>
      </c>
      <c r="T1775" s="581" t="s">
        <v>295</v>
      </c>
      <c r="U1775" s="582">
        <v>1</v>
      </c>
      <c r="V1775" s="583" t="str">
        <f t="shared" si="941"/>
        <v>bottle</v>
      </c>
      <c r="W1775" s="584">
        <f t="shared" si="942"/>
        <v>200</v>
      </c>
      <c r="X1775" s="584">
        <f t="shared" si="943"/>
        <v>35</v>
      </c>
      <c r="Y1775" s="584">
        <f t="shared" si="944"/>
        <v>2.5</v>
      </c>
      <c r="Z1775" s="584">
        <f t="shared" si="945"/>
        <v>9</v>
      </c>
      <c r="AA1775" s="584">
        <f t="shared" si="946"/>
        <v>0</v>
      </c>
      <c r="AB1775" s="584">
        <f t="shared" si="947"/>
        <v>0</v>
      </c>
      <c r="AC1775" s="581"/>
    </row>
    <row r="1776" spans="17:29">
      <c r="Q1776" s="579">
        <v>46139</v>
      </c>
      <c r="R1776" s="580">
        <v>0.5</v>
      </c>
      <c r="S1776" s="581" t="s">
        <v>185</v>
      </c>
      <c r="T1776" s="581" t="s">
        <v>176</v>
      </c>
      <c r="U1776" s="582">
        <v>200</v>
      </c>
      <c r="V1776" s="583" t="str">
        <f t="shared" ref="V1776:V1787" si="948">IFERROR(VLOOKUP(T1776, $E$5:$L$818, 3, FALSE), "")</f>
        <v>g</v>
      </c>
      <c r="W1776" s="584">
        <f t="shared" si="942"/>
        <v>330</v>
      </c>
      <c r="X1776" s="584">
        <f t="shared" si="943"/>
        <v>50</v>
      </c>
      <c r="Y1776" s="584">
        <f t="shared" si="944"/>
        <v>7.2</v>
      </c>
      <c r="Z1776" s="584">
        <f t="shared" si="945"/>
        <v>0</v>
      </c>
      <c r="AA1776" s="584">
        <f t="shared" si="946"/>
        <v>0</v>
      </c>
      <c r="AB1776" s="584">
        <f t="shared" si="947"/>
        <v>0</v>
      </c>
      <c r="AC1776" s="581"/>
    </row>
    <row r="1777" spans="17:29">
      <c r="Q1777" s="579">
        <v>46139</v>
      </c>
      <c r="R1777" s="580">
        <v>0.5</v>
      </c>
      <c r="S1777" s="581" t="s">
        <v>185</v>
      </c>
      <c r="T1777" s="581" t="s">
        <v>180</v>
      </c>
      <c r="U1777" s="582">
        <v>250</v>
      </c>
      <c r="V1777" s="583" t="str">
        <f t="shared" si="948"/>
        <v>g</v>
      </c>
      <c r="W1777" s="584">
        <f t="shared" si="942"/>
        <v>325</v>
      </c>
      <c r="X1777" s="584">
        <f t="shared" si="943"/>
        <v>6.75</v>
      </c>
      <c r="Y1777" s="584">
        <f t="shared" si="944"/>
        <v>0.75</v>
      </c>
      <c r="Z1777" s="584">
        <f t="shared" si="945"/>
        <v>70</v>
      </c>
      <c r="AA1777" s="584">
        <f t="shared" si="946"/>
        <v>1</v>
      </c>
      <c r="AB1777" s="584">
        <f t="shared" si="947"/>
        <v>0</v>
      </c>
      <c r="AC1777" s="581"/>
    </row>
    <row r="1778" spans="17:29">
      <c r="Q1778" s="579">
        <v>46139</v>
      </c>
      <c r="R1778" s="580">
        <v>0.70833333333333304</v>
      </c>
      <c r="S1778" s="581" t="s">
        <v>289</v>
      </c>
      <c r="T1778" s="581" t="s">
        <v>181</v>
      </c>
      <c r="U1778" s="582">
        <v>4</v>
      </c>
      <c r="V1778" s="583" t="str">
        <f t="shared" si="948"/>
        <v>slice</v>
      </c>
      <c r="W1778" s="584">
        <f t="shared" si="942"/>
        <v>280</v>
      </c>
      <c r="X1778" s="584">
        <f t="shared" si="943"/>
        <v>10</v>
      </c>
      <c r="Y1778" s="584">
        <f t="shared" si="944"/>
        <v>5</v>
      </c>
      <c r="Z1778" s="584">
        <f t="shared" si="945"/>
        <v>48</v>
      </c>
      <c r="AA1778" s="584">
        <f t="shared" si="946"/>
        <v>4</v>
      </c>
      <c r="AB1778" s="584">
        <f t="shared" si="947"/>
        <v>0</v>
      </c>
      <c r="AC1778" s="581"/>
    </row>
    <row r="1779" spans="17:29">
      <c r="Q1779" s="579">
        <v>46139</v>
      </c>
      <c r="R1779" s="580">
        <v>0.70833333333333304</v>
      </c>
      <c r="S1779" s="581" t="s">
        <v>289</v>
      </c>
      <c r="T1779" s="581" t="s">
        <v>806</v>
      </c>
      <c r="U1779" s="582">
        <v>1</v>
      </c>
      <c r="V1779" s="583" t="str">
        <f t="shared" si="948"/>
        <v>pack</v>
      </c>
      <c r="W1779" s="584">
        <f t="shared" si="942"/>
        <v>130</v>
      </c>
      <c r="X1779" s="584">
        <f t="shared" si="943"/>
        <v>1</v>
      </c>
      <c r="Y1779" s="584">
        <f t="shared" si="944"/>
        <v>6</v>
      </c>
      <c r="Z1779" s="584">
        <f t="shared" si="945"/>
        <v>19</v>
      </c>
      <c r="AA1779" s="584">
        <f t="shared" si="946"/>
        <v>0</v>
      </c>
      <c r="AB1779" s="584">
        <f t="shared" si="947"/>
        <v>0</v>
      </c>
      <c r="AC1779" s="581"/>
    </row>
    <row r="1780" spans="17:29">
      <c r="Q1780" s="579">
        <v>46139</v>
      </c>
      <c r="R1780" s="580">
        <v>0.70833333333333304</v>
      </c>
      <c r="S1780" s="581" t="s">
        <v>289</v>
      </c>
      <c r="T1780" s="581" t="s">
        <v>464</v>
      </c>
      <c r="U1780" s="582">
        <v>1</v>
      </c>
      <c r="V1780" s="583" t="str">
        <f t="shared" si="948"/>
        <v>lozenge</v>
      </c>
      <c r="W1780" s="584">
        <f t="shared" si="942"/>
        <v>10</v>
      </c>
      <c r="X1780" s="584">
        <f t="shared" si="943"/>
        <v>0</v>
      </c>
      <c r="Y1780" s="584">
        <f t="shared" si="944"/>
        <v>0</v>
      </c>
      <c r="Z1780" s="584">
        <f t="shared" si="945"/>
        <v>3</v>
      </c>
      <c r="AA1780" s="584">
        <f t="shared" si="946"/>
        <v>0</v>
      </c>
      <c r="AB1780" s="584">
        <f t="shared" si="947"/>
        <v>0</v>
      </c>
      <c r="AC1780" s="581"/>
    </row>
    <row r="1781" spans="17:29">
      <c r="Q1781" s="579">
        <v>46139</v>
      </c>
      <c r="R1781" s="580">
        <v>0.70833333333333304</v>
      </c>
      <c r="S1781" s="581" t="s">
        <v>289</v>
      </c>
      <c r="T1781" s="581" t="s">
        <v>461</v>
      </c>
      <c r="U1781" s="582">
        <v>1</v>
      </c>
      <c r="V1781" s="583" t="str">
        <f t="shared" si="948"/>
        <v>chunks</v>
      </c>
      <c r="W1781" s="584">
        <f t="shared" si="942"/>
        <v>24.285714285714285</v>
      </c>
      <c r="X1781" s="584">
        <f t="shared" si="943"/>
        <v>0.42857142857142855</v>
      </c>
      <c r="Y1781" s="584">
        <f t="shared" si="944"/>
        <v>1.4285714285714284</v>
      </c>
      <c r="Z1781" s="584">
        <f t="shared" si="945"/>
        <v>2.5714285714285712</v>
      </c>
      <c r="AA1781" s="584">
        <f t="shared" si="946"/>
        <v>7.1428571428571425E-2</v>
      </c>
      <c r="AB1781" s="584">
        <f t="shared" si="947"/>
        <v>0</v>
      </c>
      <c r="AC1781" s="581"/>
    </row>
    <row r="1782" spans="17:29">
      <c r="Q1782" s="579">
        <v>46139</v>
      </c>
      <c r="R1782" s="580">
        <v>0.70833333333333304</v>
      </c>
      <c r="S1782" s="581" t="s">
        <v>289</v>
      </c>
      <c r="T1782" s="581" t="s">
        <v>856</v>
      </c>
      <c r="U1782" s="582">
        <v>100</v>
      </c>
      <c r="V1782" s="583" t="str">
        <f t="shared" si="948"/>
        <v>g</v>
      </c>
      <c r="W1782" s="584">
        <f t="shared" si="942"/>
        <v>60</v>
      </c>
      <c r="X1782" s="584">
        <f t="shared" si="943"/>
        <v>1</v>
      </c>
      <c r="Y1782" s="584">
        <f t="shared" si="944"/>
        <v>0</v>
      </c>
      <c r="Z1782" s="584">
        <f t="shared" si="945"/>
        <v>15</v>
      </c>
      <c r="AA1782" s="584">
        <f t="shared" si="946"/>
        <v>2</v>
      </c>
      <c r="AB1782" s="584">
        <f t="shared" si="947"/>
        <v>0</v>
      </c>
      <c r="AC1782" s="581"/>
    </row>
    <row r="1783" spans="17:29">
      <c r="Q1783" s="579">
        <v>46139</v>
      </c>
      <c r="R1783" s="580">
        <v>0.83333333333333337</v>
      </c>
      <c r="S1783" s="581" t="s">
        <v>199</v>
      </c>
      <c r="T1783" s="581" t="s">
        <v>176</v>
      </c>
      <c r="U1783" s="582">
        <v>200</v>
      </c>
      <c r="V1783" s="583" t="str">
        <f t="shared" si="948"/>
        <v>g</v>
      </c>
      <c r="W1783" s="584">
        <f t="shared" si="942"/>
        <v>330</v>
      </c>
      <c r="X1783" s="584">
        <f t="shared" si="943"/>
        <v>50</v>
      </c>
      <c r="Y1783" s="584">
        <f t="shared" si="944"/>
        <v>7.2</v>
      </c>
      <c r="Z1783" s="584">
        <f t="shared" si="945"/>
        <v>0</v>
      </c>
      <c r="AA1783" s="584">
        <f t="shared" si="946"/>
        <v>0</v>
      </c>
      <c r="AB1783" s="584"/>
      <c r="AC1783" s="581"/>
    </row>
    <row r="1784" spans="17:29">
      <c r="Q1784" s="579">
        <v>46139</v>
      </c>
      <c r="R1784" s="580">
        <v>0.83333333333333337</v>
      </c>
      <c r="S1784" s="581" t="s">
        <v>199</v>
      </c>
      <c r="T1784" s="581" t="s">
        <v>180</v>
      </c>
      <c r="U1784" s="582">
        <v>250</v>
      </c>
      <c r="V1784" s="583" t="str">
        <f t="shared" si="948"/>
        <v>g</v>
      </c>
      <c r="W1784" s="584">
        <f t="shared" si="942"/>
        <v>325</v>
      </c>
      <c r="X1784" s="584">
        <f t="shared" si="943"/>
        <v>6.75</v>
      </c>
      <c r="Y1784" s="584">
        <f t="shared" si="944"/>
        <v>0.75</v>
      </c>
      <c r="Z1784" s="584">
        <f t="shared" si="945"/>
        <v>70</v>
      </c>
      <c r="AA1784" s="584">
        <f t="shared" si="946"/>
        <v>1</v>
      </c>
      <c r="AB1784" s="584">
        <f>IFERROR(VLOOKUP(T1784, $E$5:$O$818, 9, FALSE) * (U1784 / VLOOKUP(T1784, $E$5:$O$818, 2, FALSE)), "")</f>
        <v>0</v>
      </c>
      <c r="AC1784" s="581"/>
    </row>
    <row r="1785" spans="17:29">
      <c r="Q1785" s="579">
        <v>46139</v>
      </c>
      <c r="R1785" s="580">
        <v>0.83333333333333337</v>
      </c>
      <c r="S1785" s="581" t="s">
        <v>289</v>
      </c>
      <c r="T1785" s="581" t="s">
        <v>786</v>
      </c>
      <c r="U1785" s="582">
        <v>1</v>
      </c>
      <c r="V1785" s="583" t="str">
        <f t="shared" si="948"/>
        <v>bottle</v>
      </c>
      <c r="W1785" s="584">
        <f>IFERROR(VLOOKUP(T1785, $E$5:$L$818, 4, FALSE) * (U1785 / VLOOKUP(T1785, $E$5:$L$818, 2, FALSE)), "")</f>
        <v>90</v>
      </c>
      <c r="X1785" s="584">
        <f t="shared" si="943"/>
        <v>0</v>
      </c>
      <c r="Y1785" s="584">
        <f t="shared" si="944"/>
        <v>0</v>
      </c>
      <c r="Z1785" s="584">
        <f t="shared" si="945"/>
        <v>22</v>
      </c>
      <c r="AA1785" s="584">
        <f t="shared" si="946"/>
        <v>0</v>
      </c>
      <c r="AB1785" s="584">
        <f>IFERROR(VLOOKUP(T1785, $E$5:$O$818, 9, FALSE) * (U1785 / VLOOKUP(T1785, $E$5:$O$818, 2, FALSE)), "")</f>
        <v>0</v>
      </c>
      <c r="AC1785" s="581"/>
    </row>
    <row r="1786" spans="17:29">
      <c r="Q1786" s="579">
        <v>46139</v>
      </c>
      <c r="R1786" s="580">
        <v>0.83333333333333337</v>
      </c>
      <c r="S1786" s="581" t="s">
        <v>289</v>
      </c>
      <c r="T1786" s="581" t="s">
        <v>1081</v>
      </c>
      <c r="U1786" s="582">
        <v>35</v>
      </c>
      <c r="V1786" s="583" t="str">
        <f t="shared" si="948"/>
        <v>g</v>
      </c>
      <c r="W1786" s="584">
        <f t="shared" ref="W1786:W1787" si="949">IFERROR(VLOOKUP(T1786, $E$5:$L$818, 4, FALSE) * (U1786 / VLOOKUP(T1786, $E$5:$L$818, 2, FALSE)), "")</f>
        <v>70</v>
      </c>
      <c r="X1786" s="584">
        <f t="shared" si="943"/>
        <v>0</v>
      </c>
      <c r="Y1786" s="584">
        <f t="shared" si="944"/>
        <v>0</v>
      </c>
      <c r="Z1786" s="584">
        <f t="shared" si="945"/>
        <v>28</v>
      </c>
      <c r="AA1786" s="584">
        <f t="shared" si="946"/>
        <v>28</v>
      </c>
      <c r="AB1786" s="584"/>
      <c r="AC1786" s="581"/>
    </row>
    <row r="1787" spans="17:29">
      <c r="Q1787" s="579">
        <v>46139</v>
      </c>
      <c r="R1787" s="580">
        <v>0.83333333333333337</v>
      </c>
      <c r="S1787" s="581" t="s">
        <v>289</v>
      </c>
      <c r="T1787" s="581" t="s">
        <v>214</v>
      </c>
      <c r="U1787" s="582">
        <v>1</v>
      </c>
      <c r="V1787" s="583" t="str">
        <f t="shared" si="948"/>
        <v>bar</v>
      </c>
      <c r="W1787" s="584">
        <f t="shared" si="949"/>
        <v>67</v>
      </c>
      <c r="X1787" s="584">
        <f t="shared" si="943"/>
        <v>1</v>
      </c>
      <c r="Y1787" s="584">
        <f t="shared" si="944"/>
        <v>3.5</v>
      </c>
      <c r="Z1787" s="584">
        <f t="shared" si="945"/>
        <v>22</v>
      </c>
      <c r="AA1787" s="584">
        <f t="shared" si="946"/>
        <v>0.3</v>
      </c>
      <c r="AB1787" s="584"/>
      <c r="AC1787" s="581"/>
    </row>
    <row r="1788" spans="17:29">
      <c r="Q1788" s="585"/>
      <c r="R1788" s="586" t="s">
        <v>217</v>
      </c>
      <c r="S1788" s="587"/>
      <c r="T1788" s="588"/>
      <c r="U1788" s="588"/>
      <c r="V1788" s="589"/>
      <c r="W1788" s="590">
        <f t="shared" ref="W1788:AB1788" si="950">SUM(W1773:W1787)</f>
        <v>2548.1657142857143</v>
      </c>
      <c r="X1788" s="590">
        <f t="shared" si="950"/>
        <v>167.04857142857145</v>
      </c>
      <c r="Y1788" s="590">
        <f t="shared" si="950"/>
        <v>48.568571428571431</v>
      </c>
      <c r="Z1788" s="590">
        <f t="shared" si="950"/>
        <v>348.81142857142856</v>
      </c>
      <c r="AA1788" s="688">
        <f t="shared" si="950"/>
        <v>39.611428571428569</v>
      </c>
      <c r="AB1788" s="691">
        <f t="shared" si="950"/>
        <v>0</v>
      </c>
      <c r="AC1788" s="586"/>
    </row>
    <row r="1789" spans="17:29">
      <c r="Q1789" s="585"/>
      <c r="R1789" s="586" t="s">
        <v>220</v>
      </c>
      <c r="S1789" s="587"/>
      <c r="T1789" s="588"/>
      <c r="U1789" s="588"/>
      <c r="V1789" s="589"/>
      <c r="W1789" s="591">
        <f>$B$27</f>
        <v>2834.5625</v>
      </c>
      <c r="X1789" s="591">
        <f>$B$29</f>
        <v>154</v>
      </c>
      <c r="Y1789" s="591">
        <f>$B$30</f>
        <v>63.91</v>
      </c>
      <c r="Z1789" s="591">
        <f>$B$31</f>
        <v>410.84312499999999</v>
      </c>
      <c r="AA1789" s="642">
        <f>$B$32</f>
        <v>39.683875</v>
      </c>
      <c r="AB1789" s="695">
        <f>$B$39</f>
        <v>500</v>
      </c>
      <c r="AC1789" s="586"/>
    </row>
    <row r="1790" spans="17:29">
      <c r="Q1790" s="585"/>
      <c r="R1790" s="586" t="s">
        <v>222</v>
      </c>
      <c r="S1790" s="587"/>
      <c r="T1790" s="588"/>
      <c r="U1790" s="588"/>
      <c r="V1790" s="589"/>
      <c r="W1790" s="284">
        <f t="shared" ref="W1790:AB1790" si="951">W1788-W1789</f>
        <v>-286.39678571428567</v>
      </c>
      <c r="X1790" s="284">
        <f t="shared" si="951"/>
        <v>13.048571428571449</v>
      </c>
      <c r="Y1790" s="284">
        <f t="shared" si="951"/>
        <v>-15.341428571428565</v>
      </c>
      <c r="Z1790" s="284">
        <f t="shared" si="951"/>
        <v>-62.031696428571422</v>
      </c>
      <c r="AA1790" s="690">
        <f t="shared" si="951"/>
        <v>-7.2446428571431909E-2</v>
      </c>
      <c r="AB1790" s="689">
        <f t="shared" si="951"/>
        <v>-500</v>
      </c>
      <c r="AC1790" s="586"/>
    </row>
    <row r="1791" spans="17:29">
      <c r="Q1791" s="579">
        <v>46140</v>
      </c>
      <c r="R1791" s="580">
        <v>0.25</v>
      </c>
      <c r="S1791" s="581" t="s">
        <v>178</v>
      </c>
      <c r="T1791" s="581" t="s">
        <v>1104</v>
      </c>
      <c r="U1791" s="582">
        <v>6</v>
      </c>
      <c r="V1791" s="583" t="str">
        <f t="shared" ref="V1791:V1793" si="952">IFERROR(VLOOKUP(T1791, $E$5:$L$818, 3, FALSE), "")</f>
        <v>g</v>
      </c>
      <c r="W1791" s="584">
        <f t="shared" ref="W1791:W1803" si="953">IFERROR(VLOOKUP(T1791, $E$5:$L$818, 4, FALSE) * (U1791 / VLOOKUP(T1791, $E$5:$L$818, 2, FALSE)), "")</f>
        <v>28.799999999999997</v>
      </c>
      <c r="X1791" s="584">
        <f t="shared" ref="X1791:X1804" si="954">IFERROR(VLOOKUP(T1791, $E$5:$L$818, 5, FALSE) * (U1791 / VLOOKUP(T1791, $E$5:$L$818, 2, FALSE)), "")</f>
        <v>1.2</v>
      </c>
      <c r="Y1791" s="584">
        <f t="shared" ref="Y1791:Y1804" si="955">IFERROR(VLOOKUP(T1791, $E$5:$L$818, 6, FALSE) * (U1791 / VLOOKUP(T1791, $E$5:$L$818, 2, FALSE)), "")</f>
        <v>2.4</v>
      </c>
      <c r="Z1791" s="584">
        <f t="shared" ref="Z1791:Z1804" si="956">IFERROR(VLOOKUP(T1791, $E$5:$L$818, 7, FALSE) * (U1791 / VLOOKUP(T1791, $E$5:$L$818, 2, FALSE)), "")</f>
        <v>2.4</v>
      </c>
      <c r="AA1791" s="584">
        <f t="shared" ref="AA1791:AA1804" si="957">IFERROR(VLOOKUP(T1791, $E$5:$L$818, 8, FALSE) * (U1791 / VLOOKUP(T1791, $E$5:$L$818, 2, FALSE)), "")</f>
        <v>2.4</v>
      </c>
      <c r="AB1791" s="674">
        <f t="shared" ref="AB1791:AB1801" si="958">IFERROR(VLOOKUP(T1791, $E$5:$O$818, 9, FALSE) * (U1791 / VLOOKUP(T1791, $E$5:$O$818, 2, FALSE)), "")</f>
        <v>0</v>
      </c>
      <c r="AC1791" s="581"/>
    </row>
    <row r="1792" spans="17:29">
      <c r="Q1792" s="579">
        <v>46140</v>
      </c>
      <c r="R1792" s="580">
        <v>0.25</v>
      </c>
      <c r="S1792" s="581" t="s">
        <v>178</v>
      </c>
      <c r="T1792" s="581" t="s">
        <v>181</v>
      </c>
      <c r="U1792" s="582">
        <v>4</v>
      </c>
      <c r="V1792" s="583" t="str">
        <f t="shared" si="952"/>
        <v>slice</v>
      </c>
      <c r="W1792" s="584">
        <f t="shared" si="953"/>
        <v>280</v>
      </c>
      <c r="X1792" s="584">
        <f t="shared" si="954"/>
        <v>10</v>
      </c>
      <c r="Y1792" s="584">
        <f t="shared" si="955"/>
        <v>5</v>
      </c>
      <c r="Z1792" s="584">
        <f t="shared" si="956"/>
        <v>48</v>
      </c>
      <c r="AA1792" s="584">
        <f t="shared" si="957"/>
        <v>4</v>
      </c>
      <c r="AB1792" s="584">
        <f t="shared" si="958"/>
        <v>0</v>
      </c>
      <c r="AC1792" s="581"/>
    </row>
    <row r="1793" spans="17:29">
      <c r="Q1793" s="579">
        <v>46140</v>
      </c>
      <c r="R1793" s="580">
        <v>0.25</v>
      </c>
      <c r="S1793" s="581" t="s">
        <v>178</v>
      </c>
      <c r="T1793" s="581" t="s">
        <v>204</v>
      </c>
      <c r="U1793" s="582">
        <v>4</v>
      </c>
      <c r="V1793" s="583" t="str">
        <f t="shared" si="952"/>
        <v>tbsp</v>
      </c>
      <c r="W1793" s="584">
        <f t="shared" si="953"/>
        <v>200</v>
      </c>
      <c r="X1793" s="584">
        <f t="shared" si="954"/>
        <v>4</v>
      </c>
      <c r="Y1793" s="584">
        <f t="shared" si="955"/>
        <v>20</v>
      </c>
      <c r="Z1793" s="584">
        <f t="shared" si="956"/>
        <v>4</v>
      </c>
      <c r="AA1793" s="584">
        <f t="shared" si="957"/>
        <v>0</v>
      </c>
      <c r="AB1793" s="584">
        <f t="shared" si="958"/>
        <v>0</v>
      </c>
      <c r="AC1793" s="581"/>
    </row>
    <row r="1794" spans="17:29">
      <c r="Q1794" s="579">
        <v>46140</v>
      </c>
      <c r="R1794" s="580">
        <v>0.45833333333333331</v>
      </c>
      <c r="S1794" s="581" t="s">
        <v>289</v>
      </c>
      <c r="T1794" s="581" t="s">
        <v>497</v>
      </c>
      <c r="U1794" s="582">
        <v>3.5</v>
      </c>
      <c r="V1794" s="583" t="str">
        <f t="shared" ref="V1794:V1804" si="959">IFERROR(VLOOKUP(T1794, $E$5:$L$818, 3, FALSE), "")</f>
        <v>bag</v>
      </c>
      <c r="W1794" s="584">
        <f t="shared" si="953"/>
        <v>350</v>
      </c>
      <c r="X1794" s="584">
        <f t="shared" si="954"/>
        <v>1.75</v>
      </c>
      <c r="Y1794" s="584">
        <f t="shared" si="955"/>
        <v>24.5</v>
      </c>
      <c r="Z1794" s="584">
        <f t="shared" si="956"/>
        <v>35</v>
      </c>
      <c r="AA1794" s="584">
        <f t="shared" si="957"/>
        <v>0</v>
      </c>
      <c r="AB1794" s="584">
        <f t="shared" si="958"/>
        <v>0</v>
      </c>
      <c r="AC1794" s="581"/>
    </row>
    <row r="1795" spans="17:29">
      <c r="Q1795" s="579">
        <v>46140</v>
      </c>
      <c r="R1795" s="580">
        <v>0.45833333333333331</v>
      </c>
      <c r="S1795" s="581" t="s">
        <v>289</v>
      </c>
      <c r="T1795" s="581" t="s">
        <v>856</v>
      </c>
      <c r="U1795" s="582">
        <v>150</v>
      </c>
      <c r="V1795" s="583" t="str">
        <f t="shared" si="959"/>
        <v>g</v>
      </c>
      <c r="W1795" s="584">
        <f t="shared" si="953"/>
        <v>90</v>
      </c>
      <c r="X1795" s="584">
        <f t="shared" si="954"/>
        <v>1.5</v>
      </c>
      <c r="Y1795" s="584">
        <f t="shared" si="955"/>
        <v>0</v>
      </c>
      <c r="Z1795" s="584">
        <f t="shared" si="956"/>
        <v>22.5</v>
      </c>
      <c r="AA1795" s="584">
        <f t="shared" si="957"/>
        <v>3</v>
      </c>
      <c r="AB1795" s="584">
        <f t="shared" si="958"/>
        <v>0</v>
      </c>
      <c r="AC1795" s="581"/>
    </row>
    <row r="1796" spans="17:29">
      <c r="Q1796" s="579">
        <v>46140</v>
      </c>
      <c r="R1796" s="580">
        <v>0.5</v>
      </c>
      <c r="S1796" s="581" t="s">
        <v>185</v>
      </c>
      <c r="T1796" s="581" t="s">
        <v>176</v>
      </c>
      <c r="U1796" s="582">
        <v>200</v>
      </c>
      <c r="V1796" s="583" t="str">
        <f t="shared" si="959"/>
        <v>g</v>
      </c>
      <c r="W1796" s="584">
        <f t="shared" si="953"/>
        <v>330</v>
      </c>
      <c r="X1796" s="584">
        <f t="shared" si="954"/>
        <v>50</v>
      </c>
      <c r="Y1796" s="584">
        <f t="shared" si="955"/>
        <v>7.2</v>
      </c>
      <c r="Z1796" s="584">
        <f t="shared" si="956"/>
        <v>0</v>
      </c>
      <c r="AA1796" s="584">
        <f t="shared" si="957"/>
        <v>0</v>
      </c>
      <c r="AB1796" s="584">
        <f t="shared" si="958"/>
        <v>0</v>
      </c>
      <c r="AC1796" s="581"/>
    </row>
    <row r="1797" spans="17:29">
      <c r="Q1797" s="579">
        <v>46140</v>
      </c>
      <c r="R1797" s="580">
        <v>0.5</v>
      </c>
      <c r="S1797" s="581" t="s">
        <v>185</v>
      </c>
      <c r="T1797" s="581" t="s">
        <v>180</v>
      </c>
      <c r="U1797" s="582">
        <v>250</v>
      </c>
      <c r="V1797" s="583" t="str">
        <f t="shared" si="959"/>
        <v>g</v>
      </c>
      <c r="W1797" s="584">
        <f t="shared" si="953"/>
        <v>325</v>
      </c>
      <c r="X1797" s="584">
        <f t="shared" si="954"/>
        <v>6.75</v>
      </c>
      <c r="Y1797" s="584">
        <f t="shared" si="955"/>
        <v>0.75</v>
      </c>
      <c r="Z1797" s="584">
        <f t="shared" si="956"/>
        <v>70</v>
      </c>
      <c r="AA1797" s="584">
        <f t="shared" si="957"/>
        <v>1</v>
      </c>
      <c r="AB1797" s="584">
        <f t="shared" si="958"/>
        <v>0</v>
      </c>
      <c r="AC1797" s="581"/>
    </row>
    <row r="1798" spans="17:29">
      <c r="Q1798" s="579">
        <v>46140</v>
      </c>
      <c r="R1798" s="580">
        <v>0.70833333333333337</v>
      </c>
      <c r="S1798" s="581" t="s">
        <v>289</v>
      </c>
      <c r="T1798" s="581" t="s">
        <v>461</v>
      </c>
      <c r="U1798" s="582">
        <v>1</v>
      </c>
      <c r="V1798" s="583" t="str">
        <f t="shared" si="959"/>
        <v>chunks</v>
      </c>
      <c r="W1798" s="584">
        <f t="shared" si="953"/>
        <v>24.285714285714285</v>
      </c>
      <c r="X1798" s="584">
        <f t="shared" si="954"/>
        <v>0.42857142857142855</v>
      </c>
      <c r="Y1798" s="584">
        <f t="shared" si="955"/>
        <v>1.4285714285714284</v>
      </c>
      <c r="Z1798" s="584">
        <f t="shared" si="956"/>
        <v>2.5714285714285712</v>
      </c>
      <c r="AA1798" s="584">
        <f t="shared" si="957"/>
        <v>7.1428571428571425E-2</v>
      </c>
      <c r="AB1798" s="584">
        <f t="shared" si="958"/>
        <v>0</v>
      </c>
      <c r="AC1798" s="581"/>
    </row>
    <row r="1799" spans="17:29">
      <c r="Q1799" s="579">
        <v>46140</v>
      </c>
      <c r="R1799" s="580">
        <v>0.83333333333333337</v>
      </c>
      <c r="S1799" s="581" t="s">
        <v>199</v>
      </c>
      <c r="T1799" s="581" t="s">
        <v>176</v>
      </c>
      <c r="U1799" s="582">
        <v>200</v>
      </c>
      <c r="V1799" s="583" t="str">
        <f t="shared" si="959"/>
        <v>g</v>
      </c>
      <c r="W1799" s="584">
        <f t="shared" si="953"/>
        <v>330</v>
      </c>
      <c r="X1799" s="584">
        <f t="shared" si="954"/>
        <v>50</v>
      </c>
      <c r="Y1799" s="584">
        <f t="shared" si="955"/>
        <v>7.2</v>
      </c>
      <c r="Z1799" s="584">
        <f t="shared" si="956"/>
        <v>0</v>
      </c>
      <c r="AA1799" s="584">
        <f t="shared" si="957"/>
        <v>0</v>
      </c>
      <c r="AB1799" s="584">
        <f t="shared" si="958"/>
        <v>0</v>
      </c>
      <c r="AC1799" s="581"/>
    </row>
    <row r="1800" spans="17:29">
      <c r="Q1800" s="579">
        <v>46140</v>
      </c>
      <c r="R1800" s="580">
        <v>0.83333333333333337</v>
      </c>
      <c r="S1800" s="581" t="s">
        <v>199</v>
      </c>
      <c r="T1800" s="581" t="s">
        <v>180</v>
      </c>
      <c r="U1800" s="582">
        <v>250</v>
      </c>
      <c r="V1800" s="583" t="str">
        <f t="shared" si="959"/>
        <v>g</v>
      </c>
      <c r="W1800" s="584">
        <f t="shared" si="953"/>
        <v>325</v>
      </c>
      <c r="X1800" s="584">
        <f t="shared" si="954"/>
        <v>6.75</v>
      </c>
      <c r="Y1800" s="584">
        <f t="shared" si="955"/>
        <v>0.75</v>
      </c>
      <c r="Z1800" s="584">
        <f t="shared" si="956"/>
        <v>70</v>
      </c>
      <c r="AA1800" s="584">
        <f t="shared" si="957"/>
        <v>1</v>
      </c>
      <c r="AB1800" s="584">
        <f t="shared" si="958"/>
        <v>0</v>
      </c>
      <c r="AC1800" s="581"/>
    </row>
    <row r="1801" spans="17:29">
      <c r="Q1801" s="579">
        <v>46140</v>
      </c>
      <c r="R1801" s="580">
        <v>0.83333333333333337</v>
      </c>
      <c r="S1801" s="581" t="s">
        <v>199</v>
      </c>
      <c r="T1801" s="581" t="s">
        <v>234</v>
      </c>
      <c r="U1801" s="582">
        <v>1</v>
      </c>
      <c r="V1801" s="583" t="str">
        <f t="shared" si="959"/>
        <v>can</v>
      </c>
      <c r="W1801" s="584">
        <f t="shared" si="953"/>
        <v>260</v>
      </c>
      <c r="X1801" s="584">
        <f t="shared" si="954"/>
        <v>30</v>
      </c>
      <c r="Y1801" s="584">
        <f t="shared" si="955"/>
        <v>16</v>
      </c>
      <c r="Z1801" s="584">
        <f t="shared" si="956"/>
        <v>2</v>
      </c>
      <c r="AA1801" s="584">
        <f t="shared" si="957"/>
        <v>0</v>
      </c>
      <c r="AB1801" s="584">
        <f t="shared" si="958"/>
        <v>1300</v>
      </c>
      <c r="AC1801" s="581"/>
    </row>
    <row r="1802" spans="17:29">
      <c r="Q1802" s="579">
        <v>46140</v>
      </c>
      <c r="R1802" s="580">
        <v>0.875</v>
      </c>
      <c r="S1802" s="581" t="s">
        <v>289</v>
      </c>
      <c r="T1802" s="581" t="s">
        <v>786</v>
      </c>
      <c r="U1802" s="582">
        <v>1</v>
      </c>
      <c r="V1802" s="583" t="str">
        <f t="shared" si="959"/>
        <v>bottle</v>
      </c>
      <c r="W1802" s="584">
        <f t="shared" si="953"/>
        <v>90</v>
      </c>
      <c r="X1802" s="584">
        <f t="shared" si="954"/>
        <v>0</v>
      </c>
      <c r="Y1802" s="584">
        <f t="shared" si="955"/>
        <v>0</v>
      </c>
      <c r="Z1802" s="584">
        <f t="shared" si="956"/>
        <v>22</v>
      </c>
      <c r="AA1802" s="584">
        <f t="shared" si="957"/>
        <v>0</v>
      </c>
      <c r="AB1802" s="584"/>
      <c r="AC1802" s="581"/>
    </row>
    <row r="1803" spans="17:29">
      <c r="Q1803" s="579">
        <v>46140</v>
      </c>
      <c r="R1803" s="580">
        <v>0.875</v>
      </c>
      <c r="S1803" s="581" t="s">
        <v>289</v>
      </c>
      <c r="T1803" s="581" t="s">
        <v>1081</v>
      </c>
      <c r="U1803" s="582">
        <v>35</v>
      </c>
      <c r="V1803" s="583" t="str">
        <f t="shared" si="959"/>
        <v>g</v>
      </c>
      <c r="W1803" s="584">
        <f t="shared" si="953"/>
        <v>70</v>
      </c>
      <c r="X1803" s="584">
        <f t="shared" si="954"/>
        <v>0</v>
      </c>
      <c r="Y1803" s="584">
        <f t="shared" si="955"/>
        <v>0</v>
      </c>
      <c r="Z1803" s="584">
        <f t="shared" si="956"/>
        <v>28</v>
      </c>
      <c r="AA1803" s="584">
        <f t="shared" si="957"/>
        <v>28</v>
      </c>
      <c r="AB1803" s="584">
        <f>IFERROR(VLOOKUP(T1803, $E$5:$O$818, 9, FALSE) * (U1803 / VLOOKUP(T1803, $E$5:$O$818, 2, FALSE)), "")</f>
        <v>0</v>
      </c>
      <c r="AC1803" s="581"/>
    </row>
    <row r="1804" spans="17:29">
      <c r="Q1804" s="579">
        <v>46140</v>
      </c>
      <c r="R1804" s="580">
        <v>0.91666666666666663</v>
      </c>
      <c r="S1804" s="581" t="s">
        <v>289</v>
      </c>
      <c r="T1804" s="581" t="s">
        <v>1076</v>
      </c>
      <c r="U1804" s="582">
        <v>1</v>
      </c>
      <c r="V1804" s="583" t="str">
        <f t="shared" si="959"/>
        <v>pounch</v>
      </c>
      <c r="W1804" s="584">
        <f>IFERROR(VLOOKUP(T1804, $E$5:$L$818, 4, FALSE) * (U1804 / VLOOKUP(T1804, $E$5:$L$818, 2, FALSE)), "")</f>
        <v>45</v>
      </c>
      <c r="X1804" s="584">
        <f t="shared" si="954"/>
        <v>0</v>
      </c>
      <c r="Y1804" s="584">
        <f t="shared" si="955"/>
        <v>0</v>
      </c>
      <c r="Z1804" s="584">
        <f t="shared" si="956"/>
        <v>11</v>
      </c>
      <c r="AA1804" s="584">
        <f t="shared" si="957"/>
        <v>0</v>
      </c>
      <c r="AB1804" s="584">
        <f>IFERROR(VLOOKUP(T1804, $E$5:$O$818, 9, FALSE) * (U1804 / VLOOKUP(T1804, $E$5:$O$818, 2, FALSE)), "")</f>
        <v>0</v>
      </c>
      <c r="AC1804" s="581"/>
    </row>
    <row r="1805" spans="17:29">
      <c r="Q1805" s="585"/>
      <c r="R1805" s="586" t="s">
        <v>217</v>
      </c>
      <c r="S1805" s="587"/>
      <c r="T1805" s="588"/>
      <c r="U1805" s="588"/>
      <c r="V1805" s="589"/>
      <c r="W1805" s="590">
        <f t="shared" ref="W1805:AB1805" si="960">SUM(W1791:W1804)</f>
        <v>2748.0857142857139</v>
      </c>
      <c r="X1805" s="590">
        <f t="shared" si="960"/>
        <v>162.37857142857143</v>
      </c>
      <c r="Y1805" s="590">
        <f t="shared" si="960"/>
        <v>85.228571428571428</v>
      </c>
      <c r="Z1805" s="590">
        <f t="shared" si="960"/>
        <v>317.47142857142859</v>
      </c>
      <c r="AA1805" s="688">
        <f t="shared" si="960"/>
        <v>39.471428571428575</v>
      </c>
      <c r="AB1805" s="691">
        <f t="shared" si="960"/>
        <v>1300</v>
      </c>
      <c r="AC1805" s="586"/>
    </row>
    <row r="1806" spans="17:29">
      <c r="Q1806" s="585"/>
      <c r="R1806" s="586" t="s">
        <v>220</v>
      </c>
      <c r="S1806" s="587"/>
      <c r="T1806" s="588"/>
      <c r="U1806" s="588"/>
      <c r="V1806" s="589"/>
      <c r="W1806" s="591">
        <f>$B$27</f>
        <v>2834.5625</v>
      </c>
      <c r="X1806" s="591">
        <f>$B$29</f>
        <v>154</v>
      </c>
      <c r="Y1806" s="591">
        <f>$B$30</f>
        <v>63.91</v>
      </c>
      <c r="Z1806" s="591">
        <f>$B$31</f>
        <v>410.84312499999999</v>
      </c>
      <c r="AA1806" s="642">
        <f>$B$32</f>
        <v>39.683875</v>
      </c>
      <c r="AB1806" s="695">
        <f>$B$39</f>
        <v>500</v>
      </c>
      <c r="AC1806" s="586"/>
    </row>
    <row r="1807" spans="17:29">
      <c r="Q1807" s="585"/>
      <c r="R1807" s="586" t="s">
        <v>222</v>
      </c>
      <c r="S1807" s="587"/>
      <c r="T1807" s="588"/>
      <c r="U1807" s="588"/>
      <c r="V1807" s="589"/>
      <c r="W1807" s="284">
        <f t="shared" ref="W1807:AB1807" si="961">W1805-W1806</f>
        <v>-86.476785714286052</v>
      </c>
      <c r="X1807" s="284">
        <f t="shared" si="961"/>
        <v>8.3785714285714334</v>
      </c>
      <c r="Y1807" s="284">
        <f t="shared" si="961"/>
        <v>21.318571428571431</v>
      </c>
      <c r="Z1807" s="284">
        <f t="shared" si="961"/>
        <v>-93.371696428571397</v>
      </c>
      <c r="AA1807" s="690">
        <f t="shared" si="961"/>
        <v>-0.21244642857142537</v>
      </c>
      <c r="AB1807" s="689">
        <f t="shared" si="961"/>
        <v>800</v>
      </c>
      <c r="AC1807" s="586"/>
    </row>
    <row r="1808" spans="17:29">
      <c r="Q1808" s="579">
        <v>46141</v>
      </c>
      <c r="R1808" s="580">
        <v>0.25</v>
      </c>
      <c r="S1808" s="581" t="s">
        <v>178</v>
      </c>
      <c r="T1808" s="581" t="s">
        <v>1104</v>
      </c>
      <c r="U1808" s="582">
        <v>6.2</v>
      </c>
      <c r="V1808" s="583" t="str">
        <f t="shared" ref="V1808:V1811" si="962">IFERROR(VLOOKUP(T1808, $E$5:$L$818, 3, FALSE), "")</f>
        <v>g</v>
      </c>
      <c r="W1808" s="584">
        <f t="shared" ref="W1808:W1820" si="963">IFERROR(VLOOKUP(T1808, $E$5:$L$818, 4, FALSE) * (U1808 / VLOOKUP(T1808, $E$5:$L$818, 2, FALSE)), "")</f>
        <v>29.759999999999998</v>
      </c>
      <c r="X1808" s="584">
        <f t="shared" ref="X1808:X1821" si="964">IFERROR(VLOOKUP(T1808, $E$5:$L$818, 5, FALSE) * (U1808 / VLOOKUP(T1808, $E$5:$L$818, 2, FALSE)), "")</f>
        <v>1.24</v>
      </c>
      <c r="Y1808" s="584">
        <f t="shared" ref="Y1808:Y1821" si="965">IFERROR(VLOOKUP(T1808, $E$5:$L$818, 6, FALSE) * (U1808 / VLOOKUP(T1808, $E$5:$L$818, 2, FALSE)), "")</f>
        <v>2.48</v>
      </c>
      <c r="Z1808" s="584">
        <f t="shared" ref="Z1808:Z1821" si="966">IFERROR(VLOOKUP(T1808, $E$5:$L$818, 7, FALSE) * (U1808 / VLOOKUP(T1808, $E$5:$L$818, 2, FALSE)), "")</f>
        <v>2.48</v>
      </c>
      <c r="AA1808" s="584">
        <f t="shared" ref="AA1808:AA1821" si="967">IFERROR(VLOOKUP(T1808, $E$5:$L$818, 8, FALSE) * (U1808 / VLOOKUP(T1808, $E$5:$L$818, 2, FALSE)), "")</f>
        <v>2.48</v>
      </c>
      <c r="AB1808" s="674">
        <f t="shared" ref="AB1808:AB1818" si="968">IFERROR(VLOOKUP(T1808, $E$5:$O$818, 9, FALSE) * (U1808 / VLOOKUP(T1808, $E$5:$O$818, 2, FALSE)), "")</f>
        <v>0</v>
      </c>
      <c r="AC1808" s="581"/>
    </row>
    <row r="1809" spans="17:29">
      <c r="Q1809" s="579">
        <v>46141</v>
      </c>
      <c r="R1809" s="580">
        <v>0.33333333333333331</v>
      </c>
      <c r="S1809" s="581" t="s">
        <v>289</v>
      </c>
      <c r="T1809" s="581" t="s">
        <v>181</v>
      </c>
      <c r="U1809" s="582">
        <v>4</v>
      </c>
      <c r="V1809" s="583" t="str">
        <f t="shared" si="962"/>
        <v>slice</v>
      </c>
      <c r="W1809" s="584">
        <f t="shared" si="963"/>
        <v>280</v>
      </c>
      <c r="X1809" s="584">
        <f t="shared" si="964"/>
        <v>10</v>
      </c>
      <c r="Y1809" s="584">
        <f t="shared" si="965"/>
        <v>5</v>
      </c>
      <c r="Z1809" s="584">
        <f t="shared" si="966"/>
        <v>48</v>
      </c>
      <c r="AA1809" s="584">
        <f t="shared" si="967"/>
        <v>4</v>
      </c>
      <c r="AB1809" s="584">
        <f t="shared" si="968"/>
        <v>0</v>
      </c>
      <c r="AC1809" s="581"/>
    </row>
    <row r="1810" spans="17:29">
      <c r="Q1810" s="579">
        <v>46141</v>
      </c>
      <c r="R1810" s="580">
        <v>0.33333333333333331</v>
      </c>
      <c r="S1810" s="581" t="s">
        <v>289</v>
      </c>
      <c r="T1810" s="581" t="s">
        <v>204</v>
      </c>
      <c r="U1810" s="582">
        <v>4</v>
      </c>
      <c r="V1810" s="583" t="str">
        <f t="shared" si="962"/>
        <v>tbsp</v>
      </c>
      <c r="W1810" s="584">
        <f t="shared" si="963"/>
        <v>200</v>
      </c>
      <c r="X1810" s="584">
        <f t="shared" si="964"/>
        <v>4</v>
      </c>
      <c r="Y1810" s="584">
        <f t="shared" si="965"/>
        <v>20</v>
      </c>
      <c r="Z1810" s="584">
        <f t="shared" si="966"/>
        <v>4</v>
      </c>
      <c r="AA1810" s="584">
        <f t="shared" si="967"/>
        <v>0</v>
      </c>
      <c r="AB1810" s="584">
        <f t="shared" si="968"/>
        <v>0</v>
      </c>
      <c r="AC1810" s="581"/>
    </row>
    <row r="1811" spans="17:29">
      <c r="Q1811" s="579">
        <v>46141</v>
      </c>
      <c r="R1811" s="580">
        <v>0.41666666666666669</v>
      </c>
      <c r="S1811" s="581" t="s">
        <v>289</v>
      </c>
      <c r="T1811" s="581" t="s">
        <v>856</v>
      </c>
      <c r="U1811" s="582">
        <v>150</v>
      </c>
      <c r="V1811" s="583" t="str">
        <f t="shared" si="962"/>
        <v>g</v>
      </c>
      <c r="W1811" s="584">
        <f t="shared" si="963"/>
        <v>90</v>
      </c>
      <c r="X1811" s="584">
        <f t="shared" si="964"/>
        <v>1.5</v>
      </c>
      <c r="Y1811" s="584">
        <f t="shared" si="965"/>
        <v>0</v>
      </c>
      <c r="Z1811" s="584">
        <f t="shared" si="966"/>
        <v>22.5</v>
      </c>
      <c r="AA1811" s="584">
        <f t="shared" si="967"/>
        <v>3</v>
      </c>
      <c r="AB1811" s="584">
        <f t="shared" si="968"/>
        <v>0</v>
      </c>
      <c r="AC1811" s="581"/>
    </row>
    <row r="1812" spans="17:29">
      <c r="Q1812" s="579">
        <v>46141</v>
      </c>
      <c r="R1812" s="580">
        <v>0.54166666666666663</v>
      </c>
      <c r="S1812" s="581" t="s">
        <v>185</v>
      </c>
      <c r="T1812" s="581" t="s">
        <v>247</v>
      </c>
      <c r="U1812" s="582">
        <v>2</v>
      </c>
      <c r="V1812" s="583" t="str">
        <f t="shared" ref="V1812:V1821" si="969">IFERROR(VLOOKUP(T1812, $E$5:$L$818, 3, FALSE), "")</f>
        <v>large bowl</v>
      </c>
      <c r="W1812" s="584">
        <f t="shared" si="963"/>
        <v>800</v>
      </c>
      <c r="X1812" s="584">
        <f t="shared" si="964"/>
        <v>40</v>
      </c>
      <c r="Y1812" s="584">
        <f t="shared" si="965"/>
        <v>20</v>
      </c>
      <c r="Z1812" s="584">
        <f t="shared" si="966"/>
        <v>110</v>
      </c>
      <c r="AA1812" s="584">
        <f t="shared" si="967"/>
        <v>6</v>
      </c>
      <c r="AB1812" s="584">
        <f t="shared" si="968"/>
        <v>0</v>
      </c>
      <c r="AC1812" s="581"/>
    </row>
    <row r="1813" spans="17:29">
      <c r="Q1813" s="579">
        <v>46141</v>
      </c>
      <c r="R1813" s="580">
        <v>0.54166666666666663</v>
      </c>
      <c r="S1813" s="581" t="s">
        <v>289</v>
      </c>
      <c r="T1813" s="581" t="s">
        <v>1107</v>
      </c>
      <c r="U1813" s="582">
        <v>1</v>
      </c>
      <c r="V1813" s="583" t="str">
        <f t="shared" si="969"/>
        <v>cup</v>
      </c>
      <c r="W1813" s="584">
        <f t="shared" si="963"/>
        <v>120</v>
      </c>
      <c r="X1813" s="584">
        <f t="shared" si="964"/>
        <v>1</v>
      </c>
      <c r="Y1813" s="584">
        <f t="shared" si="965"/>
        <v>0</v>
      </c>
      <c r="Z1813" s="584">
        <f t="shared" si="966"/>
        <v>28</v>
      </c>
      <c r="AA1813" s="584">
        <f t="shared" si="967"/>
        <v>0</v>
      </c>
      <c r="AB1813" s="584">
        <f t="shared" si="968"/>
        <v>0</v>
      </c>
      <c r="AC1813" s="581"/>
    </row>
    <row r="1814" spans="17:29">
      <c r="Q1814" s="579">
        <v>46141</v>
      </c>
      <c r="R1814" s="580">
        <v>0.66666666666666663</v>
      </c>
      <c r="S1814" s="581" t="s">
        <v>289</v>
      </c>
      <c r="T1814" s="581" t="s">
        <v>1109</v>
      </c>
      <c r="U1814" s="582">
        <v>200</v>
      </c>
      <c r="V1814" s="583" t="str">
        <f t="shared" si="969"/>
        <v>g</v>
      </c>
      <c r="W1814" s="584">
        <f t="shared" si="963"/>
        <v>76</v>
      </c>
      <c r="X1814" s="584">
        <f t="shared" si="964"/>
        <v>2</v>
      </c>
      <c r="Y1814" s="584">
        <f t="shared" si="965"/>
        <v>0</v>
      </c>
      <c r="Z1814" s="584">
        <f t="shared" si="966"/>
        <v>20</v>
      </c>
      <c r="AA1814" s="584">
        <f t="shared" si="967"/>
        <v>2</v>
      </c>
      <c r="AB1814" s="584">
        <f t="shared" si="968"/>
        <v>0</v>
      </c>
      <c r="AC1814" s="581"/>
    </row>
    <row r="1815" spans="17:29">
      <c r="Q1815" s="579">
        <v>46141</v>
      </c>
      <c r="R1815" s="580">
        <v>0.875</v>
      </c>
      <c r="S1815" s="581" t="s">
        <v>199</v>
      </c>
      <c r="T1815" s="581" t="s">
        <v>176</v>
      </c>
      <c r="U1815" s="582">
        <v>200</v>
      </c>
      <c r="V1815" s="583" t="str">
        <f t="shared" si="969"/>
        <v>g</v>
      </c>
      <c r="W1815" s="584">
        <f t="shared" si="963"/>
        <v>330</v>
      </c>
      <c r="X1815" s="584">
        <f t="shared" si="964"/>
        <v>50</v>
      </c>
      <c r="Y1815" s="584">
        <f t="shared" si="965"/>
        <v>7.2</v>
      </c>
      <c r="Z1815" s="584">
        <f t="shared" si="966"/>
        <v>0</v>
      </c>
      <c r="AA1815" s="584">
        <f t="shared" si="967"/>
        <v>0</v>
      </c>
      <c r="AB1815" s="584">
        <f t="shared" si="968"/>
        <v>0</v>
      </c>
      <c r="AC1815" s="581"/>
    </row>
    <row r="1816" spans="17:29">
      <c r="Q1816" s="579">
        <v>46141</v>
      </c>
      <c r="R1816" s="580">
        <v>0.875</v>
      </c>
      <c r="S1816" s="581" t="s">
        <v>199</v>
      </c>
      <c r="T1816" s="581" t="s">
        <v>180</v>
      </c>
      <c r="U1816" s="582">
        <v>250</v>
      </c>
      <c r="V1816" s="583" t="str">
        <f t="shared" si="969"/>
        <v>g</v>
      </c>
      <c r="W1816" s="584">
        <f t="shared" si="963"/>
        <v>325</v>
      </c>
      <c r="X1816" s="584">
        <f t="shared" si="964"/>
        <v>6.75</v>
      </c>
      <c r="Y1816" s="584">
        <f t="shared" si="965"/>
        <v>0.75</v>
      </c>
      <c r="Z1816" s="584">
        <f t="shared" si="966"/>
        <v>70</v>
      </c>
      <c r="AA1816" s="584">
        <f t="shared" si="967"/>
        <v>1</v>
      </c>
      <c r="AB1816" s="584">
        <f t="shared" si="968"/>
        <v>0</v>
      </c>
      <c r="AC1816" s="581"/>
    </row>
    <row r="1817" spans="17:29">
      <c r="Q1817" s="579">
        <v>46141</v>
      </c>
      <c r="R1817" s="580">
        <v>0.875</v>
      </c>
      <c r="S1817" s="581" t="s">
        <v>199</v>
      </c>
      <c r="T1817" s="581" t="s">
        <v>234</v>
      </c>
      <c r="U1817" s="582">
        <v>1</v>
      </c>
      <c r="V1817" s="583" t="str">
        <f t="shared" si="969"/>
        <v>can</v>
      </c>
      <c r="W1817" s="584">
        <f t="shared" si="963"/>
        <v>260</v>
      </c>
      <c r="X1817" s="584">
        <f t="shared" si="964"/>
        <v>30</v>
      </c>
      <c r="Y1817" s="584">
        <f t="shared" si="965"/>
        <v>16</v>
      </c>
      <c r="Z1817" s="584">
        <f t="shared" si="966"/>
        <v>2</v>
      </c>
      <c r="AA1817" s="584">
        <f t="shared" si="967"/>
        <v>0</v>
      </c>
      <c r="AB1817" s="584">
        <f t="shared" si="968"/>
        <v>1300</v>
      </c>
      <c r="AC1817" s="581"/>
    </row>
    <row r="1818" spans="17:29">
      <c r="Q1818" s="579">
        <v>46141</v>
      </c>
      <c r="R1818" s="580">
        <v>0.875</v>
      </c>
      <c r="S1818" s="581" t="s">
        <v>289</v>
      </c>
      <c r="T1818" s="581" t="s">
        <v>1108</v>
      </c>
      <c r="U1818" s="582">
        <v>1</v>
      </c>
      <c r="V1818" s="583" t="str">
        <f t="shared" si="969"/>
        <v>bottle</v>
      </c>
      <c r="W1818" s="584">
        <f t="shared" si="963"/>
        <v>120</v>
      </c>
      <c r="X1818" s="584">
        <f t="shared" si="964"/>
        <v>28</v>
      </c>
      <c r="Y1818" s="584">
        <f t="shared" si="965"/>
        <v>0</v>
      </c>
      <c r="Z1818" s="584">
        <f t="shared" si="966"/>
        <v>0</v>
      </c>
      <c r="AA1818" s="584">
        <f t="shared" si="967"/>
        <v>0</v>
      </c>
      <c r="AB1818" s="584">
        <f t="shared" si="968"/>
        <v>0</v>
      </c>
      <c r="AC1818" s="581"/>
    </row>
    <row r="1819" spans="17:29">
      <c r="Q1819" s="579">
        <v>46141</v>
      </c>
      <c r="R1819" s="580">
        <v>0.91666666666666663</v>
      </c>
      <c r="S1819" s="581" t="s">
        <v>289</v>
      </c>
      <c r="T1819" s="581" t="s">
        <v>786</v>
      </c>
      <c r="U1819" s="582">
        <v>1</v>
      </c>
      <c r="V1819" s="583" t="str">
        <f t="shared" si="969"/>
        <v>bottle</v>
      </c>
      <c r="W1819" s="584">
        <f t="shared" si="963"/>
        <v>90</v>
      </c>
      <c r="X1819" s="584">
        <f t="shared" si="964"/>
        <v>0</v>
      </c>
      <c r="Y1819" s="584">
        <f t="shared" si="965"/>
        <v>0</v>
      </c>
      <c r="Z1819" s="584">
        <f t="shared" si="966"/>
        <v>22</v>
      </c>
      <c r="AA1819" s="584">
        <f t="shared" si="967"/>
        <v>0</v>
      </c>
      <c r="AB1819" s="584"/>
      <c r="AC1819" s="581"/>
    </row>
    <row r="1820" spans="17:29">
      <c r="Q1820" s="579">
        <v>46141</v>
      </c>
      <c r="R1820" s="580">
        <v>0.91666666666666663</v>
      </c>
      <c r="S1820" s="581" t="s">
        <v>289</v>
      </c>
      <c r="T1820" s="581" t="s">
        <v>1081</v>
      </c>
      <c r="U1820" s="582">
        <v>26</v>
      </c>
      <c r="V1820" s="583" t="str">
        <f t="shared" si="969"/>
        <v>g</v>
      </c>
      <c r="W1820" s="584">
        <f t="shared" si="963"/>
        <v>52</v>
      </c>
      <c r="X1820" s="584">
        <f t="shared" si="964"/>
        <v>0</v>
      </c>
      <c r="Y1820" s="584">
        <f t="shared" si="965"/>
        <v>0</v>
      </c>
      <c r="Z1820" s="584">
        <f t="shared" si="966"/>
        <v>20.8</v>
      </c>
      <c r="AA1820" s="584">
        <f t="shared" si="967"/>
        <v>20.8</v>
      </c>
      <c r="AB1820" s="584">
        <f>IFERROR(VLOOKUP(T1820, $E$5:$O$818, 9, FALSE) * (U1820 / VLOOKUP(T1820, $E$5:$O$818, 2, FALSE)), "")</f>
        <v>0</v>
      </c>
      <c r="AC1820" s="581"/>
    </row>
    <row r="1821" spans="17:29">
      <c r="Q1821" s="579">
        <v>46141</v>
      </c>
      <c r="R1821" s="580">
        <v>0.91666666666666663</v>
      </c>
      <c r="S1821" s="581" t="s">
        <v>289</v>
      </c>
      <c r="T1821" s="581" t="s">
        <v>461</v>
      </c>
      <c r="U1821" s="582">
        <v>1</v>
      </c>
      <c r="V1821" s="583" t="str">
        <f t="shared" si="969"/>
        <v>chunks</v>
      </c>
      <c r="W1821" s="584">
        <f>IFERROR(VLOOKUP(T1821, $E$5:$L$818, 4, FALSE) * (U1821 / VLOOKUP(T1821, $E$5:$L$818, 2, FALSE)), "")</f>
        <v>24.285714285714285</v>
      </c>
      <c r="X1821" s="584">
        <f t="shared" si="964"/>
        <v>0.42857142857142855</v>
      </c>
      <c r="Y1821" s="584">
        <f t="shared" si="965"/>
        <v>1.4285714285714284</v>
      </c>
      <c r="Z1821" s="584">
        <f t="shared" si="966"/>
        <v>2.5714285714285712</v>
      </c>
      <c r="AA1821" s="584">
        <f t="shared" si="967"/>
        <v>7.1428571428571425E-2</v>
      </c>
      <c r="AB1821" s="584">
        <f>IFERROR(VLOOKUP(T1821, $E$5:$O$818, 9, FALSE) * (U1821 / VLOOKUP(T1821, $E$5:$O$818, 2, FALSE)), "")</f>
        <v>0</v>
      </c>
      <c r="AC1821" s="581"/>
    </row>
    <row r="1822" spans="17:29">
      <c r="Q1822" s="585"/>
      <c r="R1822" s="586" t="s">
        <v>217</v>
      </c>
      <c r="S1822" s="587"/>
      <c r="T1822" s="588"/>
      <c r="U1822" s="588"/>
      <c r="V1822" s="589"/>
      <c r="W1822" s="590">
        <f t="shared" ref="W1822:AB1822" si="970">SUM(W1808:W1821)</f>
        <v>2797.0457142857144</v>
      </c>
      <c r="X1822" s="590">
        <f t="shared" si="970"/>
        <v>174.91857142857143</v>
      </c>
      <c r="Y1822" s="590">
        <f t="shared" si="970"/>
        <v>72.858571428571437</v>
      </c>
      <c r="Z1822" s="590">
        <f t="shared" si="970"/>
        <v>352.35142857142858</v>
      </c>
      <c r="AA1822" s="688">
        <f t="shared" si="970"/>
        <v>39.351428571428571</v>
      </c>
      <c r="AB1822" s="691">
        <f t="shared" si="970"/>
        <v>1300</v>
      </c>
      <c r="AC1822" s="586"/>
    </row>
    <row r="1823" spans="17:29">
      <c r="Q1823" s="585"/>
      <c r="R1823" s="586" t="s">
        <v>220</v>
      </c>
      <c r="S1823" s="587"/>
      <c r="T1823" s="588"/>
      <c r="U1823" s="588"/>
      <c r="V1823" s="589"/>
      <c r="W1823" s="591">
        <f>$B$27</f>
        <v>2834.5625</v>
      </c>
      <c r="X1823" s="591">
        <f>$B$29</f>
        <v>154</v>
      </c>
      <c r="Y1823" s="591">
        <f>$B$30</f>
        <v>63.91</v>
      </c>
      <c r="Z1823" s="591">
        <f>$B$31</f>
        <v>410.84312499999999</v>
      </c>
      <c r="AA1823" s="642">
        <f>$B$32</f>
        <v>39.683875</v>
      </c>
      <c r="AB1823" s="695">
        <f>$B$39</f>
        <v>500</v>
      </c>
      <c r="AC1823" s="586"/>
    </row>
    <row r="1824" spans="17:29">
      <c r="Q1824" s="585"/>
      <c r="R1824" s="586" t="s">
        <v>222</v>
      </c>
      <c r="S1824" s="587"/>
      <c r="T1824" s="588"/>
      <c r="U1824" s="588"/>
      <c r="V1824" s="589"/>
      <c r="W1824" s="284">
        <f t="shared" ref="W1824:AB1824" si="971">W1822-W1823</f>
        <v>-37.516785714285561</v>
      </c>
      <c r="X1824" s="284">
        <f t="shared" si="971"/>
        <v>20.918571428571425</v>
      </c>
      <c r="Y1824" s="284">
        <f t="shared" si="971"/>
        <v>8.9485714285714408</v>
      </c>
      <c r="Z1824" s="284">
        <f t="shared" si="971"/>
        <v>-58.491696428571402</v>
      </c>
      <c r="AA1824" s="690">
        <f t="shared" si="971"/>
        <v>-0.33244642857142992</v>
      </c>
      <c r="AB1824" s="689">
        <f t="shared" si="971"/>
        <v>800</v>
      </c>
      <c r="AC1824" s="586"/>
    </row>
    <row r="1825" spans="17:29">
      <c r="Q1825" s="579">
        <v>46142</v>
      </c>
      <c r="R1825" s="580">
        <v>0.25</v>
      </c>
      <c r="S1825" s="581" t="s">
        <v>289</v>
      </c>
      <c r="T1825" s="581" t="s">
        <v>1104</v>
      </c>
      <c r="U1825" s="582">
        <v>6</v>
      </c>
      <c r="V1825" s="583" t="str">
        <f t="shared" ref="V1825:V1832" si="972">IFERROR(VLOOKUP(T1825, $E$5:$L$818, 3, FALSE), "")</f>
        <v>g</v>
      </c>
      <c r="W1825" s="584">
        <f t="shared" ref="W1825:W1835" si="973">IFERROR(VLOOKUP(T1825, $E$5:$L$818, 4, FALSE) * (U1825 / VLOOKUP(T1825, $E$5:$L$818, 2, FALSE)), "")</f>
        <v>28.799999999999997</v>
      </c>
      <c r="X1825" s="584">
        <f t="shared" ref="X1825:X1837" si="974">IFERROR(VLOOKUP(T1825, $E$5:$L$818, 5, FALSE) * (U1825 / VLOOKUP(T1825, $E$5:$L$818, 2, FALSE)), "")</f>
        <v>1.2</v>
      </c>
      <c r="Y1825" s="584">
        <f t="shared" ref="Y1825:Y1837" si="975">IFERROR(VLOOKUP(T1825, $E$5:$L$818, 6, FALSE) * (U1825 / VLOOKUP(T1825, $E$5:$L$818, 2, FALSE)), "")</f>
        <v>2.4</v>
      </c>
      <c r="Z1825" s="584">
        <f t="shared" ref="Z1825:Z1837" si="976">IFERROR(VLOOKUP(T1825, $E$5:$L$818, 7, FALSE) * (U1825 / VLOOKUP(T1825, $E$5:$L$818, 2, FALSE)), "")</f>
        <v>2.4</v>
      </c>
      <c r="AA1825" s="584">
        <f t="shared" ref="AA1825:AA1837" si="977">IFERROR(VLOOKUP(T1825, $E$5:$L$818, 8, FALSE) * (U1825 / VLOOKUP(T1825, $E$5:$L$818, 2, FALSE)), "")</f>
        <v>2.4</v>
      </c>
      <c r="AB1825" s="674">
        <f t="shared" ref="AB1825:AB1834" si="978">IFERROR(VLOOKUP(T1825, $E$5:$O$818, 9, FALSE) * (U1825 / VLOOKUP(T1825, $E$5:$O$818, 2, FALSE)), "")</f>
        <v>0</v>
      </c>
      <c r="AC1825" s="581"/>
    </row>
    <row r="1826" spans="17:29">
      <c r="Q1826" s="579">
        <v>46142</v>
      </c>
      <c r="R1826" s="580">
        <v>0.33333333333333331</v>
      </c>
      <c r="S1826" s="581" t="s">
        <v>289</v>
      </c>
      <c r="T1826" s="581" t="s">
        <v>181</v>
      </c>
      <c r="U1826" s="582">
        <v>2</v>
      </c>
      <c r="V1826" s="583" t="str">
        <f t="shared" si="972"/>
        <v>slice</v>
      </c>
      <c r="W1826" s="584">
        <f t="shared" si="973"/>
        <v>140</v>
      </c>
      <c r="X1826" s="584">
        <f t="shared" si="974"/>
        <v>5</v>
      </c>
      <c r="Y1826" s="584">
        <f t="shared" si="975"/>
        <v>2.5</v>
      </c>
      <c r="Z1826" s="584">
        <f t="shared" si="976"/>
        <v>24</v>
      </c>
      <c r="AA1826" s="584">
        <f t="shared" si="977"/>
        <v>2</v>
      </c>
      <c r="AB1826" s="584">
        <f t="shared" si="978"/>
        <v>0</v>
      </c>
      <c r="AC1826" s="581"/>
    </row>
    <row r="1827" spans="17:29">
      <c r="Q1827" s="579">
        <v>46142</v>
      </c>
      <c r="R1827" s="580">
        <v>0.33333333333333331</v>
      </c>
      <c r="S1827" s="581" t="s">
        <v>289</v>
      </c>
      <c r="T1827" s="581" t="s">
        <v>204</v>
      </c>
      <c r="U1827" s="582">
        <v>2</v>
      </c>
      <c r="V1827" s="583" t="str">
        <f t="shared" si="972"/>
        <v>tbsp</v>
      </c>
      <c r="W1827" s="584">
        <f t="shared" si="973"/>
        <v>100</v>
      </c>
      <c r="X1827" s="584">
        <f t="shared" si="974"/>
        <v>2</v>
      </c>
      <c r="Y1827" s="584">
        <f t="shared" si="975"/>
        <v>10</v>
      </c>
      <c r="Z1827" s="584">
        <f t="shared" si="976"/>
        <v>2</v>
      </c>
      <c r="AA1827" s="584">
        <f t="shared" si="977"/>
        <v>0</v>
      </c>
      <c r="AB1827" s="584">
        <f t="shared" si="978"/>
        <v>0</v>
      </c>
      <c r="AC1827" s="581"/>
    </row>
    <row r="1828" spans="17:29">
      <c r="Q1828" s="579">
        <v>46142</v>
      </c>
      <c r="R1828" s="580">
        <v>0.41666666666666669</v>
      </c>
      <c r="S1828" s="581" t="s">
        <v>289</v>
      </c>
      <c r="T1828" s="581" t="s">
        <v>856</v>
      </c>
      <c r="U1828" s="582">
        <v>50</v>
      </c>
      <c r="V1828" s="583" t="str">
        <f t="shared" si="972"/>
        <v>g</v>
      </c>
      <c r="W1828" s="584">
        <f t="shared" si="973"/>
        <v>30</v>
      </c>
      <c r="X1828" s="584">
        <f t="shared" si="974"/>
        <v>0.5</v>
      </c>
      <c r="Y1828" s="584">
        <f t="shared" si="975"/>
        <v>0</v>
      </c>
      <c r="Z1828" s="584">
        <f t="shared" si="976"/>
        <v>7.5</v>
      </c>
      <c r="AA1828" s="584">
        <f t="shared" si="977"/>
        <v>1</v>
      </c>
      <c r="AB1828" s="584">
        <f t="shared" si="978"/>
        <v>0</v>
      </c>
      <c r="AC1828" s="581"/>
    </row>
    <row r="1829" spans="17:29">
      <c r="Q1829" s="579">
        <v>46142</v>
      </c>
      <c r="R1829" s="580">
        <v>0.41666666666666669</v>
      </c>
      <c r="S1829" s="581" t="s">
        <v>289</v>
      </c>
      <c r="T1829" s="581" t="s">
        <v>295</v>
      </c>
      <c r="U1829" s="582">
        <v>1</v>
      </c>
      <c r="V1829" s="583" t="str">
        <f t="shared" si="972"/>
        <v>bottle</v>
      </c>
      <c r="W1829" s="584">
        <f t="shared" si="973"/>
        <v>200</v>
      </c>
      <c r="X1829" s="584">
        <f t="shared" si="974"/>
        <v>35</v>
      </c>
      <c r="Y1829" s="584">
        <f t="shared" si="975"/>
        <v>2.5</v>
      </c>
      <c r="Z1829" s="584">
        <f t="shared" si="976"/>
        <v>9</v>
      </c>
      <c r="AA1829" s="584">
        <f t="shared" si="977"/>
        <v>0</v>
      </c>
      <c r="AB1829" s="584">
        <f t="shared" si="978"/>
        <v>0</v>
      </c>
      <c r="AC1829" s="581"/>
    </row>
    <row r="1830" spans="17:29">
      <c r="Q1830" s="579">
        <v>46142</v>
      </c>
      <c r="R1830" s="580">
        <v>0.54166666666666663</v>
      </c>
      <c r="S1830" s="581" t="s">
        <v>185</v>
      </c>
      <c r="T1830" s="581" t="s">
        <v>243</v>
      </c>
      <c r="U1830" s="582">
        <v>1.5</v>
      </c>
      <c r="V1830" s="583" t="str">
        <f t="shared" si="972"/>
        <v>large plate</v>
      </c>
      <c r="W1830" s="584">
        <f t="shared" si="973"/>
        <v>975</v>
      </c>
      <c r="X1830" s="584">
        <f t="shared" si="974"/>
        <v>37.5</v>
      </c>
      <c r="Y1830" s="584">
        <f t="shared" si="975"/>
        <v>37.5</v>
      </c>
      <c r="Z1830" s="584">
        <f t="shared" si="976"/>
        <v>112.5</v>
      </c>
      <c r="AA1830" s="584">
        <f t="shared" si="977"/>
        <v>3</v>
      </c>
      <c r="AB1830" s="584">
        <f t="shared" si="978"/>
        <v>0</v>
      </c>
      <c r="AC1830" s="581"/>
    </row>
    <row r="1831" spans="17:29">
      <c r="Q1831" s="579">
        <v>46142</v>
      </c>
      <c r="R1831" s="580">
        <v>0.58333333333333337</v>
      </c>
      <c r="S1831" s="581" t="s">
        <v>289</v>
      </c>
      <c r="T1831" s="581" t="s">
        <v>1107</v>
      </c>
      <c r="U1831" s="582">
        <v>1</v>
      </c>
      <c r="V1831" s="583" t="str">
        <f t="shared" si="972"/>
        <v>cup</v>
      </c>
      <c r="W1831" s="584">
        <f t="shared" si="973"/>
        <v>120</v>
      </c>
      <c r="X1831" s="584">
        <f t="shared" si="974"/>
        <v>1</v>
      </c>
      <c r="Y1831" s="584">
        <f t="shared" si="975"/>
        <v>0</v>
      </c>
      <c r="Z1831" s="584">
        <f t="shared" si="976"/>
        <v>28</v>
      </c>
      <c r="AA1831" s="584">
        <f t="shared" si="977"/>
        <v>0</v>
      </c>
      <c r="AB1831" s="584">
        <f t="shared" si="978"/>
        <v>0</v>
      </c>
      <c r="AC1831" s="581"/>
    </row>
    <row r="1832" spans="17:29">
      <c r="Q1832" s="579">
        <v>46142</v>
      </c>
      <c r="R1832" s="580">
        <v>0.54166666666666663</v>
      </c>
      <c r="S1832" s="581" t="s">
        <v>289</v>
      </c>
      <c r="T1832" s="581" t="s">
        <v>464</v>
      </c>
      <c r="U1832" s="582">
        <v>2</v>
      </c>
      <c r="V1832" s="583" t="str">
        <f t="shared" si="972"/>
        <v>lozenge</v>
      </c>
      <c r="W1832" s="584">
        <f t="shared" si="973"/>
        <v>20</v>
      </c>
      <c r="X1832" s="584">
        <f t="shared" si="974"/>
        <v>0</v>
      </c>
      <c r="Y1832" s="584">
        <f t="shared" si="975"/>
        <v>0</v>
      </c>
      <c r="Z1832" s="584">
        <f t="shared" si="976"/>
        <v>6</v>
      </c>
      <c r="AA1832" s="584">
        <f t="shared" si="977"/>
        <v>0</v>
      </c>
      <c r="AB1832" s="584">
        <f t="shared" si="978"/>
        <v>0</v>
      </c>
      <c r="AC1832" s="581"/>
    </row>
    <row r="1833" spans="17:29">
      <c r="Q1833" s="579">
        <v>46142</v>
      </c>
      <c r="R1833" s="580">
        <v>0.70833333333333337</v>
      </c>
      <c r="S1833" s="581" t="s">
        <v>289</v>
      </c>
      <c r="T1833" s="581" t="s">
        <v>827</v>
      </c>
      <c r="U1833" s="582">
        <v>1</v>
      </c>
      <c r="V1833" s="583" t="str">
        <f t="shared" ref="V1833:V1837" si="979">IFERROR(VLOOKUP(T1833, $E$5:$L$818, 3, FALSE), "")</f>
        <v>pack</v>
      </c>
      <c r="W1833" s="584">
        <f t="shared" si="973"/>
        <v>20</v>
      </c>
      <c r="X1833" s="584">
        <f t="shared" si="974"/>
        <v>0</v>
      </c>
      <c r="Y1833" s="584">
        <f t="shared" si="975"/>
        <v>0.5</v>
      </c>
      <c r="Z1833" s="584">
        <f t="shared" si="976"/>
        <v>3</v>
      </c>
      <c r="AA1833" s="584">
        <f t="shared" si="977"/>
        <v>0</v>
      </c>
      <c r="AB1833" s="584">
        <f t="shared" si="978"/>
        <v>0</v>
      </c>
      <c r="AC1833" s="581"/>
    </row>
    <row r="1834" spans="17:29">
      <c r="Q1834" s="579">
        <v>46142</v>
      </c>
      <c r="R1834" s="580">
        <v>0.70833333333333337</v>
      </c>
      <c r="S1834" s="581" t="s">
        <v>289</v>
      </c>
      <c r="T1834" s="581" t="s">
        <v>423</v>
      </c>
      <c r="U1834" s="582">
        <v>2</v>
      </c>
      <c r="V1834" s="583" t="str">
        <f t="shared" si="979"/>
        <v>pieces</v>
      </c>
      <c r="W1834" s="584">
        <f t="shared" si="973"/>
        <v>15</v>
      </c>
      <c r="X1834" s="584">
        <f t="shared" si="974"/>
        <v>0</v>
      </c>
      <c r="Y1834" s="584">
        <f t="shared" si="975"/>
        <v>0</v>
      </c>
      <c r="Z1834" s="584">
        <f t="shared" si="976"/>
        <v>3</v>
      </c>
      <c r="AA1834" s="584">
        <f t="shared" si="977"/>
        <v>0</v>
      </c>
      <c r="AB1834" s="584">
        <f t="shared" si="978"/>
        <v>0</v>
      </c>
      <c r="AC1834" s="581"/>
    </row>
    <row r="1835" spans="17:29">
      <c r="Q1835" s="579">
        <v>46142</v>
      </c>
      <c r="R1835" s="580">
        <v>0.875</v>
      </c>
      <c r="S1835" s="581" t="s">
        <v>199</v>
      </c>
      <c r="T1835" s="581" t="s">
        <v>176</v>
      </c>
      <c r="U1835" s="582">
        <v>200</v>
      </c>
      <c r="V1835" s="583" t="str">
        <f t="shared" si="979"/>
        <v>g</v>
      </c>
      <c r="W1835" s="584">
        <f t="shared" si="973"/>
        <v>330</v>
      </c>
      <c r="X1835" s="584">
        <f t="shared" si="974"/>
        <v>50</v>
      </c>
      <c r="Y1835" s="584">
        <f t="shared" si="975"/>
        <v>7.2</v>
      </c>
      <c r="Z1835" s="584">
        <f t="shared" si="976"/>
        <v>0</v>
      </c>
      <c r="AA1835" s="584">
        <f t="shared" si="977"/>
        <v>0</v>
      </c>
      <c r="AB1835" s="584">
        <f>IFERROR(VLOOKUP(T1835, $E$5:$O$818, 9, FALSE) * (U1835 / VLOOKUP(T1835, $E$5:$O$818, 2, FALSE)), "")</f>
        <v>0</v>
      </c>
      <c r="AC1835" s="581"/>
    </row>
    <row r="1836" spans="17:29">
      <c r="Q1836" s="579">
        <v>46142</v>
      </c>
      <c r="R1836" s="580">
        <v>0.875</v>
      </c>
      <c r="S1836" s="581" t="s">
        <v>199</v>
      </c>
      <c r="T1836" s="581" t="s">
        <v>180</v>
      </c>
      <c r="U1836" s="582">
        <v>250</v>
      </c>
      <c r="V1836" s="583" t="str">
        <f t="shared" si="979"/>
        <v>g</v>
      </c>
      <c r="W1836" s="584">
        <f>IFERROR(VLOOKUP(T1836, $E$5:$L$818, 4, FALSE) * (U1836 / VLOOKUP(T1836, $E$5:$L$818, 2, FALSE)), "")</f>
        <v>325</v>
      </c>
      <c r="X1836" s="584">
        <f t="shared" si="974"/>
        <v>6.75</v>
      </c>
      <c r="Y1836" s="584">
        <f t="shared" si="975"/>
        <v>0.75</v>
      </c>
      <c r="Z1836" s="584">
        <f t="shared" si="976"/>
        <v>70</v>
      </c>
      <c r="AA1836" s="584">
        <f t="shared" si="977"/>
        <v>1</v>
      </c>
      <c r="AB1836" s="584">
        <f>IFERROR(VLOOKUP(T1836, $E$5:$O$818, 9, FALSE) * (U1836 / VLOOKUP(T1836, $E$5:$O$818, 2, FALSE)), "")</f>
        <v>0</v>
      </c>
      <c r="AC1836" s="581"/>
    </row>
    <row r="1837" spans="17:29">
      <c r="Q1837" s="579">
        <v>46142</v>
      </c>
      <c r="R1837" s="580">
        <v>0.91666666666666663</v>
      </c>
      <c r="S1837" s="581" t="s">
        <v>289</v>
      </c>
      <c r="T1837" s="581" t="s">
        <v>1106</v>
      </c>
      <c r="U1837" s="582">
        <v>1</v>
      </c>
      <c r="V1837" s="583" t="str">
        <f t="shared" si="979"/>
        <v>plate</v>
      </c>
      <c r="W1837" s="584">
        <f t="shared" ref="W1837" si="980">IFERROR(VLOOKUP(T1837, $E$5:$L$818, 4, FALSE) * (U1837 / VLOOKUP(T1837, $E$5:$L$818, 2, FALSE)), "")</f>
        <v>420</v>
      </c>
      <c r="X1837" s="584">
        <f t="shared" si="974"/>
        <v>18</v>
      </c>
      <c r="Y1837" s="584">
        <f t="shared" si="975"/>
        <v>12</v>
      </c>
      <c r="Z1837" s="584">
        <f t="shared" si="976"/>
        <v>58</v>
      </c>
      <c r="AA1837" s="584">
        <f t="shared" si="977"/>
        <v>4</v>
      </c>
      <c r="AB1837" s="584">
        <f>IFERROR(VLOOKUP(T1837, $E$5:$O$818, 9, FALSE) * (U1837 / VLOOKUP(T1837, $E$5:$O$818, 2, FALSE)), "")</f>
        <v>0</v>
      </c>
      <c r="AC1837" s="581"/>
    </row>
    <row r="1838" spans="17:29">
      <c r="Q1838" s="585"/>
      <c r="R1838" s="586" t="s">
        <v>217</v>
      </c>
      <c r="S1838" s="587"/>
      <c r="T1838" s="588"/>
      <c r="U1838" s="588"/>
      <c r="V1838" s="589"/>
      <c r="W1838" s="590">
        <f t="shared" ref="W1838:AB1838" si="981">SUM(W1825:W1837)</f>
        <v>2723.8</v>
      </c>
      <c r="X1838" s="590">
        <f t="shared" si="981"/>
        <v>156.94999999999999</v>
      </c>
      <c r="Y1838" s="590">
        <f t="shared" si="981"/>
        <v>75.349999999999994</v>
      </c>
      <c r="Z1838" s="590">
        <f t="shared" si="981"/>
        <v>325.39999999999998</v>
      </c>
      <c r="AA1838" s="688">
        <f t="shared" si="981"/>
        <v>13.4</v>
      </c>
      <c r="AB1838" s="691">
        <f t="shared" si="981"/>
        <v>0</v>
      </c>
      <c r="AC1838" s="586"/>
    </row>
    <row r="1839" spans="17:29">
      <c r="Q1839" s="585"/>
      <c r="R1839" s="586" t="s">
        <v>220</v>
      </c>
      <c r="S1839" s="587"/>
      <c r="T1839" s="588"/>
      <c r="U1839" s="588"/>
      <c r="V1839" s="589"/>
      <c r="W1839" s="591">
        <f>$B$27</f>
        <v>2834.5625</v>
      </c>
      <c r="X1839" s="591">
        <f>$B$29</f>
        <v>154</v>
      </c>
      <c r="Y1839" s="591">
        <f>$B$30</f>
        <v>63.91</v>
      </c>
      <c r="Z1839" s="591">
        <f>$B$31</f>
        <v>410.84312499999999</v>
      </c>
      <c r="AA1839" s="642">
        <f>$B$32</f>
        <v>39.683875</v>
      </c>
      <c r="AB1839" s="695">
        <f>$B$39</f>
        <v>500</v>
      </c>
      <c r="AC1839" s="586"/>
    </row>
    <row r="1840" spans="17:29">
      <c r="Q1840" s="585"/>
      <c r="R1840" s="586" t="s">
        <v>222</v>
      </c>
      <c r="S1840" s="587"/>
      <c r="T1840" s="588"/>
      <c r="U1840" s="588"/>
      <c r="V1840" s="589"/>
      <c r="W1840" s="284">
        <f t="shared" ref="W1840:AB1840" si="982">W1838-W1839</f>
        <v>-110.76249999999982</v>
      </c>
      <c r="X1840" s="284">
        <f t="shared" si="982"/>
        <v>2.9499999999999886</v>
      </c>
      <c r="Y1840" s="284">
        <f t="shared" si="982"/>
        <v>11.439999999999998</v>
      </c>
      <c r="Z1840" s="284">
        <f t="shared" si="982"/>
        <v>-85.443125000000009</v>
      </c>
      <c r="AA1840" s="690">
        <f t="shared" si="982"/>
        <v>-26.283875000000002</v>
      </c>
      <c r="AB1840" s="689">
        <f t="shared" si="982"/>
        <v>-500</v>
      </c>
      <c r="AC1840" s="586"/>
    </row>
    <row r="1841" spans="17:29">
      <c r="Q1841" s="579">
        <v>46143</v>
      </c>
      <c r="R1841" s="580">
        <v>0.45833333333333331</v>
      </c>
      <c r="S1841" s="581" t="s">
        <v>289</v>
      </c>
      <c r="T1841" s="581" t="s">
        <v>1076</v>
      </c>
      <c r="U1841" s="582">
        <v>1</v>
      </c>
      <c r="V1841" s="583" t="str">
        <f t="shared" ref="V1841:V1847" si="983">IFERROR(VLOOKUP(T1841, $E$5:$L$818, 3, FALSE), "")</f>
        <v>pounch</v>
      </c>
      <c r="W1841" s="584">
        <f t="shared" ref="W1841:W1847" si="984">IFERROR(VLOOKUP(T1841, $E$5:$L$818, 4, FALSE) * (U1841 / VLOOKUP(T1841, $E$5:$L$818, 2, FALSE)), "")</f>
        <v>45</v>
      </c>
      <c r="X1841" s="584">
        <f t="shared" ref="X1841:X1847" si="985">IFERROR(VLOOKUP(T1841, $E$5:$L$818, 5, FALSE) * (U1841 / VLOOKUP(T1841, $E$5:$L$818, 2, FALSE)), "")</f>
        <v>0</v>
      </c>
      <c r="Y1841" s="584">
        <f t="shared" ref="Y1841:Y1847" si="986">IFERROR(VLOOKUP(T1841, $E$5:$L$818, 6, FALSE) * (U1841 / VLOOKUP(T1841, $E$5:$L$818, 2, FALSE)), "")</f>
        <v>0</v>
      </c>
      <c r="Z1841" s="584">
        <f t="shared" ref="Z1841:Z1847" si="987">IFERROR(VLOOKUP(T1841, $E$5:$L$818, 7, FALSE) * (U1841 / VLOOKUP(T1841, $E$5:$L$818, 2, FALSE)), "")</f>
        <v>11</v>
      </c>
      <c r="AA1841" s="584">
        <f t="shared" ref="AA1841:AA1847" si="988">IFERROR(VLOOKUP(T1841, $E$5:$L$818, 8, FALSE) * (U1841 / VLOOKUP(T1841, $E$5:$L$818, 2, FALSE)), "")</f>
        <v>0</v>
      </c>
      <c r="AB1841" s="674">
        <f>IFERROR(VLOOKUP(T1841, $E$5:$O$818, 9, FALSE) * (U1841 / VLOOKUP(T1841, $E$5:$O$818, 2, FALSE)), "")</f>
        <v>0</v>
      </c>
      <c r="AC1841" s="581"/>
    </row>
    <row r="1842" spans="17:29">
      <c r="Q1842" s="579">
        <v>46143</v>
      </c>
      <c r="R1842" s="580">
        <v>0.5</v>
      </c>
      <c r="S1842" s="581" t="s">
        <v>185</v>
      </c>
      <c r="T1842" s="581" t="s">
        <v>243</v>
      </c>
      <c r="U1842" s="582">
        <v>1</v>
      </c>
      <c r="V1842" s="583" t="str">
        <f t="shared" si="983"/>
        <v>large plate</v>
      </c>
      <c r="W1842" s="584">
        <f t="shared" si="984"/>
        <v>650</v>
      </c>
      <c r="X1842" s="584">
        <f t="shared" si="985"/>
        <v>25</v>
      </c>
      <c r="Y1842" s="584">
        <f t="shared" si="986"/>
        <v>25</v>
      </c>
      <c r="Z1842" s="584">
        <f t="shared" si="987"/>
        <v>75</v>
      </c>
      <c r="AA1842" s="584">
        <f t="shared" si="988"/>
        <v>2</v>
      </c>
      <c r="AB1842" s="584">
        <f>IFERROR(VLOOKUP(T1842, $E$5:$O$818, 9, FALSE) * (U1842 / VLOOKUP(T1842, $E$5:$O$818, 2, FALSE)), "")</f>
        <v>0</v>
      </c>
      <c r="AC1842" s="581"/>
    </row>
    <row r="1843" spans="17:29">
      <c r="Q1843" s="579">
        <v>46143</v>
      </c>
      <c r="R1843" s="580">
        <v>0.5</v>
      </c>
      <c r="S1843" s="581" t="s">
        <v>185</v>
      </c>
      <c r="T1843" s="581" t="s">
        <v>824</v>
      </c>
      <c r="U1843" s="582">
        <v>50</v>
      </c>
      <c r="V1843" s="583" t="str">
        <f t="shared" si="983"/>
        <v>g</v>
      </c>
      <c r="W1843" s="584">
        <f t="shared" si="984"/>
        <v>300</v>
      </c>
      <c r="X1843" s="584">
        <f t="shared" si="985"/>
        <v>9</v>
      </c>
      <c r="Y1843" s="584">
        <f t="shared" si="986"/>
        <v>27</v>
      </c>
      <c r="Z1843" s="584">
        <f t="shared" si="987"/>
        <v>3</v>
      </c>
      <c r="AA1843" s="584">
        <f t="shared" si="988"/>
        <v>0</v>
      </c>
      <c r="AB1843" s="584">
        <f>IFERROR(VLOOKUP(T1843, $E$5:$O$818, 9, FALSE) * (U1843 / VLOOKUP(T1843, $E$5:$O$818, 2, FALSE)), "")</f>
        <v>0</v>
      </c>
      <c r="AC1843" s="581"/>
    </row>
    <row r="1844" spans="17:29">
      <c r="Q1844" s="579">
        <v>46143</v>
      </c>
      <c r="R1844" s="580">
        <v>0.54166666666666663</v>
      </c>
      <c r="S1844" s="581" t="s">
        <v>185</v>
      </c>
      <c r="T1844" s="581" t="s">
        <v>1114</v>
      </c>
      <c r="U1844" s="582">
        <v>1</v>
      </c>
      <c r="V1844" s="583" t="str">
        <f t="shared" si="983"/>
        <v>bottle</v>
      </c>
      <c r="W1844" s="584">
        <f t="shared" si="984"/>
        <v>380</v>
      </c>
      <c r="X1844" s="584">
        <f t="shared" si="985"/>
        <v>72</v>
      </c>
      <c r="Y1844" s="584">
        <f t="shared" si="986"/>
        <v>3</v>
      </c>
      <c r="Z1844" s="584">
        <f t="shared" si="987"/>
        <v>12</v>
      </c>
      <c r="AA1844" s="584">
        <f t="shared" si="988"/>
        <v>2</v>
      </c>
      <c r="AB1844" s="584">
        <f>IFERROR(VLOOKUP(T1844, $E$5:$O$818, 9, FALSE) * (U1844 / VLOOKUP(T1844, $E$5:$O$818, 2, FALSE)), "")</f>
        <v>0</v>
      </c>
      <c r="AC1844" s="581"/>
    </row>
    <row r="1845" spans="17:29">
      <c r="Q1845" s="579">
        <v>46143</v>
      </c>
      <c r="R1845" s="580">
        <v>0.66666666666666663</v>
      </c>
      <c r="S1845" s="581" t="s">
        <v>289</v>
      </c>
      <c r="T1845" s="581" t="s">
        <v>618</v>
      </c>
      <c r="U1845" s="582">
        <v>5</v>
      </c>
      <c r="V1845" s="583" t="str">
        <f t="shared" si="983"/>
        <v>pieces</v>
      </c>
      <c r="W1845" s="584">
        <f t="shared" si="984"/>
        <v>800</v>
      </c>
      <c r="X1845" s="584">
        <f t="shared" si="985"/>
        <v>63.333333333333336</v>
      </c>
      <c r="Y1845" s="584">
        <f t="shared" si="986"/>
        <v>43.333333333333336</v>
      </c>
      <c r="Z1845" s="584">
        <f t="shared" si="987"/>
        <v>46.666666666666671</v>
      </c>
      <c r="AA1845" s="584">
        <f t="shared" si="988"/>
        <v>1.6666666666666667</v>
      </c>
      <c r="AB1845" s="584">
        <f>IFERROR(VLOOKUP(T1845, $E$5:$O$818, 9, FALSE) * (U1845 / VLOOKUP(T1845, $E$5:$O$818, 2, FALSE)), "")</f>
        <v>0</v>
      </c>
      <c r="AC1845" s="581"/>
    </row>
    <row r="1846" spans="17:29">
      <c r="Q1846" s="579">
        <v>46143</v>
      </c>
      <c r="R1846" s="580">
        <v>0</v>
      </c>
      <c r="S1846" s="581" t="s">
        <v>199</v>
      </c>
      <c r="T1846" s="581" t="s">
        <v>181</v>
      </c>
      <c r="U1846" s="582">
        <v>10</v>
      </c>
      <c r="V1846" s="583" t="str">
        <f t="shared" si="983"/>
        <v>slice</v>
      </c>
      <c r="W1846" s="584">
        <f t="shared" si="984"/>
        <v>700</v>
      </c>
      <c r="X1846" s="584">
        <f t="shared" si="985"/>
        <v>25</v>
      </c>
      <c r="Y1846" s="584">
        <f t="shared" si="986"/>
        <v>12.5</v>
      </c>
      <c r="Z1846" s="584">
        <f t="shared" si="987"/>
        <v>120</v>
      </c>
      <c r="AA1846" s="584">
        <f t="shared" si="988"/>
        <v>10</v>
      </c>
      <c r="AB1846" s="584"/>
      <c r="AC1846" s="581"/>
    </row>
    <row r="1847" spans="17:29">
      <c r="Q1847" s="579">
        <v>46143</v>
      </c>
      <c r="R1847" s="580">
        <v>0</v>
      </c>
      <c r="S1847" s="581" t="s">
        <v>199</v>
      </c>
      <c r="T1847" s="581" t="s">
        <v>204</v>
      </c>
      <c r="U1847" s="582">
        <v>4</v>
      </c>
      <c r="V1847" s="583" t="str">
        <f t="shared" si="983"/>
        <v>tbsp</v>
      </c>
      <c r="W1847" s="584">
        <f t="shared" si="984"/>
        <v>200</v>
      </c>
      <c r="X1847" s="584">
        <f t="shared" si="985"/>
        <v>4</v>
      </c>
      <c r="Y1847" s="584">
        <f t="shared" si="986"/>
        <v>20</v>
      </c>
      <c r="Z1847" s="584">
        <f t="shared" si="987"/>
        <v>4</v>
      </c>
      <c r="AA1847" s="584">
        <f t="shared" si="988"/>
        <v>0</v>
      </c>
      <c r="AB1847" s="584">
        <f>IFERROR(VLOOKUP(T1847, $E$5:$O$818, 9, FALSE) * (U1847 / VLOOKUP(T1847, $E$5:$O$818, 2, FALSE)), "")</f>
        <v>0</v>
      </c>
      <c r="AC1847" s="581"/>
    </row>
    <row r="1848" spans="17:29">
      <c r="Q1848" s="585"/>
      <c r="R1848" s="586" t="s">
        <v>217</v>
      </c>
      <c r="S1848" s="587"/>
      <c r="T1848" s="588"/>
      <c r="U1848" s="588"/>
      <c r="V1848" s="589"/>
      <c r="W1848" s="590">
        <f t="shared" ref="W1848:AB1848" si="989">SUM(W1841:W1847)</f>
        <v>3075</v>
      </c>
      <c r="X1848" s="590">
        <f t="shared" si="989"/>
        <v>198.33333333333334</v>
      </c>
      <c r="Y1848" s="590">
        <f t="shared" si="989"/>
        <v>130.83333333333334</v>
      </c>
      <c r="Z1848" s="590">
        <f t="shared" si="989"/>
        <v>271.66666666666669</v>
      </c>
      <c r="AA1848" s="688">
        <f t="shared" si="989"/>
        <v>15.666666666666668</v>
      </c>
      <c r="AB1848" s="691">
        <f t="shared" si="989"/>
        <v>0</v>
      </c>
      <c r="AC1848" s="586"/>
    </row>
    <row r="1849" spans="17:29">
      <c r="Q1849" s="585"/>
      <c r="R1849" s="586" t="s">
        <v>220</v>
      </c>
      <c r="S1849" s="587"/>
      <c r="T1849" s="588"/>
      <c r="U1849" s="588"/>
      <c r="V1849" s="589"/>
      <c r="W1849" s="591">
        <f>$B$27</f>
        <v>2834.5625</v>
      </c>
      <c r="X1849" s="591">
        <f>$B$29</f>
        <v>154</v>
      </c>
      <c r="Y1849" s="591">
        <f>$B$30</f>
        <v>63.91</v>
      </c>
      <c r="Z1849" s="591">
        <f>$B$31</f>
        <v>410.84312499999999</v>
      </c>
      <c r="AA1849" s="642">
        <f>$B$32</f>
        <v>39.683875</v>
      </c>
      <c r="AB1849" s="695">
        <f>$B$39</f>
        <v>500</v>
      </c>
      <c r="AC1849" s="586"/>
    </row>
    <row r="1850" spans="17:29">
      <c r="Q1850" s="585"/>
      <c r="R1850" s="586" t="s">
        <v>222</v>
      </c>
      <c r="S1850" s="587"/>
      <c r="T1850" s="588"/>
      <c r="U1850" s="588"/>
      <c r="V1850" s="589"/>
      <c r="W1850" s="591">
        <f t="shared" ref="W1850:AB1850" si="990">W1848-W1849</f>
        <v>240.4375</v>
      </c>
      <c r="X1850" s="591">
        <f t="shared" si="990"/>
        <v>44.333333333333343</v>
      </c>
      <c r="Y1850" s="591">
        <f t="shared" si="990"/>
        <v>66.923333333333346</v>
      </c>
      <c r="Z1850" s="591">
        <f t="shared" si="990"/>
        <v>-139.1764583333333</v>
      </c>
      <c r="AA1850" s="642">
        <f t="shared" si="990"/>
        <v>-24.017208333333333</v>
      </c>
      <c r="AB1850" s="689">
        <f t="shared" si="990"/>
        <v>-500</v>
      </c>
      <c r="AC1850" s="586"/>
    </row>
    <row r="1851" spans="17:29">
      <c r="Q1851" s="579">
        <v>46144</v>
      </c>
      <c r="R1851" s="580">
        <v>0.41666666666666669</v>
      </c>
      <c r="S1851" s="581" t="s">
        <v>178</v>
      </c>
      <c r="T1851" s="581" t="s">
        <v>463</v>
      </c>
      <c r="U1851" s="582">
        <v>1</v>
      </c>
      <c r="V1851" s="583" t="str">
        <f t="shared" ref="V1851:V1864" si="991">IFERROR(VLOOKUP(T1851, $E$5:$L$818, 3, FALSE), "")</f>
        <v>bottle</v>
      </c>
      <c r="W1851" s="584">
        <f t="shared" ref="W1851:W1864" si="992">IFERROR(VLOOKUP(T1851, $E$5:$L$818, 4, FALSE) * (U1851 / VLOOKUP(T1851, $E$5:$L$818, 2, FALSE)), "")</f>
        <v>190</v>
      </c>
      <c r="X1851" s="584">
        <f t="shared" ref="X1851:X1864" si="993">IFERROR(VLOOKUP(T1851, $E$5:$L$818, 5, FALSE) * (U1851 / VLOOKUP(T1851, $E$5:$L$818, 2, FALSE)), "")</f>
        <v>35</v>
      </c>
      <c r="Y1851" s="584">
        <f t="shared" ref="Y1851:Y1864" si="994">IFERROR(VLOOKUP(T1851, $E$5:$L$818, 6, FALSE) * (U1851 / VLOOKUP(T1851, $E$5:$L$818, 2, FALSE)), "")</f>
        <v>2</v>
      </c>
      <c r="Z1851" s="584">
        <f t="shared" ref="Z1851:Z1864" si="995">IFERROR(VLOOKUP(T1851, $E$5:$L$818, 7, FALSE) * (U1851 / VLOOKUP(T1851, $E$5:$L$818, 2, FALSE)), "")</f>
        <v>9</v>
      </c>
      <c r="AA1851" s="584">
        <f t="shared" ref="AA1851:AA1864" si="996">IFERROR(VLOOKUP(T1851, $E$5:$L$818, 8, FALSE) * (U1851 / VLOOKUP(T1851, $E$5:$L$818, 2, FALSE)), "")</f>
        <v>0</v>
      </c>
      <c r="AB1851" s="674">
        <f t="shared" ref="AB1851:AB1863" si="997">IFERROR(VLOOKUP(T1851, $E$5:$O$818, 9, FALSE) * (U1851 / VLOOKUP(T1851, $E$5:$O$818, 2, FALSE)), "")</f>
        <v>0</v>
      </c>
      <c r="AC1851" s="581"/>
    </row>
    <row r="1852" spans="17:29">
      <c r="Q1852" s="579">
        <v>46144</v>
      </c>
      <c r="R1852" s="580">
        <v>0.41666666666666669</v>
      </c>
      <c r="S1852" s="581" t="s">
        <v>289</v>
      </c>
      <c r="T1852" s="581" t="s">
        <v>461</v>
      </c>
      <c r="U1852" s="582">
        <v>2</v>
      </c>
      <c r="V1852" s="583" t="str">
        <f t="shared" si="991"/>
        <v>chunks</v>
      </c>
      <c r="W1852" s="584">
        <f t="shared" si="992"/>
        <v>48.571428571428569</v>
      </c>
      <c r="X1852" s="584">
        <f t="shared" si="993"/>
        <v>0.8571428571428571</v>
      </c>
      <c r="Y1852" s="584">
        <f t="shared" si="994"/>
        <v>2.8571428571428568</v>
      </c>
      <c r="Z1852" s="584">
        <f t="shared" si="995"/>
        <v>5.1428571428571423</v>
      </c>
      <c r="AA1852" s="584">
        <f t="shared" si="996"/>
        <v>0.14285714285714285</v>
      </c>
      <c r="AB1852" s="584">
        <f t="shared" si="997"/>
        <v>0</v>
      </c>
      <c r="AC1852" s="581"/>
    </row>
    <row r="1853" spans="17:29">
      <c r="Q1853" s="579">
        <v>46144</v>
      </c>
      <c r="R1853" s="580">
        <v>0.54166666666666663</v>
      </c>
      <c r="S1853" s="581" t="s">
        <v>185</v>
      </c>
      <c r="T1853" s="581" t="s">
        <v>181</v>
      </c>
      <c r="U1853" s="582">
        <v>4</v>
      </c>
      <c r="V1853" s="583" t="str">
        <f t="shared" si="991"/>
        <v>slice</v>
      </c>
      <c r="W1853" s="584">
        <f t="shared" si="992"/>
        <v>280</v>
      </c>
      <c r="X1853" s="584">
        <f t="shared" si="993"/>
        <v>10</v>
      </c>
      <c r="Y1853" s="584">
        <f t="shared" si="994"/>
        <v>5</v>
      </c>
      <c r="Z1853" s="584">
        <f t="shared" si="995"/>
        <v>48</v>
      </c>
      <c r="AA1853" s="584">
        <f t="shared" si="996"/>
        <v>4</v>
      </c>
      <c r="AB1853" s="584">
        <f t="shared" si="997"/>
        <v>0</v>
      </c>
      <c r="AC1853" s="581"/>
    </row>
    <row r="1854" spans="17:29">
      <c r="Q1854" s="579">
        <v>46144</v>
      </c>
      <c r="R1854" s="580">
        <v>0.625</v>
      </c>
      <c r="S1854" s="581" t="s">
        <v>289</v>
      </c>
      <c r="T1854" s="581" t="s">
        <v>1115</v>
      </c>
      <c r="U1854" s="582">
        <v>1</v>
      </c>
      <c r="V1854" s="583" t="str">
        <f t="shared" si="991"/>
        <v>can</v>
      </c>
      <c r="W1854" s="584">
        <f t="shared" si="992"/>
        <v>0</v>
      </c>
      <c r="X1854" s="584">
        <f t="shared" si="993"/>
        <v>0</v>
      </c>
      <c r="Y1854" s="584">
        <f t="shared" si="994"/>
        <v>0</v>
      </c>
      <c r="Z1854" s="584">
        <f t="shared" si="995"/>
        <v>0</v>
      </c>
      <c r="AA1854" s="584">
        <f t="shared" si="996"/>
        <v>0</v>
      </c>
      <c r="AB1854" s="584">
        <f t="shared" si="997"/>
        <v>0</v>
      </c>
      <c r="AC1854" s="581"/>
    </row>
    <row r="1855" spans="17:29">
      <c r="Q1855" s="579">
        <v>46144</v>
      </c>
      <c r="R1855" s="580">
        <v>0.625</v>
      </c>
      <c r="S1855" s="581" t="s">
        <v>185</v>
      </c>
      <c r="T1855" s="581" t="s">
        <v>190</v>
      </c>
      <c r="U1855" s="582">
        <v>4</v>
      </c>
      <c r="V1855" s="583" t="str">
        <f t="shared" si="991"/>
        <v>medium</v>
      </c>
      <c r="W1855" s="584">
        <f t="shared" si="992"/>
        <v>248</v>
      </c>
      <c r="X1855" s="584">
        <f t="shared" si="993"/>
        <v>4.8</v>
      </c>
      <c r="Y1855" s="584">
        <f t="shared" si="994"/>
        <v>0.8</v>
      </c>
      <c r="Z1855" s="584">
        <f t="shared" si="995"/>
        <v>61.6</v>
      </c>
      <c r="AA1855" s="584">
        <f t="shared" si="996"/>
        <v>12.4</v>
      </c>
      <c r="AB1855" s="584">
        <f t="shared" si="997"/>
        <v>0</v>
      </c>
      <c r="AC1855" s="581"/>
    </row>
    <row r="1856" spans="17:29">
      <c r="Q1856" s="579">
        <v>46144</v>
      </c>
      <c r="R1856" s="580">
        <v>0.625</v>
      </c>
      <c r="S1856" s="581" t="s">
        <v>185</v>
      </c>
      <c r="T1856" s="581" t="s">
        <v>1117</v>
      </c>
      <c r="U1856" s="582">
        <v>300</v>
      </c>
      <c r="V1856" s="583" t="str">
        <f t="shared" si="991"/>
        <v>g</v>
      </c>
      <c r="W1856" s="584">
        <f t="shared" si="992"/>
        <v>282</v>
      </c>
      <c r="X1856" s="584">
        <f t="shared" si="993"/>
        <v>43.8</v>
      </c>
      <c r="Y1856" s="584">
        <f t="shared" si="994"/>
        <v>4.5</v>
      </c>
      <c r="Z1856" s="584">
        <f t="shared" si="995"/>
        <v>13.5</v>
      </c>
      <c r="AA1856" s="584">
        <f t="shared" si="996"/>
        <v>2.7</v>
      </c>
      <c r="AB1856" s="584">
        <f t="shared" si="997"/>
        <v>0</v>
      </c>
      <c r="AC1856" s="581"/>
    </row>
    <row r="1857" spans="17:29">
      <c r="Q1857" s="579">
        <v>46144</v>
      </c>
      <c r="R1857" s="580">
        <v>0.625</v>
      </c>
      <c r="S1857" s="581" t="s">
        <v>185</v>
      </c>
      <c r="T1857" s="581" t="s">
        <v>180</v>
      </c>
      <c r="U1857" s="582">
        <v>250</v>
      </c>
      <c r="V1857" s="583" t="str">
        <f t="shared" si="991"/>
        <v>g</v>
      </c>
      <c r="W1857" s="584">
        <f t="shared" si="992"/>
        <v>325</v>
      </c>
      <c r="X1857" s="584">
        <f t="shared" si="993"/>
        <v>6.75</v>
      </c>
      <c r="Y1857" s="584">
        <f t="shared" si="994"/>
        <v>0.75</v>
      </c>
      <c r="Z1857" s="584">
        <f t="shared" si="995"/>
        <v>70</v>
      </c>
      <c r="AA1857" s="584">
        <f t="shared" si="996"/>
        <v>1</v>
      </c>
      <c r="AB1857" s="584">
        <f t="shared" si="997"/>
        <v>0</v>
      </c>
      <c r="AC1857" s="581"/>
    </row>
    <row r="1858" spans="17:29">
      <c r="Q1858" s="579">
        <v>46144</v>
      </c>
      <c r="R1858" s="580">
        <v>0.70833333333333337</v>
      </c>
      <c r="S1858" s="581" t="s">
        <v>289</v>
      </c>
      <c r="T1858" s="581" t="s">
        <v>214</v>
      </c>
      <c r="U1858" s="582">
        <v>2</v>
      </c>
      <c r="V1858" s="583" t="str">
        <f t="shared" si="991"/>
        <v>bar</v>
      </c>
      <c r="W1858" s="584">
        <f t="shared" si="992"/>
        <v>134</v>
      </c>
      <c r="X1858" s="584">
        <f t="shared" si="993"/>
        <v>2</v>
      </c>
      <c r="Y1858" s="584">
        <f t="shared" si="994"/>
        <v>7</v>
      </c>
      <c r="Z1858" s="584">
        <f t="shared" si="995"/>
        <v>44</v>
      </c>
      <c r="AA1858" s="584">
        <f t="shared" si="996"/>
        <v>0.6</v>
      </c>
      <c r="AB1858" s="584">
        <f t="shared" si="997"/>
        <v>0</v>
      </c>
      <c r="AC1858" s="581"/>
    </row>
    <row r="1859" spans="17:29">
      <c r="Q1859" s="579">
        <v>46144</v>
      </c>
      <c r="R1859" s="580">
        <v>0.83333333333333337</v>
      </c>
      <c r="S1859" s="581" t="s">
        <v>289</v>
      </c>
      <c r="T1859" s="581" t="s">
        <v>847</v>
      </c>
      <c r="U1859" s="582">
        <v>1</v>
      </c>
      <c r="V1859" s="583" t="str">
        <f t="shared" si="991"/>
        <v>can</v>
      </c>
      <c r="W1859" s="584">
        <f t="shared" si="992"/>
        <v>0</v>
      </c>
      <c r="X1859" s="584">
        <f t="shared" si="993"/>
        <v>0</v>
      </c>
      <c r="Y1859" s="584">
        <f t="shared" si="994"/>
        <v>0</v>
      </c>
      <c r="Z1859" s="584">
        <f t="shared" si="995"/>
        <v>0</v>
      </c>
      <c r="AA1859" s="584">
        <f t="shared" si="996"/>
        <v>0</v>
      </c>
      <c r="AB1859" s="584">
        <f t="shared" si="997"/>
        <v>0</v>
      </c>
      <c r="AC1859" s="581"/>
    </row>
    <row r="1860" spans="17:29">
      <c r="Q1860" s="579">
        <v>46144</v>
      </c>
      <c r="R1860" s="580">
        <v>0.83333333333333337</v>
      </c>
      <c r="S1860" s="581" t="s">
        <v>289</v>
      </c>
      <c r="T1860" s="581" t="s">
        <v>461</v>
      </c>
      <c r="U1860" s="582">
        <v>1</v>
      </c>
      <c r="V1860" s="583" t="str">
        <f t="shared" si="991"/>
        <v>chunks</v>
      </c>
      <c r="W1860" s="584">
        <f t="shared" si="992"/>
        <v>24.285714285714285</v>
      </c>
      <c r="X1860" s="584">
        <f t="shared" si="993"/>
        <v>0.42857142857142855</v>
      </c>
      <c r="Y1860" s="584">
        <f t="shared" si="994"/>
        <v>1.4285714285714284</v>
      </c>
      <c r="Z1860" s="584">
        <f t="shared" si="995"/>
        <v>2.5714285714285712</v>
      </c>
      <c r="AA1860" s="584">
        <f t="shared" si="996"/>
        <v>7.1428571428571425E-2</v>
      </c>
      <c r="AB1860" s="584">
        <f t="shared" si="997"/>
        <v>0</v>
      </c>
      <c r="AC1860" s="581"/>
    </row>
    <row r="1861" spans="17:29">
      <c r="Q1861" s="579">
        <v>46144</v>
      </c>
      <c r="R1861" s="580">
        <v>0.91666666666666663</v>
      </c>
      <c r="S1861" s="581" t="s">
        <v>199</v>
      </c>
      <c r="T1861" s="581" t="s">
        <v>1115</v>
      </c>
      <c r="U1861" s="582">
        <v>1</v>
      </c>
      <c r="V1861" s="583" t="str">
        <f t="shared" si="991"/>
        <v>can</v>
      </c>
      <c r="W1861" s="584">
        <f t="shared" si="992"/>
        <v>0</v>
      </c>
      <c r="X1861" s="584">
        <f t="shared" si="993"/>
        <v>0</v>
      </c>
      <c r="Y1861" s="584">
        <f t="shared" si="994"/>
        <v>0</v>
      </c>
      <c r="Z1861" s="584">
        <f t="shared" si="995"/>
        <v>0</v>
      </c>
      <c r="AA1861" s="584">
        <f t="shared" si="996"/>
        <v>0</v>
      </c>
      <c r="AB1861" s="584">
        <f t="shared" si="997"/>
        <v>0</v>
      </c>
      <c r="AC1861" s="581"/>
    </row>
    <row r="1862" spans="17:29">
      <c r="Q1862" s="579">
        <v>46144</v>
      </c>
      <c r="R1862" s="580">
        <v>0.91666666666666663</v>
      </c>
      <c r="S1862" s="581" t="s">
        <v>199</v>
      </c>
      <c r="T1862" s="581" t="s">
        <v>1117</v>
      </c>
      <c r="U1862" s="582">
        <v>300</v>
      </c>
      <c r="V1862" s="583" t="str">
        <f t="shared" si="991"/>
        <v>g</v>
      </c>
      <c r="W1862" s="584">
        <f t="shared" si="992"/>
        <v>282</v>
      </c>
      <c r="X1862" s="584">
        <f t="shared" si="993"/>
        <v>43.8</v>
      </c>
      <c r="Y1862" s="584">
        <f t="shared" si="994"/>
        <v>4.5</v>
      </c>
      <c r="Z1862" s="584">
        <f t="shared" si="995"/>
        <v>13.5</v>
      </c>
      <c r="AA1862" s="584">
        <f t="shared" si="996"/>
        <v>2.7</v>
      </c>
      <c r="AB1862" s="584">
        <f t="shared" si="997"/>
        <v>0</v>
      </c>
      <c r="AC1862" s="581"/>
    </row>
    <row r="1863" spans="17:29">
      <c r="Q1863" s="579">
        <v>46144</v>
      </c>
      <c r="R1863" s="580">
        <v>0.91666666666666663</v>
      </c>
      <c r="S1863" s="581" t="s">
        <v>199</v>
      </c>
      <c r="T1863" s="581" t="s">
        <v>180</v>
      </c>
      <c r="U1863" s="582">
        <v>250</v>
      </c>
      <c r="V1863" s="583" t="str">
        <f t="shared" si="991"/>
        <v>g</v>
      </c>
      <c r="W1863" s="584">
        <f t="shared" si="992"/>
        <v>325</v>
      </c>
      <c r="X1863" s="584">
        <f t="shared" si="993"/>
        <v>6.75</v>
      </c>
      <c r="Y1863" s="584">
        <f t="shared" si="994"/>
        <v>0.75</v>
      </c>
      <c r="Z1863" s="584">
        <f t="shared" si="995"/>
        <v>70</v>
      </c>
      <c r="AA1863" s="584">
        <f t="shared" si="996"/>
        <v>1</v>
      </c>
      <c r="AB1863" s="584">
        <f t="shared" si="997"/>
        <v>0</v>
      </c>
      <c r="AC1863" s="581"/>
    </row>
    <row r="1864" spans="17:29">
      <c r="Q1864" s="579">
        <v>46144</v>
      </c>
      <c r="R1864" s="580">
        <v>0.91666666666666663</v>
      </c>
      <c r="S1864" s="581" t="s">
        <v>289</v>
      </c>
      <c r="T1864" s="581" t="s">
        <v>214</v>
      </c>
      <c r="U1864" s="582">
        <v>1</v>
      </c>
      <c r="V1864" s="583" t="str">
        <f t="shared" si="991"/>
        <v>bar</v>
      </c>
      <c r="W1864" s="584">
        <f t="shared" si="992"/>
        <v>67</v>
      </c>
      <c r="X1864" s="584">
        <f t="shared" si="993"/>
        <v>1</v>
      </c>
      <c r="Y1864" s="584">
        <f t="shared" si="994"/>
        <v>3.5</v>
      </c>
      <c r="Z1864" s="584">
        <f t="shared" si="995"/>
        <v>22</v>
      </c>
      <c r="AA1864" s="584">
        <f t="shared" si="996"/>
        <v>0.3</v>
      </c>
      <c r="AB1864" s="584"/>
      <c r="AC1864" s="581"/>
    </row>
    <row r="1865" spans="17:29">
      <c r="Q1865" s="585"/>
      <c r="R1865" s="586" t="s">
        <v>217</v>
      </c>
      <c r="S1865" s="587"/>
      <c r="T1865" s="588"/>
      <c r="U1865" s="588"/>
      <c r="V1865" s="589"/>
      <c r="W1865" s="590">
        <f t="shared" ref="W1865:AB1865" si="998">SUM(W1851:W1864)</f>
        <v>2205.8571428571427</v>
      </c>
      <c r="X1865" s="590">
        <f t="shared" si="998"/>
        <v>155.18571428571428</v>
      </c>
      <c r="Y1865" s="590">
        <f t="shared" si="998"/>
        <v>33.085714285714289</v>
      </c>
      <c r="Z1865" s="590">
        <f t="shared" si="998"/>
        <v>359.31428571428569</v>
      </c>
      <c r="AA1865" s="688">
        <f t="shared" si="998"/>
        <v>24.914285714285718</v>
      </c>
      <c r="AB1865" s="691">
        <f t="shared" si="998"/>
        <v>0</v>
      </c>
      <c r="AC1865" s="586"/>
    </row>
    <row r="1866" spans="17:29">
      <c r="Q1866" s="585"/>
      <c r="R1866" s="586" t="s">
        <v>220</v>
      </c>
      <c r="S1866" s="587"/>
      <c r="T1866" s="588"/>
      <c r="U1866" s="588"/>
      <c r="V1866" s="589"/>
      <c r="W1866" s="591">
        <f>$B$27</f>
        <v>2834.5625</v>
      </c>
      <c r="X1866" s="591">
        <f>$B$29</f>
        <v>154</v>
      </c>
      <c r="Y1866" s="591">
        <f>$B$30</f>
        <v>63.91</v>
      </c>
      <c r="Z1866" s="591">
        <f>$B$31</f>
        <v>410.84312499999999</v>
      </c>
      <c r="AA1866" s="642">
        <f>$B$32</f>
        <v>39.683875</v>
      </c>
      <c r="AB1866" s="695">
        <f>$B$39</f>
        <v>500</v>
      </c>
      <c r="AC1866" s="586"/>
    </row>
    <row r="1867" spans="17:29">
      <c r="Q1867" s="585"/>
      <c r="R1867" s="586" t="s">
        <v>222</v>
      </c>
      <c r="S1867" s="587"/>
      <c r="T1867" s="588"/>
      <c r="U1867" s="588"/>
      <c r="V1867" s="589"/>
      <c r="W1867" s="591">
        <f t="shared" ref="W1867:AB1867" si="999">W1865-W1866</f>
        <v>-628.70535714285734</v>
      </c>
      <c r="X1867" s="591">
        <f t="shared" si="999"/>
        <v>1.1857142857142833</v>
      </c>
      <c r="Y1867" s="591">
        <f t="shared" si="999"/>
        <v>-30.824285714285708</v>
      </c>
      <c r="Z1867" s="591">
        <f t="shared" si="999"/>
        <v>-51.528839285714298</v>
      </c>
      <c r="AA1867" s="642">
        <f t="shared" si="999"/>
        <v>-14.769589285714282</v>
      </c>
      <c r="AB1867" s="689">
        <f t="shared" si="999"/>
        <v>-500</v>
      </c>
      <c r="AC1867" s="586"/>
    </row>
    <row r="1868" spans="17:29">
      <c r="Q1868" s="579">
        <v>46145</v>
      </c>
      <c r="R1868" s="580">
        <v>0.375</v>
      </c>
      <c r="S1868" s="581" t="s">
        <v>178</v>
      </c>
      <c r="T1868" s="581" t="s">
        <v>181</v>
      </c>
      <c r="U1868" s="582">
        <v>4</v>
      </c>
      <c r="V1868" s="583" t="str">
        <f t="shared" ref="V1868:V1881" si="1000">IFERROR(VLOOKUP(T1868, $E$5:$L$818, 3, FALSE), "")</f>
        <v>slice</v>
      </c>
      <c r="W1868" s="584">
        <f t="shared" ref="W1868:W1881" si="1001">IFERROR(VLOOKUP(T1868, $E$5:$L$818, 4, FALSE) * (U1868 / VLOOKUP(T1868, $E$5:$L$818, 2, FALSE)), "")</f>
        <v>280</v>
      </c>
      <c r="X1868" s="584">
        <f t="shared" ref="X1868:X1881" si="1002">IFERROR(VLOOKUP(T1868, $E$5:$L$818, 5, FALSE) * (U1868 / VLOOKUP(T1868, $E$5:$L$818, 2, FALSE)), "")</f>
        <v>10</v>
      </c>
      <c r="Y1868" s="584">
        <f t="shared" ref="Y1868:Y1881" si="1003">IFERROR(VLOOKUP(T1868, $E$5:$L$818, 6, FALSE) * (U1868 / VLOOKUP(T1868, $E$5:$L$818, 2, FALSE)), "")</f>
        <v>5</v>
      </c>
      <c r="Z1868" s="584">
        <f t="shared" ref="Z1868:Z1881" si="1004">IFERROR(VLOOKUP(T1868, $E$5:$L$818, 7, FALSE) * (U1868 / VLOOKUP(T1868, $E$5:$L$818, 2, FALSE)), "")</f>
        <v>48</v>
      </c>
      <c r="AA1868" s="584">
        <f t="shared" ref="AA1868:AA1881" si="1005">IFERROR(VLOOKUP(T1868, $E$5:$L$818, 8, FALSE) * (U1868 / VLOOKUP(T1868, $E$5:$L$818, 2, FALSE)), "")</f>
        <v>4</v>
      </c>
      <c r="AB1868" s="674">
        <f t="shared" ref="AB1868:AB1880" si="1006">IFERROR(VLOOKUP(T1868, $E$5:$O$818, 9, FALSE) * (U1868 / VLOOKUP(T1868, $E$5:$O$818, 2, FALSE)), "")</f>
        <v>0</v>
      </c>
      <c r="AC1868" s="581"/>
    </row>
    <row r="1869" spans="17:29">
      <c r="Q1869" s="579">
        <v>46145</v>
      </c>
      <c r="R1869" s="580">
        <v>0.375</v>
      </c>
      <c r="S1869" s="581" t="s">
        <v>178</v>
      </c>
      <c r="T1869" s="581" t="s">
        <v>204</v>
      </c>
      <c r="U1869" s="582">
        <v>2</v>
      </c>
      <c r="V1869" s="583" t="str">
        <f t="shared" si="1000"/>
        <v>tbsp</v>
      </c>
      <c r="W1869" s="584">
        <f t="shared" si="1001"/>
        <v>100</v>
      </c>
      <c r="X1869" s="584">
        <f t="shared" si="1002"/>
        <v>2</v>
      </c>
      <c r="Y1869" s="584">
        <f t="shared" si="1003"/>
        <v>10</v>
      </c>
      <c r="Z1869" s="584">
        <f t="shared" si="1004"/>
        <v>2</v>
      </c>
      <c r="AA1869" s="584">
        <f t="shared" si="1005"/>
        <v>0</v>
      </c>
      <c r="AB1869" s="584">
        <f t="shared" si="1006"/>
        <v>0</v>
      </c>
      <c r="AC1869" s="581"/>
    </row>
    <row r="1870" spans="17:29">
      <c r="Q1870" s="579">
        <v>46145</v>
      </c>
      <c r="R1870" s="580">
        <v>0.375</v>
      </c>
      <c r="S1870" s="581" t="s">
        <v>178</v>
      </c>
      <c r="T1870" s="581" t="s">
        <v>463</v>
      </c>
      <c r="U1870" s="582">
        <v>1</v>
      </c>
      <c r="V1870" s="583" t="str">
        <f t="shared" si="1000"/>
        <v>bottle</v>
      </c>
      <c r="W1870" s="584">
        <f t="shared" si="1001"/>
        <v>190</v>
      </c>
      <c r="X1870" s="584">
        <f t="shared" si="1002"/>
        <v>35</v>
      </c>
      <c r="Y1870" s="584">
        <f t="shared" si="1003"/>
        <v>2</v>
      </c>
      <c r="Z1870" s="584">
        <f t="shared" si="1004"/>
        <v>9</v>
      </c>
      <c r="AA1870" s="584">
        <f t="shared" si="1005"/>
        <v>0</v>
      </c>
      <c r="AB1870" s="584">
        <f t="shared" si="1006"/>
        <v>0</v>
      </c>
      <c r="AC1870" s="581"/>
    </row>
    <row r="1871" spans="17:29">
      <c r="Q1871" s="579">
        <v>46145</v>
      </c>
      <c r="R1871" s="580">
        <v>0.375</v>
      </c>
      <c r="S1871" s="581" t="s">
        <v>289</v>
      </c>
      <c r="T1871" s="581" t="s">
        <v>214</v>
      </c>
      <c r="U1871" s="582">
        <v>1</v>
      </c>
      <c r="V1871" s="583" t="str">
        <f t="shared" si="1000"/>
        <v>bar</v>
      </c>
      <c r="W1871" s="584">
        <f t="shared" si="1001"/>
        <v>67</v>
      </c>
      <c r="X1871" s="584">
        <f t="shared" si="1002"/>
        <v>1</v>
      </c>
      <c r="Y1871" s="584">
        <f t="shared" si="1003"/>
        <v>3.5</v>
      </c>
      <c r="Z1871" s="584">
        <f t="shared" si="1004"/>
        <v>22</v>
      </c>
      <c r="AA1871" s="584">
        <f t="shared" si="1005"/>
        <v>0.3</v>
      </c>
      <c r="AB1871" s="584">
        <f t="shared" si="1006"/>
        <v>0</v>
      </c>
      <c r="AC1871" s="581"/>
    </row>
    <row r="1872" spans="17:29">
      <c r="Q1872" s="579">
        <v>46145</v>
      </c>
      <c r="R1872" s="580">
        <v>0.5</v>
      </c>
      <c r="S1872" s="581" t="s">
        <v>289</v>
      </c>
      <c r="T1872" s="581" t="s">
        <v>1076</v>
      </c>
      <c r="U1872" s="582">
        <v>1</v>
      </c>
      <c r="V1872" s="583" t="str">
        <f t="shared" si="1000"/>
        <v>pounch</v>
      </c>
      <c r="W1872" s="584">
        <f t="shared" si="1001"/>
        <v>45</v>
      </c>
      <c r="X1872" s="584">
        <f t="shared" si="1002"/>
        <v>0</v>
      </c>
      <c r="Y1872" s="584">
        <f t="shared" si="1003"/>
        <v>0</v>
      </c>
      <c r="Z1872" s="584">
        <f t="shared" si="1004"/>
        <v>11</v>
      </c>
      <c r="AA1872" s="584">
        <f t="shared" si="1005"/>
        <v>0</v>
      </c>
      <c r="AB1872" s="584">
        <f t="shared" si="1006"/>
        <v>0</v>
      </c>
      <c r="AC1872" s="581"/>
    </row>
    <row r="1873" spans="17:29">
      <c r="Q1873" s="579">
        <v>46145</v>
      </c>
      <c r="R1873" s="580">
        <v>0.58333333333333337</v>
      </c>
      <c r="S1873" s="581" t="s">
        <v>289</v>
      </c>
      <c r="T1873" s="581" t="s">
        <v>190</v>
      </c>
      <c r="U1873" s="582">
        <v>4</v>
      </c>
      <c r="V1873" s="583" t="str">
        <f t="shared" si="1000"/>
        <v>medium</v>
      </c>
      <c r="W1873" s="584">
        <f t="shared" si="1001"/>
        <v>248</v>
      </c>
      <c r="X1873" s="584">
        <f t="shared" si="1002"/>
        <v>4.8</v>
      </c>
      <c r="Y1873" s="584">
        <f t="shared" si="1003"/>
        <v>0.8</v>
      </c>
      <c r="Z1873" s="584">
        <f t="shared" si="1004"/>
        <v>61.6</v>
      </c>
      <c r="AA1873" s="584">
        <f t="shared" si="1005"/>
        <v>12.4</v>
      </c>
      <c r="AB1873" s="584">
        <f t="shared" si="1006"/>
        <v>0</v>
      </c>
      <c r="AC1873" s="581"/>
    </row>
    <row r="1874" spans="17:29">
      <c r="Q1874" s="579">
        <v>46145</v>
      </c>
      <c r="R1874" s="580">
        <v>0.625</v>
      </c>
      <c r="S1874" s="581" t="s">
        <v>289</v>
      </c>
      <c r="T1874" s="581" t="s">
        <v>1118</v>
      </c>
      <c r="U1874" s="582">
        <v>1</v>
      </c>
      <c r="V1874" s="583" t="str">
        <f t="shared" si="1000"/>
        <v>bottle</v>
      </c>
      <c r="W1874" s="584">
        <f t="shared" si="1001"/>
        <v>140</v>
      </c>
      <c r="X1874" s="584">
        <f t="shared" si="1002"/>
        <v>0</v>
      </c>
      <c r="Y1874" s="584">
        <f t="shared" si="1003"/>
        <v>0</v>
      </c>
      <c r="Z1874" s="584">
        <f t="shared" si="1004"/>
        <v>36</v>
      </c>
      <c r="AA1874" s="584">
        <f t="shared" si="1005"/>
        <v>0</v>
      </c>
      <c r="AB1874" s="584">
        <f t="shared" si="1006"/>
        <v>0</v>
      </c>
      <c r="AC1874" s="581"/>
    </row>
    <row r="1875" spans="17:29">
      <c r="Q1875" s="579">
        <v>46145</v>
      </c>
      <c r="R1875" s="580">
        <v>0.66666666666666663</v>
      </c>
      <c r="S1875" s="581" t="s">
        <v>289</v>
      </c>
      <c r="T1875" s="581" t="s">
        <v>214</v>
      </c>
      <c r="U1875" s="582">
        <v>1</v>
      </c>
      <c r="V1875" s="583" t="str">
        <f t="shared" si="1000"/>
        <v>bar</v>
      </c>
      <c r="W1875" s="584">
        <f t="shared" si="1001"/>
        <v>67</v>
      </c>
      <c r="X1875" s="584">
        <f t="shared" si="1002"/>
        <v>1</v>
      </c>
      <c r="Y1875" s="584">
        <f t="shared" si="1003"/>
        <v>3.5</v>
      </c>
      <c r="Z1875" s="584">
        <f t="shared" si="1004"/>
        <v>22</v>
      </c>
      <c r="AA1875" s="584">
        <f t="shared" si="1005"/>
        <v>0.3</v>
      </c>
      <c r="AB1875" s="584">
        <f t="shared" si="1006"/>
        <v>0</v>
      </c>
      <c r="AC1875" s="581"/>
    </row>
    <row r="1876" spans="17:29">
      <c r="Q1876" s="579">
        <v>46145</v>
      </c>
      <c r="R1876" s="580">
        <v>0.83333333333333337</v>
      </c>
      <c r="S1876" s="581" t="s">
        <v>199</v>
      </c>
      <c r="T1876" s="581" t="s">
        <v>1117</v>
      </c>
      <c r="U1876" s="582">
        <v>370</v>
      </c>
      <c r="V1876" s="583" t="str">
        <f t="shared" si="1000"/>
        <v>g</v>
      </c>
      <c r="W1876" s="584">
        <f t="shared" si="1001"/>
        <v>347.8</v>
      </c>
      <c r="X1876" s="584">
        <f t="shared" si="1002"/>
        <v>54.02</v>
      </c>
      <c r="Y1876" s="584">
        <f t="shared" si="1003"/>
        <v>5.5500000000000007</v>
      </c>
      <c r="Z1876" s="584">
        <f t="shared" si="1004"/>
        <v>16.650000000000002</v>
      </c>
      <c r="AA1876" s="584">
        <f t="shared" si="1005"/>
        <v>3.33</v>
      </c>
      <c r="AB1876" s="584">
        <f t="shared" si="1006"/>
        <v>0</v>
      </c>
      <c r="AC1876" s="581"/>
    </row>
    <row r="1877" spans="17:29">
      <c r="Q1877" s="579">
        <v>46145</v>
      </c>
      <c r="R1877" s="580">
        <v>0.83333333333333337</v>
      </c>
      <c r="S1877" s="581" t="s">
        <v>199</v>
      </c>
      <c r="T1877" s="581" t="s">
        <v>180</v>
      </c>
      <c r="U1877" s="582">
        <v>250</v>
      </c>
      <c r="V1877" s="583" t="str">
        <f t="shared" si="1000"/>
        <v>g</v>
      </c>
      <c r="W1877" s="584">
        <f t="shared" si="1001"/>
        <v>325</v>
      </c>
      <c r="X1877" s="584">
        <f t="shared" si="1002"/>
        <v>6.75</v>
      </c>
      <c r="Y1877" s="584">
        <f t="shared" si="1003"/>
        <v>0.75</v>
      </c>
      <c r="Z1877" s="584">
        <f t="shared" si="1004"/>
        <v>70</v>
      </c>
      <c r="AA1877" s="584">
        <f t="shared" si="1005"/>
        <v>1</v>
      </c>
      <c r="AB1877" s="584">
        <f t="shared" si="1006"/>
        <v>0</v>
      </c>
      <c r="AC1877" s="581"/>
    </row>
    <row r="1878" spans="17:29">
      <c r="Q1878" s="579">
        <v>46145</v>
      </c>
      <c r="R1878" s="580">
        <v>0.83333333333333337</v>
      </c>
      <c r="S1878" s="581" t="s">
        <v>199</v>
      </c>
      <c r="T1878" s="581" t="s">
        <v>181</v>
      </c>
      <c r="U1878" s="582">
        <v>4</v>
      </c>
      <c r="V1878" s="583" t="str">
        <f t="shared" si="1000"/>
        <v>slice</v>
      </c>
      <c r="W1878" s="584">
        <f t="shared" si="1001"/>
        <v>280</v>
      </c>
      <c r="X1878" s="584">
        <f t="shared" si="1002"/>
        <v>10</v>
      </c>
      <c r="Y1878" s="584">
        <f t="shared" si="1003"/>
        <v>5</v>
      </c>
      <c r="Z1878" s="584">
        <f t="shared" si="1004"/>
        <v>48</v>
      </c>
      <c r="AA1878" s="584">
        <f t="shared" si="1005"/>
        <v>4</v>
      </c>
      <c r="AB1878" s="584">
        <f t="shared" si="1006"/>
        <v>0</v>
      </c>
      <c r="AC1878" s="581"/>
    </row>
    <row r="1879" spans="17:29">
      <c r="Q1879" s="579">
        <v>46145</v>
      </c>
      <c r="R1879" s="580">
        <v>0.83333333333333337</v>
      </c>
      <c r="S1879" s="581" t="s">
        <v>199</v>
      </c>
      <c r="T1879" s="581" t="s">
        <v>234</v>
      </c>
      <c r="U1879" s="582">
        <v>1</v>
      </c>
      <c r="V1879" s="583" t="str">
        <f t="shared" si="1000"/>
        <v>can</v>
      </c>
      <c r="W1879" s="584">
        <f t="shared" si="1001"/>
        <v>260</v>
      </c>
      <c r="X1879" s="584">
        <f t="shared" si="1002"/>
        <v>30</v>
      </c>
      <c r="Y1879" s="584">
        <f t="shared" si="1003"/>
        <v>16</v>
      </c>
      <c r="Z1879" s="584">
        <f t="shared" si="1004"/>
        <v>2</v>
      </c>
      <c r="AA1879" s="584">
        <f t="shared" si="1005"/>
        <v>0</v>
      </c>
      <c r="AB1879" s="584">
        <f t="shared" si="1006"/>
        <v>1300</v>
      </c>
      <c r="AC1879" s="581"/>
    </row>
    <row r="1880" spans="17:29">
      <c r="Q1880" s="579">
        <v>46145</v>
      </c>
      <c r="R1880" s="580">
        <v>0.875</v>
      </c>
      <c r="S1880" s="581" t="s">
        <v>199</v>
      </c>
      <c r="T1880" s="581" t="s">
        <v>786</v>
      </c>
      <c r="U1880" s="582">
        <v>1</v>
      </c>
      <c r="V1880" s="583" t="str">
        <f t="shared" si="1000"/>
        <v>bottle</v>
      </c>
      <c r="W1880" s="584">
        <f t="shared" si="1001"/>
        <v>90</v>
      </c>
      <c r="X1880" s="584">
        <f t="shared" si="1002"/>
        <v>0</v>
      </c>
      <c r="Y1880" s="584">
        <f t="shared" si="1003"/>
        <v>0</v>
      </c>
      <c r="Z1880" s="584">
        <f t="shared" si="1004"/>
        <v>22</v>
      </c>
      <c r="AA1880" s="584">
        <f t="shared" si="1005"/>
        <v>0</v>
      </c>
      <c r="AB1880" s="584">
        <f t="shared" si="1006"/>
        <v>0</v>
      </c>
      <c r="AC1880" s="581"/>
    </row>
    <row r="1881" spans="17:29">
      <c r="Q1881" s="579">
        <v>46145</v>
      </c>
      <c r="R1881" s="580">
        <v>0.83333333333333337</v>
      </c>
      <c r="S1881" s="581" t="s">
        <v>199</v>
      </c>
      <c r="T1881" s="581" t="s">
        <v>1081</v>
      </c>
      <c r="U1881" s="582">
        <v>18.899999999999999</v>
      </c>
      <c r="V1881" s="583" t="str">
        <f t="shared" si="1000"/>
        <v>g</v>
      </c>
      <c r="W1881" s="584">
        <f t="shared" si="1001"/>
        <v>37.799999999999997</v>
      </c>
      <c r="X1881" s="584">
        <f t="shared" si="1002"/>
        <v>0</v>
      </c>
      <c r="Y1881" s="584">
        <f t="shared" si="1003"/>
        <v>0</v>
      </c>
      <c r="Z1881" s="584">
        <f t="shared" si="1004"/>
        <v>15.12</v>
      </c>
      <c r="AA1881" s="584">
        <f t="shared" si="1005"/>
        <v>15.12</v>
      </c>
      <c r="AB1881" s="584"/>
      <c r="AC1881" s="581"/>
    </row>
    <row r="1882" spans="17:29">
      <c r="Q1882" s="585"/>
      <c r="R1882" s="586" t="s">
        <v>217</v>
      </c>
      <c r="S1882" s="587"/>
      <c r="T1882" s="588"/>
      <c r="U1882" s="588"/>
      <c r="V1882" s="589"/>
      <c r="W1882" s="590">
        <f t="shared" ref="W1882:AB1882" si="1007">SUM(W1868:W1881)</f>
        <v>2477.6000000000004</v>
      </c>
      <c r="X1882" s="590">
        <f t="shared" si="1007"/>
        <v>154.57</v>
      </c>
      <c r="Y1882" s="590">
        <f t="shared" si="1007"/>
        <v>52.1</v>
      </c>
      <c r="Z1882" s="590">
        <f t="shared" si="1007"/>
        <v>385.37</v>
      </c>
      <c r="AA1882" s="688">
        <f t="shared" si="1007"/>
        <v>40.449999999999996</v>
      </c>
      <c r="AB1882" s="691">
        <f t="shared" si="1007"/>
        <v>1300</v>
      </c>
      <c r="AC1882" s="586"/>
    </row>
    <row r="1883" spans="17:29">
      <c r="Q1883" s="585"/>
      <c r="R1883" s="586" t="s">
        <v>220</v>
      </c>
      <c r="S1883" s="587"/>
      <c r="T1883" s="588"/>
      <c r="U1883" s="588"/>
      <c r="V1883" s="589"/>
      <c r="W1883" s="591">
        <f>$B$27</f>
        <v>2834.5625</v>
      </c>
      <c r="X1883" s="591">
        <f>$B$29</f>
        <v>154</v>
      </c>
      <c r="Y1883" s="591">
        <f>$B$30</f>
        <v>63.91</v>
      </c>
      <c r="Z1883" s="591">
        <f>$B$31</f>
        <v>410.84312499999999</v>
      </c>
      <c r="AA1883" s="642">
        <f>$B$32</f>
        <v>39.683875</v>
      </c>
      <c r="AB1883" s="695">
        <f>$B$39</f>
        <v>500</v>
      </c>
      <c r="AC1883" s="586"/>
    </row>
    <row r="1884" spans="17:29">
      <c r="Q1884" s="585"/>
      <c r="R1884" s="586" t="s">
        <v>222</v>
      </c>
      <c r="S1884" s="587"/>
      <c r="T1884" s="588"/>
      <c r="U1884" s="588"/>
      <c r="V1884" s="589"/>
      <c r="W1884" s="591">
        <f t="shared" ref="W1884:AB1884" si="1008">W1882-W1883</f>
        <v>-356.96249999999964</v>
      </c>
      <c r="X1884" s="591">
        <f t="shared" si="1008"/>
        <v>0.56999999999999318</v>
      </c>
      <c r="Y1884" s="591">
        <f t="shared" si="1008"/>
        <v>-11.809999999999995</v>
      </c>
      <c r="Z1884" s="591">
        <f t="shared" si="1008"/>
        <v>-25.473124999999982</v>
      </c>
      <c r="AA1884" s="642">
        <f t="shared" si="1008"/>
        <v>0.76612499999999528</v>
      </c>
      <c r="AB1884" s="689">
        <f t="shared" si="1008"/>
        <v>800</v>
      </c>
      <c r="AC1884" s="586"/>
    </row>
    <row r="1885" spans="17:29">
      <c r="Q1885" s="579">
        <v>46146</v>
      </c>
      <c r="R1885" s="580">
        <v>0.25</v>
      </c>
      <c r="S1885" s="581" t="s">
        <v>289</v>
      </c>
      <c r="T1885" s="581" t="s">
        <v>1118</v>
      </c>
      <c r="U1885" s="582">
        <v>1</v>
      </c>
      <c r="V1885" s="583" t="str">
        <f t="shared" ref="V1885:V1899" si="1009">IFERROR(VLOOKUP(T1885, $E$5:$L$818, 3, FALSE), "")</f>
        <v>bottle</v>
      </c>
      <c r="W1885" s="584">
        <f t="shared" ref="W1885:W1899" si="1010">IFERROR(VLOOKUP(T1885, $E$5:$L$818, 4, FALSE) * (U1885 / VLOOKUP(T1885, $E$5:$L$818, 2, FALSE)), "")</f>
        <v>140</v>
      </c>
      <c r="X1885" s="584">
        <f t="shared" ref="X1885:X1899" si="1011">IFERROR(VLOOKUP(T1885, $E$5:$L$818, 5, FALSE) * (U1885 / VLOOKUP(T1885, $E$5:$L$818, 2, FALSE)), "")</f>
        <v>0</v>
      </c>
      <c r="Y1885" s="584">
        <f t="shared" ref="Y1885:Y1899" si="1012">IFERROR(VLOOKUP(T1885, $E$5:$L$818, 6, FALSE) * (U1885 / VLOOKUP(T1885, $E$5:$L$818, 2, FALSE)), "")</f>
        <v>0</v>
      </c>
      <c r="Z1885" s="584">
        <f t="shared" ref="Z1885:Z1899" si="1013">IFERROR(VLOOKUP(T1885, $E$5:$L$818, 7, FALSE) * (U1885 / VLOOKUP(T1885, $E$5:$L$818, 2, FALSE)), "")</f>
        <v>36</v>
      </c>
      <c r="AA1885" s="584">
        <f t="shared" ref="AA1885:AA1899" si="1014">IFERROR(VLOOKUP(T1885, $E$5:$L$818, 8, FALSE) * (U1885 / VLOOKUP(T1885, $E$5:$L$818, 2, FALSE)), "")</f>
        <v>0</v>
      </c>
      <c r="AB1885" s="674">
        <f t="shared" ref="AB1885:AB1898" si="1015">IFERROR(VLOOKUP(T1885, $E$5:$O$818, 9, FALSE) * (U1885 / VLOOKUP(T1885, $E$5:$O$818, 2, FALSE)), "")</f>
        <v>0</v>
      </c>
      <c r="AC1885" s="581"/>
    </row>
    <row r="1886" spans="17:29">
      <c r="Q1886" s="579">
        <v>46146</v>
      </c>
      <c r="R1886" s="580">
        <v>0.33333333333333331</v>
      </c>
      <c r="S1886" s="581" t="s">
        <v>178</v>
      </c>
      <c r="T1886" s="581" t="s">
        <v>181</v>
      </c>
      <c r="U1886" s="582">
        <v>4</v>
      </c>
      <c r="V1886" s="583" t="str">
        <f t="shared" si="1009"/>
        <v>slice</v>
      </c>
      <c r="W1886" s="584">
        <f t="shared" si="1010"/>
        <v>280</v>
      </c>
      <c r="X1886" s="584">
        <f t="shared" si="1011"/>
        <v>10</v>
      </c>
      <c r="Y1886" s="584">
        <f t="shared" si="1012"/>
        <v>5</v>
      </c>
      <c r="Z1886" s="584">
        <f t="shared" si="1013"/>
        <v>48</v>
      </c>
      <c r="AA1886" s="584">
        <f t="shared" si="1014"/>
        <v>4</v>
      </c>
      <c r="AB1886" s="584">
        <f t="shared" si="1015"/>
        <v>0</v>
      </c>
      <c r="AC1886" s="581"/>
    </row>
    <row r="1887" spans="17:29">
      <c r="Q1887" s="579">
        <v>46146</v>
      </c>
      <c r="R1887" s="580">
        <v>0.33333333333333331</v>
      </c>
      <c r="S1887" s="581" t="s">
        <v>178</v>
      </c>
      <c r="T1887" s="581" t="s">
        <v>204</v>
      </c>
      <c r="U1887" s="582">
        <v>2</v>
      </c>
      <c r="V1887" s="583" t="str">
        <f t="shared" si="1009"/>
        <v>tbsp</v>
      </c>
      <c r="W1887" s="584">
        <f t="shared" si="1010"/>
        <v>100</v>
      </c>
      <c r="X1887" s="584">
        <f t="shared" si="1011"/>
        <v>2</v>
      </c>
      <c r="Y1887" s="584">
        <f t="shared" si="1012"/>
        <v>10</v>
      </c>
      <c r="Z1887" s="584">
        <f t="shared" si="1013"/>
        <v>2</v>
      </c>
      <c r="AA1887" s="584">
        <f t="shared" si="1014"/>
        <v>0</v>
      </c>
      <c r="AB1887" s="584">
        <f t="shared" si="1015"/>
        <v>0</v>
      </c>
      <c r="AC1887" s="581"/>
    </row>
    <row r="1888" spans="17:29">
      <c r="Q1888" s="579">
        <v>46146</v>
      </c>
      <c r="R1888" s="580">
        <v>0.45833333333333331</v>
      </c>
      <c r="S1888" s="581" t="s">
        <v>289</v>
      </c>
      <c r="T1888" s="581" t="s">
        <v>463</v>
      </c>
      <c r="U1888" s="582">
        <v>1</v>
      </c>
      <c r="V1888" s="583" t="str">
        <f t="shared" si="1009"/>
        <v>bottle</v>
      </c>
      <c r="W1888" s="584">
        <f t="shared" si="1010"/>
        <v>190</v>
      </c>
      <c r="X1888" s="584">
        <f t="shared" si="1011"/>
        <v>35</v>
      </c>
      <c r="Y1888" s="584">
        <f t="shared" si="1012"/>
        <v>2</v>
      </c>
      <c r="Z1888" s="584">
        <f t="shared" si="1013"/>
        <v>9</v>
      </c>
      <c r="AA1888" s="584">
        <f t="shared" si="1014"/>
        <v>0</v>
      </c>
      <c r="AB1888" s="584">
        <f t="shared" si="1015"/>
        <v>0</v>
      </c>
      <c r="AC1888" s="581"/>
    </row>
    <row r="1889" spans="17:29">
      <c r="Q1889" s="579">
        <v>46146</v>
      </c>
      <c r="R1889" s="580">
        <v>0.45833333333333331</v>
      </c>
      <c r="S1889" s="581" t="s">
        <v>289</v>
      </c>
      <c r="T1889" s="581" t="s">
        <v>464</v>
      </c>
      <c r="U1889" s="582">
        <v>1</v>
      </c>
      <c r="V1889" s="583" t="str">
        <f t="shared" ref="V1889:V1890" si="1016">IFERROR(VLOOKUP(T1889, $E$5:$L$818, 3, FALSE), "")</f>
        <v>lozenge</v>
      </c>
      <c r="W1889" s="584">
        <f t="shared" si="1010"/>
        <v>10</v>
      </c>
      <c r="X1889" s="584">
        <f t="shared" si="1011"/>
        <v>0</v>
      </c>
      <c r="Y1889" s="584">
        <f t="shared" si="1012"/>
        <v>0</v>
      </c>
      <c r="Z1889" s="584">
        <f t="shared" si="1013"/>
        <v>3</v>
      </c>
      <c r="AA1889" s="584">
        <f t="shared" si="1014"/>
        <v>0</v>
      </c>
      <c r="AB1889" s="584">
        <f t="shared" si="1015"/>
        <v>0</v>
      </c>
      <c r="AC1889" s="581"/>
    </row>
    <row r="1890" spans="17:29">
      <c r="Q1890" s="579">
        <v>46146</v>
      </c>
      <c r="R1890" s="580">
        <v>0.45833333333333331</v>
      </c>
      <c r="S1890" s="581" t="s">
        <v>289</v>
      </c>
      <c r="T1890" s="581" t="s">
        <v>214</v>
      </c>
      <c r="U1890" s="582">
        <v>1</v>
      </c>
      <c r="V1890" s="583" t="str">
        <f t="shared" si="1016"/>
        <v>bar</v>
      </c>
      <c r="W1890" s="584">
        <f t="shared" si="1010"/>
        <v>67</v>
      </c>
      <c r="X1890" s="584">
        <f t="shared" si="1011"/>
        <v>1</v>
      </c>
      <c r="Y1890" s="584">
        <f t="shared" si="1012"/>
        <v>3.5</v>
      </c>
      <c r="Z1890" s="584">
        <f t="shared" si="1013"/>
        <v>22</v>
      </c>
      <c r="AA1890" s="584">
        <f t="shared" si="1014"/>
        <v>0.3</v>
      </c>
      <c r="AB1890" s="584">
        <f t="shared" si="1015"/>
        <v>0</v>
      </c>
      <c r="AC1890" s="581"/>
    </row>
    <row r="1891" spans="17:29">
      <c r="Q1891" s="579">
        <v>46146</v>
      </c>
      <c r="R1891" s="580">
        <v>0.54166666666666663</v>
      </c>
      <c r="S1891" s="581" t="s">
        <v>185</v>
      </c>
      <c r="T1891" s="581" t="s">
        <v>1117</v>
      </c>
      <c r="U1891" s="582">
        <v>315</v>
      </c>
      <c r="V1891" s="583" t="str">
        <f t="shared" si="1009"/>
        <v>g</v>
      </c>
      <c r="W1891" s="584">
        <f t="shared" si="1010"/>
        <v>296.09999999999997</v>
      </c>
      <c r="X1891" s="584">
        <f t="shared" si="1011"/>
        <v>45.989999999999995</v>
      </c>
      <c r="Y1891" s="584">
        <f t="shared" si="1012"/>
        <v>4.7249999999999996</v>
      </c>
      <c r="Z1891" s="584">
        <f t="shared" si="1013"/>
        <v>14.174999999999999</v>
      </c>
      <c r="AA1891" s="584">
        <f t="shared" si="1014"/>
        <v>2.835</v>
      </c>
      <c r="AB1891" s="584">
        <f t="shared" si="1015"/>
        <v>0</v>
      </c>
      <c r="AC1891" s="581"/>
    </row>
    <row r="1892" spans="17:29">
      <c r="Q1892" s="579">
        <v>46146</v>
      </c>
      <c r="R1892" s="580">
        <v>0.54166666666666663</v>
      </c>
      <c r="S1892" s="581" t="s">
        <v>185</v>
      </c>
      <c r="T1892" s="581" t="s">
        <v>180</v>
      </c>
      <c r="U1892" s="582">
        <v>250</v>
      </c>
      <c r="V1892" s="583" t="str">
        <f t="shared" si="1009"/>
        <v>g</v>
      </c>
      <c r="W1892" s="584">
        <f t="shared" si="1010"/>
        <v>325</v>
      </c>
      <c r="X1892" s="584">
        <f t="shared" si="1011"/>
        <v>6.75</v>
      </c>
      <c r="Y1892" s="584">
        <f t="shared" si="1012"/>
        <v>0.75</v>
      </c>
      <c r="Z1892" s="584">
        <f t="shared" si="1013"/>
        <v>70</v>
      </c>
      <c r="AA1892" s="584">
        <f t="shared" si="1014"/>
        <v>1</v>
      </c>
      <c r="AB1892" s="584">
        <f t="shared" si="1015"/>
        <v>0</v>
      </c>
      <c r="AC1892" s="581"/>
    </row>
    <row r="1893" spans="17:29">
      <c r="Q1893" s="579">
        <v>46146</v>
      </c>
      <c r="R1893" s="580">
        <v>0.625</v>
      </c>
      <c r="S1893" s="581" t="s">
        <v>289</v>
      </c>
      <c r="T1893" s="581" t="s">
        <v>214</v>
      </c>
      <c r="U1893" s="582">
        <v>1</v>
      </c>
      <c r="V1893" s="583" t="str">
        <f t="shared" si="1009"/>
        <v>bar</v>
      </c>
      <c r="W1893" s="584">
        <f t="shared" si="1010"/>
        <v>67</v>
      </c>
      <c r="X1893" s="584">
        <f t="shared" si="1011"/>
        <v>1</v>
      </c>
      <c r="Y1893" s="584">
        <f t="shared" si="1012"/>
        <v>3.5</v>
      </c>
      <c r="Z1893" s="584">
        <f t="shared" si="1013"/>
        <v>22</v>
      </c>
      <c r="AA1893" s="584">
        <f t="shared" si="1014"/>
        <v>0.3</v>
      </c>
      <c r="AB1893" s="584">
        <f t="shared" si="1015"/>
        <v>0</v>
      </c>
      <c r="AC1893" s="581"/>
    </row>
    <row r="1894" spans="17:29">
      <c r="Q1894" s="579">
        <v>46146</v>
      </c>
      <c r="R1894" s="580">
        <v>0.66666666666666663</v>
      </c>
      <c r="S1894" s="581" t="s">
        <v>289</v>
      </c>
      <c r="T1894" s="581" t="s">
        <v>855</v>
      </c>
      <c r="U1894" s="582">
        <v>200</v>
      </c>
      <c r="V1894" s="583" t="str">
        <f t="shared" si="1009"/>
        <v>g</v>
      </c>
      <c r="W1894" s="584">
        <f t="shared" si="1010"/>
        <v>120</v>
      </c>
      <c r="X1894" s="584">
        <f t="shared" si="1011"/>
        <v>2</v>
      </c>
      <c r="Y1894" s="584">
        <f t="shared" si="1012"/>
        <v>0</v>
      </c>
      <c r="Z1894" s="584">
        <f t="shared" si="1013"/>
        <v>30</v>
      </c>
      <c r="AA1894" s="584">
        <f t="shared" si="1014"/>
        <v>4</v>
      </c>
      <c r="AB1894" s="584">
        <f t="shared" si="1015"/>
        <v>0</v>
      </c>
      <c r="AC1894" s="581"/>
    </row>
    <row r="1895" spans="17:29">
      <c r="Q1895" s="579">
        <v>46146</v>
      </c>
      <c r="R1895" s="580">
        <v>0.79166666666666663</v>
      </c>
      <c r="S1895" s="581" t="s">
        <v>289</v>
      </c>
      <c r="T1895" s="581" t="s">
        <v>461</v>
      </c>
      <c r="U1895" s="582">
        <v>2</v>
      </c>
      <c r="V1895" s="583" t="str">
        <f t="shared" si="1009"/>
        <v>chunks</v>
      </c>
      <c r="W1895" s="584">
        <f t="shared" si="1010"/>
        <v>48.571428571428569</v>
      </c>
      <c r="X1895" s="584">
        <f t="shared" si="1011"/>
        <v>0.8571428571428571</v>
      </c>
      <c r="Y1895" s="584">
        <f t="shared" si="1012"/>
        <v>2.8571428571428568</v>
      </c>
      <c r="Z1895" s="584">
        <f t="shared" si="1013"/>
        <v>5.1428571428571423</v>
      </c>
      <c r="AA1895" s="584">
        <f t="shared" si="1014"/>
        <v>0.14285714285714285</v>
      </c>
      <c r="AB1895" s="584">
        <f t="shared" si="1015"/>
        <v>0</v>
      </c>
      <c r="AC1895" s="581"/>
    </row>
    <row r="1896" spans="17:29">
      <c r="Q1896" s="579">
        <v>46146</v>
      </c>
      <c r="R1896" s="580">
        <v>0.875</v>
      </c>
      <c r="S1896" s="581" t="s">
        <v>289</v>
      </c>
      <c r="T1896" s="581" t="s">
        <v>190</v>
      </c>
      <c r="U1896" s="582">
        <v>3</v>
      </c>
      <c r="V1896" s="583" t="str">
        <f t="shared" si="1009"/>
        <v>medium</v>
      </c>
      <c r="W1896" s="584">
        <f t="shared" si="1010"/>
        <v>186</v>
      </c>
      <c r="X1896" s="584">
        <f t="shared" si="1011"/>
        <v>3.5999999999999996</v>
      </c>
      <c r="Y1896" s="584">
        <f t="shared" si="1012"/>
        <v>0.60000000000000009</v>
      </c>
      <c r="Z1896" s="584">
        <f t="shared" si="1013"/>
        <v>46.2</v>
      </c>
      <c r="AA1896" s="584">
        <f t="shared" si="1014"/>
        <v>9.3000000000000007</v>
      </c>
      <c r="AB1896" s="584">
        <f t="shared" si="1015"/>
        <v>0</v>
      </c>
      <c r="AC1896" s="581"/>
    </row>
    <row r="1897" spans="17:29">
      <c r="Q1897" s="579">
        <v>46146</v>
      </c>
      <c r="R1897" s="580">
        <v>0.875</v>
      </c>
      <c r="S1897" s="581" t="s">
        <v>199</v>
      </c>
      <c r="T1897" s="581" t="s">
        <v>1117</v>
      </c>
      <c r="U1897" s="582">
        <v>315</v>
      </c>
      <c r="V1897" s="583" t="str">
        <f t="shared" si="1009"/>
        <v>g</v>
      </c>
      <c r="W1897" s="584">
        <f t="shared" si="1010"/>
        <v>296.09999999999997</v>
      </c>
      <c r="X1897" s="584">
        <f t="shared" si="1011"/>
        <v>45.989999999999995</v>
      </c>
      <c r="Y1897" s="584">
        <f t="shared" si="1012"/>
        <v>4.7249999999999996</v>
      </c>
      <c r="Z1897" s="584">
        <f t="shared" si="1013"/>
        <v>14.174999999999999</v>
      </c>
      <c r="AA1897" s="584">
        <f t="shared" si="1014"/>
        <v>2.835</v>
      </c>
      <c r="AB1897" s="584">
        <f t="shared" si="1015"/>
        <v>0</v>
      </c>
      <c r="AC1897" s="581"/>
    </row>
    <row r="1898" spans="17:29">
      <c r="Q1898" s="579">
        <v>46146</v>
      </c>
      <c r="R1898" s="580">
        <v>0.91666666666666663</v>
      </c>
      <c r="S1898" s="581" t="s">
        <v>199</v>
      </c>
      <c r="T1898" s="581" t="s">
        <v>484</v>
      </c>
      <c r="U1898" s="582">
        <v>200</v>
      </c>
      <c r="V1898" s="583" t="str">
        <f t="shared" si="1009"/>
        <v>g</v>
      </c>
      <c r="W1898" s="584">
        <f t="shared" si="1010"/>
        <v>186</v>
      </c>
      <c r="X1898" s="584">
        <f t="shared" si="1011"/>
        <v>5</v>
      </c>
      <c r="Y1898" s="584">
        <f t="shared" si="1012"/>
        <v>0.4</v>
      </c>
      <c r="Z1898" s="584">
        <f t="shared" si="1013"/>
        <v>42</v>
      </c>
      <c r="AA1898" s="584">
        <f t="shared" si="1014"/>
        <v>5.2</v>
      </c>
      <c r="AB1898" s="584">
        <f t="shared" si="1015"/>
        <v>0</v>
      </c>
      <c r="AC1898" s="581"/>
    </row>
    <row r="1899" spans="17:29">
      <c r="Q1899" s="579">
        <v>46146</v>
      </c>
      <c r="R1899" s="580">
        <v>0.95833333333333337</v>
      </c>
      <c r="S1899" s="581" t="s">
        <v>199</v>
      </c>
      <c r="T1899" s="581" t="s">
        <v>786</v>
      </c>
      <c r="U1899" s="582">
        <v>1</v>
      </c>
      <c r="V1899" s="583" t="str">
        <f t="shared" si="1009"/>
        <v>bottle</v>
      </c>
      <c r="W1899" s="584">
        <f t="shared" si="1010"/>
        <v>90</v>
      </c>
      <c r="X1899" s="584">
        <f t="shared" si="1011"/>
        <v>0</v>
      </c>
      <c r="Y1899" s="584">
        <f t="shared" si="1012"/>
        <v>0</v>
      </c>
      <c r="Z1899" s="584">
        <f t="shared" si="1013"/>
        <v>22</v>
      </c>
      <c r="AA1899" s="584">
        <f t="shared" si="1014"/>
        <v>0</v>
      </c>
      <c r="AB1899" s="584"/>
      <c r="AC1899" s="581"/>
    </row>
    <row r="1900" spans="17:29">
      <c r="Q1900" s="579">
        <v>46146</v>
      </c>
      <c r="R1900" s="580">
        <v>0.95833333333333337</v>
      </c>
      <c r="S1900" s="581" t="s">
        <v>199</v>
      </c>
      <c r="T1900" s="581" t="s">
        <v>1081</v>
      </c>
      <c r="U1900" s="582">
        <v>12</v>
      </c>
      <c r="V1900" s="583" t="str">
        <f>IFERROR(VLOOKUP(T1900, $E$5:$L$818, 3, FALSE), "")</f>
        <v>g</v>
      </c>
      <c r="W1900" s="584">
        <f>IFERROR(VLOOKUP(T1900, $E$5:$L$818, 4, FALSE) * (U1900 / VLOOKUP(T1900, $E$5:$L$818, 2, FALSE)), "")</f>
        <v>24</v>
      </c>
      <c r="X1900" s="584">
        <f>IFERROR(VLOOKUP(T1900, $E$5:$L$818, 5, FALSE) * (U1900 / VLOOKUP(T1900, $E$5:$L$818, 2, FALSE)), "")</f>
        <v>0</v>
      </c>
      <c r="Y1900" s="584">
        <f>IFERROR(VLOOKUP(T1900, $E$5:$L$818, 6, FALSE) * (U1900 / VLOOKUP(T1900, $E$5:$L$818, 2, FALSE)), "")</f>
        <v>0</v>
      </c>
      <c r="Z1900" s="584">
        <f>IFERROR(VLOOKUP(T1900, $E$5:$L$818, 7, FALSE) * (U1900 / VLOOKUP(T1900, $E$5:$L$818, 2, FALSE)), "")</f>
        <v>9.6</v>
      </c>
      <c r="AA1900" s="584">
        <f>IFERROR(VLOOKUP(T1900, $E$5:$L$818, 8, FALSE) * (U1900 / VLOOKUP(T1900, $E$5:$L$818, 2, FALSE)), "")</f>
        <v>9.6</v>
      </c>
      <c r="AB1900" s="584"/>
      <c r="AC1900" s="581"/>
    </row>
    <row r="1901" spans="17:29">
      <c r="Q1901" s="585"/>
      <c r="R1901" s="586" t="s">
        <v>217</v>
      </c>
      <c r="S1901" s="587"/>
      <c r="T1901" s="588"/>
      <c r="U1901" s="588"/>
      <c r="V1901" s="589"/>
      <c r="W1901" s="590">
        <f t="shared" ref="W1901:AB1901" si="1017">SUM(W1885:W1900)</f>
        <v>2425.7714285714287</v>
      </c>
      <c r="X1901" s="590">
        <f t="shared" si="1017"/>
        <v>159.18714285714285</v>
      </c>
      <c r="Y1901" s="590">
        <f t="shared" si="1017"/>
        <v>38.057142857142857</v>
      </c>
      <c r="Z1901" s="590">
        <f t="shared" si="1017"/>
        <v>395.2928571428572</v>
      </c>
      <c r="AA1901" s="688">
        <f t="shared" si="1017"/>
        <v>39.512857142857143</v>
      </c>
      <c r="AB1901" s="691">
        <f t="shared" si="1017"/>
        <v>0</v>
      </c>
      <c r="AC1901" s="586"/>
    </row>
    <row r="1902" spans="17:29">
      <c r="Q1902" s="585"/>
      <c r="R1902" s="586" t="s">
        <v>220</v>
      </c>
      <c r="S1902" s="587"/>
      <c r="T1902" s="588"/>
      <c r="U1902" s="588"/>
      <c r="V1902" s="589"/>
      <c r="W1902" s="591">
        <f>$B$27</f>
        <v>2834.5625</v>
      </c>
      <c r="X1902" s="591">
        <f>$B$29</f>
        <v>154</v>
      </c>
      <c r="Y1902" s="591">
        <f>$B$30</f>
        <v>63.91</v>
      </c>
      <c r="Z1902" s="591">
        <f>$B$31</f>
        <v>410.84312499999999</v>
      </c>
      <c r="AA1902" s="642">
        <f>$B$32</f>
        <v>39.683875</v>
      </c>
      <c r="AB1902" s="695">
        <f>$B$39</f>
        <v>500</v>
      </c>
      <c r="AC1902" s="586"/>
    </row>
    <row r="1903" spans="17:29">
      <c r="Q1903" s="585"/>
      <c r="R1903" s="586" t="s">
        <v>222</v>
      </c>
      <c r="S1903" s="587"/>
      <c r="T1903" s="588"/>
      <c r="U1903" s="588"/>
      <c r="V1903" s="589"/>
      <c r="W1903" s="591">
        <f t="shared" ref="W1903:AB1903" si="1018">W1901-W1902</f>
        <v>-408.79107142857129</v>
      </c>
      <c r="X1903" s="591">
        <f t="shared" si="1018"/>
        <v>5.1871428571428453</v>
      </c>
      <c r="Y1903" s="591">
        <f t="shared" si="1018"/>
        <v>-25.85285714285714</v>
      </c>
      <c r="Z1903" s="591">
        <f t="shared" si="1018"/>
        <v>-15.550267857142785</v>
      </c>
      <c r="AA1903" s="642">
        <f t="shared" si="1018"/>
        <v>-0.17101785714285711</v>
      </c>
      <c r="AB1903" s="689">
        <f t="shared" si="1018"/>
        <v>-500</v>
      </c>
      <c r="AC1903" s="586"/>
    </row>
    <row r="1904" spans="17:29">
      <c r="Q1904" s="579">
        <v>46147</v>
      </c>
      <c r="R1904" s="580">
        <v>0.25</v>
      </c>
      <c r="S1904" s="581" t="s">
        <v>178</v>
      </c>
      <c r="T1904" s="581" t="s">
        <v>219</v>
      </c>
      <c r="U1904" s="582">
        <v>0.5</v>
      </c>
      <c r="V1904" s="583" t="str">
        <f t="shared" ref="V1904:V1917" si="1019">IFERROR(VLOOKUP(T1904, $E$5:$L$818, 3, FALSE), "")</f>
        <v>bottle</v>
      </c>
      <c r="W1904" s="584">
        <f t="shared" ref="W1904:W1917" si="1020">IFERROR(VLOOKUP(T1904, $E$5:$L$818, 4, FALSE) * (U1904 / VLOOKUP(T1904, $E$5:$L$818, 2, FALSE)), "")</f>
        <v>0</v>
      </c>
      <c r="X1904" s="584">
        <f t="shared" ref="X1904:X1917" si="1021">IFERROR(VLOOKUP(T1904, $E$5:$L$818, 5, FALSE) * (U1904 / VLOOKUP(T1904, $E$5:$L$818, 2, FALSE)), "")</f>
        <v>0</v>
      </c>
      <c r="Y1904" s="584">
        <f t="shared" ref="Y1904:Y1917" si="1022">IFERROR(VLOOKUP(T1904, $E$5:$L$818, 6, FALSE) * (U1904 / VLOOKUP(T1904, $E$5:$L$818, 2, FALSE)), "")</f>
        <v>0</v>
      </c>
      <c r="Z1904" s="584">
        <f t="shared" ref="Z1904:Z1917" si="1023">IFERROR(VLOOKUP(T1904, $E$5:$L$818, 7, FALSE) * (U1904 / VLOOKUP(T1904, $E$5:$L$818, 2, FALSE)), "")</f>
        <v>0</v>
      </c>
      <c r="AA1904" s="584">
        <f t="shared" ref="AA1904:AA1917" si="1024">IFERROR(VLOOKUP(T1904, $E$5:$L$818, 8, FALSE) * (U1904 / VLOOKUP(T1904, $E$5:$L$818, 2, FALSE)), "")</f>
        <v>0</v>
      </c>
      <c r="AB1904" s="674">
        <f t="shared" ref="AB1904:AB1917" si="1025">IFERROR(VLOOKUP(T1904, $E$5:$O$818, 9, FALSE) * (U1904 / VLOOKUP(T1904, $E$5:$O$818, 2, FALSE)), "")</f>
        <v>0</v>
      </c>
      <c r="AC1904" s="581"/>
    </row>
    <row r="1905" spans="17:29">
      <c r="Q1905" s="579">
        <v>46147</v>
      </c>
      <c r="R1905" s="580">
        <v>0.33333333333333331</v>
      </c>
      <c r="S1905" s="581" t="s">
        <v>178</v>
      </c>
      <c r="T1905" s="581" t="s">
        <v>181</v>
      </c>
      <c r="U1905" s="582">
        <v>4</v>
      </c>
      <c r="V1905" s="583" t="str">
        <f t="shared" si="1019"/>
        <v>slice</v>
      </c>
      <c r="W1905" s="584">
        <f t="shared" si="1020"/>
        <v>280</v>
      </c>
      <c r="X1905" s="584">
        <f t="shared" si="1021"/>
        <v>10</v>
      </c>
      <c r="Y1905" s="584">
        <f t="shared" si="1022"/>
        <v>5</v>
      </c>
      <c r="Z1905" s="584">
        <f t="shared" si="1023"/>
        <v>48</v>
      </c>
      <c r="AA1905" s="584">
        <f t="shared" si="1024"/>
        <v>4</v>
      </c>
      <c r="AB1905" s="584">
        <f t="shared" si="1025"/>
        <v>0</v>
      </c>
      <c r="AC1905" s="581"/>
    </row>
    <row r="1906" spans="17:29">
      <c r="Q1906" s="579">
        <v>46147</v>
      </c>
      <c r="R1906" s="580">
        <v>0.33333333333333331</v>
      </c>
      <c r="S1906" s="581" t="s">
        <v>178</v>
      </c>
      <c r="T1906" s="581" t="s">
        <v>204</v>
      </c>
      <c r="U1906" s="582">
        <v>4</v>
      </c>
      <c r="V1906" s="583" t="str">
        <f t="shared" si="1019"/>
        <v>tbsp</v>
      </c>
      <c r="W1906" s="584">
        <f t="shared" si="1020"/>
        <v>200</v>
      </c>
      <c r="X1906" s="584">
        <f t="shared" si="1021"/>
        <v>4</v>
      </c>
      <c r="Y1906" s="584">
        <f t="shared" si="1022"/>
        <v>20</v>
      </c>
      <c r="Z1906" s="584">
        <f t="shared" si="1023"/>
        <v>4</v>
      </c>
      <c r="AA1906" s="584">
        <f t="shared" si="1024"/>
        <v>0</v>
      </c>
      <c r="AB1906" s="584">
        <f t="shared" si="1025"/>
        <v>0</v>
      </c>
      <c r="AC1906" s="581"/>
    </row>
    <row r="1907" spans="17:29">
      <c r="Q1907" s="579">
        <v>46147</v>
      </c>
      <c r="R1907" s="580">
        <v>0.33333333333333331</v>
      </c>
      <c r="S1907" s="581" t="s">
        <v>178</v>
      </c>
      <c r="T1907" s="581" t="s">
        <v>463</v>
      </c>
      <c r="U1907" s="582">
        <v>1</v>
      </c>
      <c r="V1907" s="583" t="str">
        <f t="shared" si="1019"/>
        <v>bottle</v>
      </c>
      <c r="W1907" s="584">
        <f t="shared" si="1020"/>
        <v>190</v>
      </c>
      <c r="X1907" s="584">
        <f t="shared" si="1021"/>
        <v>35</v>
      </c>
      <c r="Y1907" s="584">
        <f t="shared" si="1022"/>
        <v>2</v>
      </c>
      <c r="Z1907" s="584">
        <f t="shared" si="1023"/>
        <v>9</v>
      </c>
      <c r="AA1907" s="584">
        <f t="shared" si="1024"/>
        <v>0</v>
      </c>
      <c r="AB1907" s="584">
        <f t="shared" si="1025"/>
        <v>0</v>
      </c>
      <c r="AC1907" s="581"/>
    </row>
    <row r="1908" spans="17:29">
      <c r="Q1908" s="579">
        <v>46147</v>
      </c>
      <c r="R1908" s="580">
        <v>0.41666666666666669</v>
      </c>
      <c r="S1908" s="581" t="s">
        <v>289</v>
      </c>
      <c r="T1908" s="581" t="s">
        <v>897</v>
      </c>
      <c r="U1908" s="582">
        <v>0.25</v>
      </c>
      <c r="V1908" s="583" t="str">
        <f t="shared" si="1019"/>
        <v>package</v>
      </c>
      <c r="W1908" s="584">
        <f t="shared" si="1020"/>
        <v>12.5</v>
      </c>
      <c r="X1908" s="584">
        <f t="shared" si="1021"/>
        <v>0.25</v>
      </c>
      <c r="Y1908" s="584">
        <f t="shared" si="1022"/>
        <v>0.5</v>
      </c>
      <c r="Z1908" s="584">
        <f t="shared" si="1023"/>
        <v>1.75</v>
      </c>
      <c r="AA1908" s="584">
        <f t="shared" si="1024"/>
        <v>0</v>
      </c>
      <c r="AB1908" s="584">
        <f t="shared" si="1025"/>
        <v>0</v>
      </c>
      <c r="AC1908" s="581"/>
    </row>
    <row r="1909" spans="17:29">
      <c r="Q1909" s="579">
        <v>46147</v>
      </c>
      <c r="R1909" s="580">
        <v>0.41666666666666669</v>
      </c>
      <c r="S1909" s="581" t="s">
        <v>289</v>
      </c>
      <c r="T1909" s="581" t="s">
        <v>1119</v>
      </c>
      <c r="U1909" s="582">
        <v>0.25</v>
      </c>
      <c r="V1909" s="583" t="str">
        <f t="shared" si="1019"/>
        <v>bag</v>
      </c>
      <c r="W1909" s="584">
        <f t="shared" si="1020"/>
        <v>17.5</v>
      </c>
      <c r="X1909" s="584">
        <f t="shared" si="1021"/>
        <v>0.25</v>
      </c>
      <c r="Y1909" s="584">
        <f t="shared" si="1022"/>
        <v>1</v>
      </c>
      <c r="Z1909" s="584">
        <f t="shared" si="1023"/>
        <v>1.75</v>
      </c>
      <c r="AA1909" s="584">
        <f t="shared" si="1024"/>
        <v>0.25</v>
      </c>
      <c r="AB1909" s="584">
        <f t="shared" si="1025"/>
        <v>0</v>
      </c>
      <c r="AC1909" s="581"/>
    </row>
    <row r="1910" spans="17:29">
      <c r="Q1910" s="579">
        <v>46147</v>
      </c>
      <c r="R1910" s="580">
        <v>0.5</v>
      </c>
      <c r="S1910" s="581" t="s">
        <v>289</v>
      </c>
      <c r="T1910" s="581" t="s">
        <v>461</v>
      </c>
      <c r="U1910" s="582">
        <v>1</v>
      </c>
      <c r="V1910" s="583" t="str">
        <f t="shared" si="1019"/>
        <v>chunks</v>
      </c>
      <c r="W1910" s="584">
        <f t="shared" si="1020"/>
        <v>24.285714285714285</v>
      </c>
      <c r="X1910" s="584">
        <f t="shared" si="1021"/>
        <v>0.42857142857142855</v>
      </c>
      <c r="Y1910" s="584">
        <f t="shared" si="1022"/>
        <v>1.4285714285714284</v>
      </c>
      <c r="Z1910" s="584">
        <f t="shared" si="1023"/>
        <v>2.5714285714285712</v>
      </c>
      <c r="AA1910" s="584">
        <f t="shared" si="1024"/>
        <v>7.1428571428571425E-2</v>
      </c>
      <c r="AB1910" s="584">
        <f t="shared" si="1025"/>
        <v>0</v>
      </c>
      <c r="AC1910" s="581"/>
    </row>
    <row r="1911" spans="17:29">
      <c r="Q1911" s="579">
        <v>46147</v>
      </c>
      <c r="R1911" s="580">
        <v>0.54166666666666663</v>
      </c>
      <c r="S1911" s="581" t="s">
        <v>185</v>
      </c>
      <c r="T1911" s="581" t="s">
        <v>1117</v>
      </c>
      <c r="U1911" s="582">
        <v>315</v>
      </c>
      <c r="V1911" s="583" t="str">
        <f t="shared" si="1019"/>
        <v>g</v>
      </c>
      <c r="W1911" s="584">
        <f t="shared" si="1020"/>
        <v>296.09999999999997</v>
      </c>
      <c r="X1911" s="584">
        <f t="shared" si="1021"/>
        <v>45.989999999999995</v>
      </c>
      <c r="Y1911" s="584">
        <f t="shared" si="1022"/>
        <v>4.7249999999999996</v>
      </c>
      <c r="Z1911" s="584">
        <f t="shared" si="1023"/>
        <v>14.174999999999999</v>
      </c>
      <c r="AA1911" s="584">
        <f t="shared" si="1024"/>
        <v>2.835</v>
      </c>
      <c r="AB1911" s="584">
        <f t="shared" si="1025"/>
        <v>0</v>
      </c>
      <c r="AC1911" s="581"/>
    </row>
    <row r="1912" spans="17:29">
      <c r="Q1912" s="579">
        <v>46147</v>
      </c>
      <c r="R1912" s="580">
        <v>0.54166666666666663</v>
      </c>
      <c r="S1912" s="581" t="s">
        <v>185</v>
      </c>
      <c r="T1912" s="581" t="s">
        <v>180</v>
      </c>
      <c r="U1912" s="582">
        <v>210</v>
      </c>
      <c r="V1912" s="583" t="str">
        <f t="shared" si="1019"/>
        <v>g</v>
      </c>
      <c r="W1912" s="584">
        <f t="shared" si="1020"/>
        <v>273</v>
      </c>
      <c r="X1912" s="584">
        <f t="shared" si="1021"/>
        <v>5.6700000000000008</v>
      </c>
      <c r="Y1912" s="584">
        <f t="shared" si="1022"/>
        <v>0.63</v>
      </c>
      <c r="Z1912" s="584">
        <f t="shared" si="1023"/>
        <v>58.800000000000004</v>
      </c>
      <c r="AA1912" s="584">
        <f t="shared" si="1024"/>
        <v>0.84000000000000008</v>
      </c>
      <c r="AB1912" s="584">
        <f t="shared" si="1025"/>
        <v>0</v>
      </c>
      <c r="AC1912" s="581"/>
    </row>
    <row r="1913" spans="17:29">
      <c r="Q1913" s="579">
        <v>46147</v>
      </c>
      <c r="R1913" s="580">
        <v>0.83333333333333337</v>
      </c>
      <c r="S1913" s="581" t="s">
        <v>289</v>
      </c>
      <c r="T1913" s="581" t="s">
        <v>461</v>
      </c>
      <c r="U1913" s="582">
        <v>1</v>
      </c>
      <c r="V1913" s="583" t="str">
        <f t="shared" si="1019"/>
        <v>chunks</v>
      </c>
      <c r="W1913" s="584">
        <f t="shared" si="1020"/>
        <v>24.285714285714285</v>
      </c>
      <c r="X1913" s="584">
        <f t="shared" si="1021"/>
        <v>0.42857142857142855</v>
      </c>
      <c r="Y1913" s="584">
        <f t="shared" si="1022"/>
        <v>1.4285714285714284</v>
      </c>
      <c r="Z1913" s="584">
        <f t="shared" si="1023"/>
        <v>2.5714285714285712</v>
      </c>
      <c r="AA1913" s="584">
        <f t="shared" si="1024"/>
        <v>7.1428571428571425E-2</v>
      </c>
      <c r="AB1913" s="584">
        <f t="shared" si="1025"/>
        <v>0</v>
      </c>
      <c r="AC1913" s="581"/>
    </row>
    <row r="1914" spans="17:29">
      <c r="Q1914" s="579">
        <v>46147</v>
      </c>
      <c r="R1914" s="580">
        <v>0.875</v>
      </c>
      <c r="S1914" s="581" t="s">
        <v>199</v>
      </c>
      <c r="T1914" s="581" t="s">
        <v>1117</v>
      </c>
      <c r="U1914" s="582">
        <v>315</v>
      </c>
      <c r="V1914" s="583" t="str">
        <f t="shared" si="1019"/>
        <v>g</v>
      </c>
      <c r="W1914" s="584">
        <f t="shared" si="1020"/>
        <v>296.09999999999997</v>
      </c>
      <c r="X1914" s="584">
        <f t="shared" si="1021"/>
        <v>45.989999999999995</v>
      </c>
      <c r="Y1914" s="584">
        <f t="shared" si="1022"/>
        <v>4.7249999999999996</v>
      </c>
      <c r="Z1914" s="584">
        <f t="shared" si="1023"/>
        <v>14.174999999999999</v>
      </c>
      <c r="AA1914" s="584">
        <f t="shared" si="1024"/>
        <v>2.835</v>
      </c>
      <c r="AB1914" s="584">
        <f t="shared" si="1025"/>
        <v>0</v>
      </c>
      <c r="AC1914" s="581"/>
    </row>
    <row r="1915" spans="17:29">
      <c r="Q1915" s="579">
        <v>46147</v>
      </c>
      <c r="R1915" s="580">
        <v>0.875</v>
      </c>
      <c r="S1915" s="581" t="s">
        <v>199</v>
      </c>
      <c r="T1915" s="581" t="s">
        <v>181</v>
      </c>
      <c r="U1915" s="582">
        <v>4</v>
      </c>
      <c r="V1915" s="583" t="str">
        <f t="shared" si="1019"/>
        <v>slice</v>
      </c>
      <c r="W1915" s="584">
        <f t="shared" si="1020"/>
        <v>280</v>
      </c>
      <c r="X1915" s="584">
        <f t="shared" si="1021"/>
        <v>10</v>
      </c>
      <c r="Y1915" s="584">
        <f t="shared" si="1022"/>
        <v>5</v>
      </c>
      <c r="Z1915" s="584">
        <f t="shared" si="1023"/>
        <v>48</v>
      </c>
      <c r="AA1915" s="584">
        <f t="shared" si="1024"/>
        <v>4</v>
      </c>
      <c r="AB1915" s="584">
        <f t="shared" si="1025"/>
        <v>0</v>
      </c>
      <c r="AC1915" s="581"/>
    </row>
    <row r="1916" spans="17:29">
      <c r="Q1916" s="579">
        <v>46147</v>
      </c>
      <c r="R1916" s="580">
        <v>0.875</v>
      </c>
      <c r="S1916" s="581" t="s">
        <v>199</v>
      </c>
      <c r="T1916" s="581" t="s">
        <v>786</v>
      </c>
      <c r="U1916" s="582">
        <v>1</v>
      </c>
      <c r="V1916" s="583" t="str">
        <f t="shared" si="1019"/>
        <v>bottle</v>
      </c>
      <c r="W1916" s="584">
        <f t="shared" si="1020"/>
        <v>90</v>
      </c>
      <c r="X1916" s="584">
        <f t="shared" si="1021"/>
        <v>0</v>
      </c>
      <c r="Y1916" s="584">
        <f t="shared" si="1022"/>
        <v>0</v>
      </c>
      <c r="Z1916" s="584">
        <f t="shared" si="1023"/>
        <v>22</v>
      </c>
      <c r="AA1916" s="584">
        <f t="shared" si="1024"/>
        <v>0</v>
      </c>
      <c r="AB1916" s="584">
        <f t="shared" si="1025"/>
        <v>0</v>
      </c>
      <c r="AC1916" s="581"/>
    </row>
    <row r="1917" spans="17:29">
      <c r="Q1917" s="579">
        <v>46147</v>
      </c>
      <c r="R1917" s="580">
        <v>0.875</v>
      </c>
      <c r="S1917" s="581" t="s">
        <v>199</v>
      </c>
      <c r="T1917" s="581" t="s">
        <v>1081</v>
      </c>
      <c r="U1917" s="582">
        <v>32</v>
      </c>
      <c r="V1917" s="583" t="str">
        <f t="shared" si="1019"/>
        <v>g</v>
      </c>
      <c r="W1917" s="584">
        <f t="shared" si="1020"/>
        <v>64</v>
      </c>
      <c r="X1917" s="584">
        <f t="shared" si="1021"/>
        <v>0</v>
      </c>
      <c r="Y1917" s="584">
        <f t="shared" si="1022"/>
        <v>0</v>
      </c>
      <c r="Z1917" s="584">
        <f t="shared" si="1023"/>
        <v>25.6</v>
      </c>
      <c r="AA1917" s="584">
        <f t="shared" si="1024"/>
        <v>25.6</v>
      </c>
      <c r="AB1917" s="584">
        <f t="shared" si="1025"/>
        <v>0</v>
      </c>
      <c r="AC1917" s="581"/>
    </row>
    <row r="1918" spans="17:29">
      <c r="Q1918" s="585"/>
      <c r="R1918" s="586" t="s">
        <v>217</v>
      </c>
      <c r="S1918" s="587"/>
      <c r="T1918" s="588"/>
      <c r="U1918" s="588"/>
      <c r="V1918" s="589"/>
      <c r="W1918" s="590">
        <f t="shared" ref="W1918:AB1918" si="1026">SUM(W1904:W1917)</f>
        <v>2047.7714285714285</v>
      </c>
      <c r="X1918" s="590">
        <f t="shared" si="1026"/>
        <v>158.00714285714287</v>
      </c>
      <c r="Y1918" s="590">
        <f t="shared" si="1026"/>
        <v>46.437142857142859</v>
      </c>
      <c r="Z1918" s="590">
        <f t="shared" si="1026"/>
        <v>252.39285714285717</v>
      </c>
      <c r="AA1918" s="688">
        <f t="shared" si="1026"/>
        <v>40.502857142857145</v>
      </c>
      <c r="AB1918" s="691">
        <f t="shared" si="1026"/>
        <v>0</v>
      </c>
      <c r="AC1918" s="586"/>
    </row>
    <row r="1919" spans="17:29">
      <c r="Q1919" s="585"/>
      <c r="R1919" s="586" t="s">
        <v>220</v>
      </c>
      <c r="S1919" s="587"/>
      <c r="T1919" s="588"/>
      <c r="U1919" s="588"/>
      <c r="V1919" s="589"/>
      <c r="W1919" s="591">
        <f>$B$27</f>
        <v>2834.5625</v>
      </c>
      <c r="X1919" s="591">
        <f>$B$29</f>
        <v>154</v>
      </c>
      <c r="Y1919" s="591">
        <f>$B$30</f>
        <v>63.91</v>
      </c>
      <c r="Z1919" s="591">
        <f>$B$31</f>
        <v>410.84312499999999</v>
      </c>
      <c r="AA1919" s="642">
        <f>$B$32</f>
        <v>39.683875</v>
      </c>
      <c r="AB1919" s="695">
        <f>$B$39</f>
        <v>500</v>
      </c>
      <c r="AC1919" s="586"/>
    </row>
    <row r="1920" spans="17:29">
      <c r="Q1920" s="585"/>
      <c r="R1920" s="586" t="s">
        <v>222</v>
      </c>
      <c r="S1920" s="587"/>
      <c r="T1920" s="588"/>
      <c r="U1920" s="588"/>
      <c r="V1920" s="589"/>
      <c r="W1920" s="591">
        <f t="shared" ref="W1920:AB1920" si="1027">W1918-W1919</f>
        <v>-786.79107142857151</v>
      </c>
      <c r="X1920" s="591">
        <f t="shared" si="1027"/>
        <v>4.0071428571428669</v>
      </c>
      <c r="Y1920" s="591">
        <f t="shared" si="1027"/>
        <v>-17.472857142857137</v>
      </c>
      <c r="Z1920" s="591">
        <f t="shared" si="1027"/>
        <v>-158.45026785714282</v>
      </c>
      <c r="AA1920" s="642">
        <f t="shared" si="1027"/>
        <v>0.81898214285714488</v>
      </c>
      <c r="AB1920" s="689">
        <f t="shared" si="1027"/>
        <v>-500</v>
      </c>
      <c r="AC1920" s="586"/>
    </row>
    <row r="1921" spans="17:29">
      <c r="Q1921" s="579">
        <v>46148</v>
      </c>
      <c r="R1921" s="580">
        <v>0.33333333333333331</v>
      </c>
      <c r="S1921" s="581" t="s">
        <v>178</v>
      </c>
      <c r="T1921" s="581" t="s">
        <v>181</v>
      </c>
      <c r="U1921" s="582">
        <v>4</v>
      </c>
      <c r="V1921" s="583" t="str">
        <f t="shared" ref="V1921:V1929" si="1028">IFERROR(VLOOKUP(T1921, $E$5:$L$818, 3, FALSE), "")</f>
        <v>slice</v>
      </c>
      <c r="W1921" s="584">
        <f t="shared" ref="W1921:W1929" si="1029">IFERROR(VLOOKUP(T1921, $E$5:$L$818, 4, FALSE) * (U1921 / VLOOKUP(T1921, $E$5:$L$818, 2, FALSE)), "")</f>
        <v>280</v>
      </c>
      <c r="X1921" s="584">
        <f t="shared" ref="X1921:X1929" si="1030">IFERROR(VLOOKUP(T1921, $E$5:$L$818, 5, FALSE) * (U1921 / VLOOKUP(T1921, $E$5:$L$818, 2, FALSE)), "")</f>
        <v>10</v>
      </c>
      <c r="Y1921" s="584">
        <f t="shared" ref="Y1921:Y1929" si="1031">IFERROR(VLOOKUP(T1921, $E$5:$L$818, 6, FALSE) * (U1921 / VLOOKUP(T1921, $E$5:$L$818, 2, FALSE)), "")</f>
        <v>5</v>
      </c>
      <c r="Z1921" s="584">
        <f t="shared" ref="Z1921:Z1929" si="1032">IFERROR(VLOOKUP(T1921, $E$5:$L$818, 7, FALSE) * (U1921 / VLOOKUP(T1921, $E$5:$L$818, 2, FALSE)), "")</f>
        <v>48</v>
      </c>
      <c r="AA1921" s="584">
        <f t="shared" ref="AA1921:AA1929" si="1033">IFERROR(VLOOKUP(T1921, $E$5:$L$818, 8, FALSE) * (U1921 / VLOOKUP(T1921, $E$5:$L$818, 2, FALSE)), "")</f>
        <v>4</v>
      </c>
      <c r="AB1921" s="674">
        <f t="shared" ref="AB1921:AB1929" si="1034">IFERROR(VLOOKUP(T1921, $E$5:$O$818, 9, FALSE) * (U1921 / VLOOKUP(T1921, $E$5:$O$818, 2, FALSE)), "")</f>
        <v>0</v>
      </c>
      <c r="AC1921" s="581"/>
    </row>
    <row r="1922" spans="17:29">
      <c r="Q1922" s="579">
        <v>46148</v>
      </c>
      <c r="R1922" s="580">
        <v>0.33333333333333331</v>
      </c>
      <c r="S1922" s="581" t="s">
        <v>178</v>
      </c>
      <c r="T1922" s="581" t="s">
        <v>463</v>
      </c>
      <c r="U1922" s="582">
        <v>1</v>
      </c>
      <c r="V1922" s="583" t="str">
        <f t="shared" si="1028"/>
        <v>bottle</v>
      </c>
      <c r="W1922" s="584">
        <f t="shared" si="1029"/>
        <v>190</v>
      </c>
      <c r="X1922" s="584">
        <f t="shared" si="1030"/>
        <v>35</v>
      </c>
      <c r="Y1922" s="584">
        <f t="shared" si="1031"/>
        <v>2</v>
      </c>
      <c r="Z1922" s="584">
        <f t="shared" si="1032"/>
        <v>9</v>
      </c>
      <c r="AA1922" s="584">
        <f t="shared" si="1033"/>
        <v>0</v>
      </c>
      <c r="AB1922" s="584">
        <f t="shared" si="1034"/>
        <v>0</v>
      </c>
      <c r="AC1922" s="581"/>
    </row>
    <row r="1923" spans="17:29">
      <c r="Q1923" s="579">
        <v>46148</v>
      </c>
      <c r="R1923" s="580">
        <v>0.54166666666666663</v>
      </c>
      <c r="S1923" s="581" t="s">
        <v>185</v>
      </c>
      <c r="T1923" s="581" t="s">
        <v>1117</v>
      </c>
      <c r="U1923" s="582">
        <v>315</v>
      </c>
      <c r="V1923" s="583" t="str">
        <f t="shared" si="1028"/>
        <v>g</v>
      </c>
      <c r="W1923" s="584">
        <f t="shared" si="1029"/>
        <v>296.09999999999997</v>
      </c>
      <c r="X1923" s="584">
        <f t="shared" si="1030"/>
        <v>45.989999999999995</v>
      </c>
      <c r="Y1923" s="584">
        <f t="shared" si="1031"/>
        <v>4.7249999999999996</v>
      </c>
      <c r="Z1923" s="584">
        <f t="shared" si="1032"/>
        <v>14.174999999999999</v>
      </c>
      <c r="AA1923" s="584">
        <f t="shared" si="1033"/>
        <v>2.835</v>
      </c>
      <c r="AB1923" s="584">
        <f t="shared" si="1034"/>
        <v>0</v>
      </c>
      <c r="AC1923" s="581"/>
    </row>
    <row r="1924" spans="17:29">
      <c r="Q1924" s="579">
        <v>46148</v>
      </c>
      <c r="R1924" s="580">
        <v>0.54166666666666663</v>
      </c>
      <c r="S1924" s="581" t="s">
        <v>185</v>
      </c>
      <c r="T1924" s="581" t="s">
        <v>180</v>
      </c>
      <c r="U1924" s="582">
        <v>180</v>
      </c>
      <c r="V1924" s="583" t="str">
        <f t="shared" si="1028"/>
        <v>g</v>
      </c>
      <c r="W1924" s="584">
        <f t="shared" si="1029"/>
        <v>234</v>
      </c>
      <c r="X1924" s="584">
        <f t="shared" si="1030"/>
        <v>4.8600000000000003</v>
      </c>
      <c r="Y1924" s="584">
        <f t="shared" si="1031"/>
        <v>0.54</v>
      </c>
      <c r="Z1924" s="584">
        <f t="shared" si="1032"/>
        <v>50.4</v>
      </c>
      <c r="AA1924" s="584">
        <f t="shared" si="1033"/>
        <v>0.72000000000000008</v>
      </c>
      <c r="AB1924" s="584">
        <f t="shared" si="1034"/>
        <v>0</v>
      </c>
      <c r="AC1924" s="581"/>
    </row>
    <row r="1925" spans="17:29">
      <c r="Q1925" s="579">
        <v>46148</v>
      </c>
      <c r="R1925" s="580">
        <v>0.58333333333333337</v>
      </c>
      <c r="S1925" s="581" t="s">
        <v>289</v>
      </c>
      <c r="T1925" s="581" t="s">
        <v>268</v>
      </c>
      <c r="U1925" s="582">
        <v>2</v>
      </c>
      <c r="V1925" s="583" t="str">
        <f t="shared" si="1028"/>
        <v>scoop</v>
      </c>
      <c r="W1925" s="584">
        <f t="shared" si="1029"/>
        <v>320</v>
      </c>
      <c r="X1925" s="584">
        <f t="shared" si="1030"/>
        <v>5</v>
      </c>
      <c r="Y1925" s="584">
        <f t="shared" si="1031"/>
        <v>17</v>
      </c>
      <c r="Z1925" s="584">
        <f t="shared" si="1032"/>
        <v>39</v>
      </c>
      <c r="AA1925" s="584">
        <f t="shared" si="1033"/>
        <v>0</v>
      </c>
      <c r="AB1925" s="584">
        <f t="shared" si="1034"/>
        <v>0</v>
      </c>
      <c r="AC1925" s="581"/>
    </row>
    <row r="1926" spans="17:29">
      <c r="Q1926" s="579">
        <v>46148</v>
      </c>
      <c r="R1926" s="580">
        <v>0.58333333333333337</v>
      </c>
      <c r="S1926" s="581" t="s">
        <v>289</v>
      </c>
      <c r="T1926" s="581" t="s">
        <v>461</v>
      </c>
      <c r="U1926" s="582">
        <v>1</v>
      </c>
      <c r="V1926" s="583" t="str">
        <f t="shared" si="1028"/>
        <v>chunks</v>
      </c>
      <c r="W1926" s="584">
        <f t="shared" si="1029"/>
        <v>24.285714285714285</v>
      </c>
      <c r="X1926" s="584">
        <f t="shared" si="1030"/>
        <v>0.42857142857142855</v>
      </c>
      <c r="Y1926" s="584">
        <f t="shared" si="1031"/>
        <v>1.4285714285714284</v>
      </c>
      <c r="Z1926" s="584">
        <f t="shared" si="1032"/>
        <v>2.5714285714285712</v>
      </c>
      <c r="AA1926" s="584">
        <f t="shared" si="1033"/>
        <v>7.1428571428571425E-2</v>
      </c>
      <c r="AB1926" s="584">
        <f t="shared" si="1034"/>
        <v>0</v>
      </c>
      <c r="AC1926" s="581"/>
    </row>
    <row r="1927" spans="17:29">
      <c r="Q1927" s="579">
        <v>46148</v>
      </c>
      <c r="R1927" s="580">
        <v>0.58333333333333337</v>
      </c>
      <c r="S1927" s="581" t="s">
        <v>289</v>
      </c>
      <c r="T1927" s="581" t="s">
        <v>464</v>
      </c>
      <c r="U1927" s="582">
        <v>4</v>
      </c>
      <c r="V1927" s="583" t="str">
        <f t="shared" si="1028"/>
        <v>lozenge</v>
      </c>
      <c r="W1927" s="584">
        <f t="shared" si="1029"/>
        <v>40</v>
      </c>
      <c r="X1927" s="584">
        <f t="shared" si="1030"/>
        <v>0</v>
      </c>
      <c r="Y1927" s="584">
        <f t="shared" si="1031"/>
        <v>0</v>
      </c>
      <c r="Z1927" s="584">
        <f t="shared" si="1032"/>
        <v>12</v>
      </c>
      <c r="AA1927" s="584">
        <f t="shared" si="1033"/>
        <v>0</v>
      </c>
      <c r="AB1927" s="584">
        <f t="shared" si="1034"/>
        <v>0</v>
      </c>
      <c r="AC1927" s="581"/>
    </row>
    <row r="1928" spans="17:29">
      <c r="Q1928" s="579">
        <v>46148</v>
      </c>
      <c r="R1928" s="580">
        <v>0.83333333333333337</v>
      </c>
      <c r="S1928" s="581" t="s">
        <v>199</v>
      </c>
      <c r="T1928" s="581" t="s">
        <v>1117</v>
      </c>
      <c r="U1928" s="582">
        <v>315</v>
      </c>
      <c r="V1928" s="583" t="str">
        <f t="shared" si="1028"/>
        <v>g</v>
      </c>
      <c r="W1928" s="584">
        <f t="shared" si="1029"/>
        <v>296.09999999999997</v>
      </c>
      <c r="X1928" s="584">
        <f t="shared" si="1030"/>
        <v>45.989999999999995</v>
      </c>
      <c r="Y1928" s="584">
        <f t="shared" si="1031"/>
        <v>4.7249999999999996</v>
      </c>
      <c r="Z1928" s="584">
        <f t="shared" si="1032"/>
        <v>14.174999999999999</v>
      </c>
      <c r="AA1928" s="584">
        <f t="shared" si="1033"/>
        <v>2.835</v>
      </c>
      <c r="AB1928" s="584">
        <f t="shared" si="1034"/>
        <v>0</v>
      </c>
      <c r="AC1928" s="581"/>
    </row>
    <row r="1929" spans="17:29">
      <c r="Q1929" s="579">
        <v>46148</v>
      </c>
      <c r="R1929" s="580">
        <v>0.83333333333333337</v>
      </c>
      <c r="S1929" s="581" t="s">
        <v>199</v>
      </c>
      <c r="T1929" s="581" t="s">
        <v>180</v>
      </c>
      <c r="U1929" s="582">
        <v>250</v>
      </c>
      <c r="V1929" s="583" t="str">
        <f t="shared" si="1028"/>
        <v>g</v>
      </c>
      <c r="W1929" s="584">
        <f t="shared" si="1029"/>
        <v>325</v>
      </c>
      <c r="X1929" s="584">
        <f t="shared" si="1030"/>
        <v>6.75</v>
      </c>
      <c r="Y1929" s="584">
        <f t="shared" si="1031"/>
        <v>0.75</v>
      </c>
      <c r="Z1929" s="584">
        <f t="shared" si="1032"/>
        <v>70</v>
      </c>
      <c r="AA1929" s="584">
        <f t="shared" si="1033"/>
        <v>1</v>
      </c>
      <c r="AB1929" s="584">
        <f t="shared" si="1034"/>
        <v>0</v>
      </c>
      <c r="AC1929" s="581"/>
    </row>
    <row r="1930" spans="17:29">
      <c r="Q1930" s="585"/>
      <c r="R1930" s="586" t="s">
        <v>217</v>
      </c>
      <c r="S1930" s="587"/>
      <c r="T1930" s="588"/>
      <c r="U1930" s="588"/>
      <c r="V1930" s="589"/>
      <c r="W1930" s="590">
        <f t="shared" ref="W1930:AB1930" si="1035">SUM(W1921:W1929)</f>
        <v>2005.485714285714</v>
      </c>
      <c r="X1930" s="590">
        <f t="shared" si="1035"/>
        <v>154.01857142857142</v>
      </c>
      <c r="Y1930" s="590">
        <f t="shared" si="1035"/>
        <v>36.168571428571425</v>
      </c>
      <c r="Z1930" s="590">
        <f t="shared" si="1035"/>
        <v>259.32142857142856</v>
      </c>
      <c r="AA1930" s="688">
        <f t="shared" si="1035"/>
        <v>11.46142857142857</v>
      </c>
      <c r="AB1930" s="691">
        <f t="shared" si="1035"/>
        <v>0</v>
      </c>
      <c r="AC1930" s="586"/>
    </row>
    <row r="1931" spans="17:29">
      <c r="Q1931" s="585"/>
      <c r="R1931" s="586" t="s">
        <v>220</v>
      </c>
      <c r="S1931" s="587"/>
      <c r="T1931" s="588"/>
      <c r="U1931" s="588"/>
      <c r="V1931" s="589"/>
      <c r="W1931" s="591">
        <f>$B$27</f>
        <v>2834.5625</v>
      </c>
      <c r="X1931" s="591">
        <f>$B$29</f>
        <v>154</v>
      </c>
      <c r="Y1931" s="591">
        <f>$B$30</f>
        <v>63.91</v>
      </c>
      <c r="Z1931" s="591">
        <f>$B$31</f>
        <v>410.84312499999999</v>
      </c>
      <c r="AA1931" s="642">
        <f>$B$32</f>
        <v>39.683875</v>
      </c>
      <c r="AB1931" s="695">
        <f>$B$39</f>
        <v>500</v>
      </c>
      <c r="AC1931" s="586"/>
    </row>
    <row r="1932" spans="17:29">
      <c r="Q1932" s="585"/>
      <c r="R1932" s="586" t="s">
        <v>222</v>
      </c>
      <c r="S1932" s="587"/>
      <c r="T1932" s="588"/>
      <c r="U1932" s="588"/>
      <c r="V1932" s="589"/>
      <c r="W1932" s="591">
        <f t="shared" ref="W1932:AB1932" si="1036">W1930-W1931</f>
        <v>-829.07678571428596</v>
      </c>
      <c r="X1932" s="591">
        <f t="shared" si="1036"/>
        <v>1.8571428571419801E-2</v>
      </c>
      <c r="Y1932" s="591">
        <f t="shared" si="1036"/>
        <v>-27.741428571428571</v>
      </c>
      <c r="Z1932" s="591">
        <f t="shared" si="1036"/>
        <v>-151.52169642857143</v>
      </c>
      <c r="AA1932" s="642">
        <f t="shared" si="1036"/>
        <v>-28.22244642857143</v>
      </c>
      <c r="AB1932" s="689">
        <f t="shared" si="1036"/>
        <v>-500</v>
      </c>
      <c r="AC1932" s="586"/>
    </row>
    <row r="1933" spans="17:29">
      <c r="Q1933" s="701">
        <v>46149</v>
      </c>
      <c r="R1933" s="580">
        <v>0.33333333333333331</v>
      </c>
      <c r="S1933" s="581" t="s">
        <v>178</v>
      </c>
      <c r="T1933" s="581" t="s">
        <v>181</v>
      </c>
      <c r="U1933" s="582">
        <v>4</v>
      </c>
      <c r="V1933" s="705" t="str">
        <f t="shared" ref="V1933:V1948" si="1037">IFERROR(VLOOKUP(T1933, $E$5:$L$818, 3, FALSE), "")</f>
        <v>slice</v>
      </c>
      <c r="W1933" s="706">
        <f t="shared" ref="W1933:W1948" si="1038">IFERROR(VLOOKUP(T1933, $E$5:$L$818, 4, FALSE) * (U1933 / VLOOKUP(T1933, $E$5:$L$818, 2, FALSE)), "")</f>
        <v>280</v>
      </c>
      <c r="X1933" s="706">
        <f t="shared" ref="X1933:X1948" si="1039">IFERROR(VLOOKUP(T1933, $E$5:$L$818, 5, FALSE) * (U1933 / VLOOKUP(T1933, $E$5:$L$818, 2, FALSE)), "")</f>
        <v>10</v>
      </c>
      <c r="Y1933" s="706">
        <f t="shared" ref="Y1933:Y1948" si="1040">IFERROR(VLOOKUP(T1933, $E$5:$L$818, 6, FALSE) * (U1933 / VLOOKUP(T1933, $E$5:$L$818, 2, FALSE)), "")</f>
        <v>5</v>
      </c>
      <c r="Z1933" s="706">
        <f t="shared" ref="Z1933:Z1948" si="1041">IFERROR(VLOOKUP(T1933, $E$5:$L$818, 7, FALSE) * (U1933 / VLOOKUP(T1933, $E$5:$L$818, 2, FALSE)), "")</f>
        <v>48</v>
      </c>
      <c r="AA1933" s="706">
        <f t="shared" ref="AA1933:AA1948" si="1042">IFERROR(VLOOKUP(T1933, $E$5:$L$818, 8, FALSE) * (U1933 / VLOOKUP(T1933, $E$5:$L$818, 2, FALSE)), "")</f>
        <v>4</v>
      </c>
      <c r="AB1933" s="707">
        <f t="shared" ref="AB1933:AB1946" si="1043">IFERROR(VLOOKUP(T1933, $E$5:$O$818, 9, FALSE) * (U1933 / VLOOKUP(T1933, $E$5:$O$818, 2, FALSE)), "")</f>
        <v>0</v>
      </c>
      <c r="AC1933" s="703"/>
    </row>
    <row r="1934" spans="17:29">
      <c r="Q1934" s="701">
        <v>46149</v>
      </c>
      <c r="R1934" s="580">
        <v>0.33333333333333331</v>
      </c>
      <c r="S1934" s="581" t="s">
        <v>178</v>
      </c>
      <c r="T1934" s="581" t="s">
        <v>463</v>
      </c>
      <c r="U1934" s="582">
        <v>1</v>
      </c>
      <c r="V1934" s="705" t="str">
        <f t="shared" si="1037"/>
        <v>bottle</v>
      </c>
      <c r="W1934" s="706">
        <f t="shared" si="1038"/>
        <v>190</v>
      </c>
      <c r="X1934" s="706">
        <f t="shared" si="1039"/>
        <v>35</v>
      </c>
      <c r="Y1934" s="706">
        <f t="shared" si="1040"/>
        <v>2</v>
      </c>
      <c r="Z1934" s="706">
        <f t="shared" si="1041"/>
        <v>9</v>
      </c>
      <c r="AA1934" s="706">
        <f t="shared" si="1042"/>
        <v>0</v>
      </c>
      <c r="AB1934" s="706">
        <f t="shared" si="1043"/>
        <v>0</v>
      </c>
      <c r="AC1934" s="703"/>
    </row>
    <row r="1935" spans="17:29">
      <c r="Q1935" s="701">
        <v>46149</v>
      </c>
      <c r="R1935" s="580">
        <v>0.33333333333333331</v>
      </c>
      <c r="S1935" s="703" t="s">
        <v>289</v>
      </c>
      <c r="T1935" s="703" t="s">
        <v>461</v>
      </c>
      <c r="U1935" s="704">
        <v>2</v>
      </c>
      <c r="V1935" s="705" t="str">
        <f t="shared" si="1037"/>
        <v>chunks</v>
      </c>
      <c r="W1935" s="706">
        <f t="shared" si="1038"/>
        <v>48.571428571428569</v>
      </c>
      <c r="X1935" s="706">
        <f t="shared" si="1039"/>
        <v>0.8571428571428571</v>
      </c>
      <c r="Y1935" s="706">
        <f t="shared" si="1040"/>
        <v>2.8571428571428568</v>
      </c>
      <c r="Z1935" s="706">
        <f t="shared" si="1041"/>
        <v>5.1428571428571423</v>
      </c>
      <c r="AA1935" s="706">
        <f t="shared" si="1042"/>
        <v>0.14285714285714285</v>
      </c>
      <c r="AB1935" s="706">
        <f t="shared" si="1043"/>
        <v>0</v>
      </c>
      <c r="AC1935" s="703"/>
    </row>
    <row r="1936" spans="17:29">
      <c r="Q1936" s="701">
        <v>46149</v>
      </c>
      <c r="R1936" s="702"/>
      <c r="S1936" s="703"/>
      <c r="T1936" s="703"/>
      <c r="U1936" s="704"/>
      <c r="V1936" s="705" t="str">
        <f t="shared" si="1037"/>
        <v/>
      </c>
      <c r="W1936" s="706" t="str">
        <f t="shared" si="1038"/>
        <v/>
      </c>
      <c r="X1936" s="706" t="str">
        <f t="shared" si="1039"/>
        <v/>
      </c>
      <c r="Y1936" s="706" t="str">
        <f t="shared" si="1040"/>
        <v/>
      </c>
      <c r="Z1936" s="706" t="str">
        <f t="shared" si="1041"/>
        <v/>
      </c>
      <c r="AA1936" s="706" t="str">
        <f t="shared" si="1042"/>
        <v/>
      </c>
      <c r="AB1936" s="706" t="str">
        <f t="shared" si="1043"/>
        <v/>
      </c>
      <c r="AC1936" s="703"/>
    </row>
    <row r="1937" spans="17:29">
      <c r="Q1937" s="701">
        <v>46149</v>
      </c>
      <c r="R1937" s="702"/>
      <c r="S1937" s="703"/>
      <c r="T1937" s="703"/>
      <c r="U1937" s="704"/>
      <c r="V1937" s="705" t="str">
        <f t="shared" si="1037"/>
        <v/>
      </c>
      <c r="W1937" s="706" t="str">
        <f t="shared" si="1038"/>
        <v/>
      </c>
      <c r="X1937" s="706" t="str">
        <f t="shared" si="1039"/>
        <v/>
      </c>
      <c r="Y1937" s="706" t="str">
        <f t="shared" si="1040"/>
        <v/>
      </c>
      <c r="Z1937" s="706" t="str">
        <f t="shared" si="1041"/>
        <v/>
      </c>
      <c r="AA1937" s="706" t="str">
        <f t="shared" si="1042"/>
        <v/>
      </c>
      <c r="AB1937" s="706" t="str">
        <f t="shared" si="1043"/>
        <v/>
      </c>
      <c r="AC1937" s="703"/>
    </row>
    <row r="1938" spans="17:29">
      <c r="Q1938" s="701">
        <v>46149</v>
      </c>
      <c r="R1938" s="702"/>
      <c r="S1938" s="703"/>
      <c r="T1938" s="703"/>
      <c r="U1938" s="704"/>
      <c r="V1938" s="705" t="str">
        <f t="shared" si="1037"/>
        <v/>
      </c>
      <c r="W1938" s="706" t="str">
        <f t="shared" si="1038"/>
        <v/>
      </c>
      <c r="X1938" s="706" t="str">
        <f t="shared" si="1039"/>
        <v/>
      </c>
      <c r="Y1938" s="706" t="str">
        <f t="shared" si="1040"/>
        <v/>
      </c>
      <c r="Z1938" s="706" t="str">
        <f t="shared" si="1041"/>
        <v/>
      </c>
      <c r="AA1938" s="706" t="str">
        <f t="shared" si="1042"/>
        <v/>
      </c>
      <c r="AB1938" s="706" t="str">
        <f t="shared" si="1043"/>
        <v/>
      </c>
      <c r="AC1938" s="703"/>
    </row>
    <row r="1939" spans="17:29">
      <c r="Q1939" s="701">
        <v>46149</v>
      </c>
      <c r="R1939" s="702">
        <v>0.54166666666666663</v>
      </c>
      <c r="S1939" s="703" t="s">
        <v>185</v>
      </c>
      <c r="T1939" s="703" t="s">
        <v>1117</v>
      </c>
      <c r="U1939" s="704">
        <v>260</v>
      </c>
      <c r="V1939" s="705" t="str">
        <f t="shared" si="1037"/>
        <v>g</v>
      </c>
      <c r="W1939" s="706">
        <f t="shared" si="1038"/>
        <v>244.4</v>
      </c>
      <c r="X1939" s="706">
        <f t="shared" si="1039"/>
        <v>37.96</v>
      </c>
      <c r="Y1939" s="706">
        <f t="shared" si="1040"/>
        <v>3.9000000000000004</v>
      </c>
      <c r="Z1939" s="706">
        <f t="shared" si="1041"/>
        <v>11.700000000000001</v>
      </c>
      <c r="AA1939" s="706">
        <f t="shared" si="1042"/>
        <v>2.3400000000000003</v>
      </c>
      <c r="AB1939" s="706">
        <f t="shared" si="1043"/>
        <v>0</v>
      </c>
      <c r="AC1939" s="703"/>
    </row>
    <row r="1940" spans="17:29">
      <c r="Q1940" s="701">
        <v>46149</v>
      </c>
      <c r="R1940" s="702">
        <v>0.54166666666666663</v>
      </c>
      <c r="S1940" s="703" t="s">
        <v>185</v>
      </c>
      <c r="T1940" s="703" t="s">
        <v>180</v>
      </c>
      <c r="U1940" s="704">
        <v>250</v>
      </c>
      <c r="V1940" s="705" t="str">
        <f t="shared" si="1037"/>
        <v>g</v>
      </c>
      <c r="W1940" s="706">
        <f t="shared" si="1038"/>
        <v>325</v>
      </c>
      <c r="X1940" s="706">
        <f t="shared" si="1039"/>
        <v>6.75</v>
      </c>
      <c r="Y1940" s="706">
        <f t="shared" si="1040"/>
        <v>0.75</v>
      </c>
      <c r="Z1940" s="706">
        <f t="shared" si="1041"/>
        <v>70</v>
      </c>
      <c r="AA1940" s="706">
        <f t="shared" si="1042"/>
        <v>1</v>
      </c>
      <c r="AB1940" s="706">
        <f t="shared" si="1043"/>
        <v>0</v>
      </c>
      <c r="AC1940" s="703"/>
    </row>
    <row r="1941" spans="17:29">
      <c r="Q1941" s="701">
        <v>46149</v>
      </c>
      <c r="R1941" s="702"/>
      <c r="S1941" s="703"/>
      <c r="T1941" s="703"/>
      <c r="U1941" s="704"/>
      <c r="V1941" s="705" t="str">
        <f t="shared" si="1037"/>
        <v/>
      </c>
      <c r="W1941" s="706" t="str">
        <f t="shared" si="1038"/>
        <v/>
      </c>
      <c r="X1941" s="706" t="str">
        <f t="shared" si="1039"/>
        <v/>
      </c>
      <c r="Y1941" s="706" t="str">
        <f t="shared" si="1040"/>
        <v/>
      </c>
      <c r="Z1941" s="706" t="str">
        <f t="shared" si="1041"/>
        <v/>
      </c>
      <c r="AA1941" s="706" t="str">
        <f t="shared" si="1042"/>
        <v/>
      </c>
      <c r="AB1941" s="706" t="str">
        <f t="shared" si="1043"/>
        <v/>
      </c>
      <c r="AC1941" s="703"/>
    </row>
    <row r="1942" spans="17:29">
      <c r="Q1942" s="701">
        <v>46149</v>
      </c>
      <c r="R1942" s="702"/>
      <c r="S1942" s="703"/>
      <c r="T1942" s="703"/>
      <c r="U1942" s="704"/>
      <c r="V1942" s="705" t="str">
        <f t="shared" si="1037"/>
        <v/>
      </c>
      <c r="W1942" s="706" t="str">
        <f t="shared" si="1038"/>
        <v/>
      </c>
      <c r="X1942" s="706" t="str">
        <f t="shared" si="1039"/>
        <v/>
      </c>
      <c r="Y1942" s="706" t="str">
        <f t="shared" si="1040"/>
        <v/>
      </c>
      <c r="Z1942" s="706" t="str">
        <f t="shared" si="1041"/>
        <v/>
      </c>
      <c r="AA1942" s="706" t="str">
        <f t="shared" si="1042"/>
        <v/>
      </c>
      <c r="AB1942" s="706" t="str">
        <f t="shared" si="1043"/>
        <v/>
      </c>
      <c r="AC1942" s="703"/>
    </row>
    <row r="1943" spans="17:29">
      <c r="Q1943" s="701">
        <v>46149</v>
      </c>
      <c r="R1943" s="702"/>
      <c r="S1943" s="703"/>
      <c r="T1943" s="703"/>
      <c r="U1943" s="704"/>
      <c r="V1943" s="705" t="str">
        <f t="shared" si="1037"/>
        <v/>
      </c>
      <c r="W1943" s="706" t="str">
        <f t="shared" si="1038"/>
        <v/>
      </c>
      <c r="X1943" s="706" t="str">
        <f t="shared" si="1039"/>
        <v/>
      </c>
      <c r="Y1943" s="706" t="str">
        <f t="shared" si="1040"/>
        <v/>
      </c>
      <c r="Z1943" s="706" t="str">
        <f t="shared" si="1041"/>
        <v/>
      </c>
      <c r="AA1943" s="706" t="str">
        <f t="shared" si="1042"/>
        <v/>
      </c>
      <c r="AB1943" s="706" t="str">
        <f t="shared" si="1043"/>
        <v/>
      </c>
      <c r="AC1943" s="703"/>
    </row>
    <row r="1944" spans="17:29">
      <c r="Q1944" s="701">
        <v>46149</v>
      </c>
      <c r="R1944" s="702"/>
      <c r="S1944" s="703"/>
      <c r="T1944" s="703"/>
      <c r="U1944" s="704"/>
      <c r="V1944" s="705" t="str">
        <f t="shared" si="1037"/>
        <v/>
      </c>
      <c r="W1944" s="706" t="str">
        <f t="shared" si="1038"/>
        <v/>
      </c>
      <c r="X1944" s="706" t="str">
        <f t="shared" si="1039"/>
        <v/>
      </c>
      <c r="Y1944" s="706" t="str">
        <f t="shared" si="1040"/>
        <v/>
      </c>
      <c r="Z1944" s="706" t="str">
        <f t="shared" si="1041"/>
        <v/>
      </c>
      <c r="AA1944" s="706" t="str">
        <f t="shared" si="1042"/>
        <v/>
      </c>
      <c r="AB1944" s="706" t="str">
        <f t="shared" si="1043"/>
        <v/>
      </c>
      <c r="AC1944" s="703"/>
    </row>
    <row r="1945" spans="17:29">
      <c r="Q1945" s="701">
        <v>46149</v>
      </c>
      <c r="R1945" s="702"/>
      <c r="S1945" s="703"/>
      <c r="T1945" s="703"/>
      <c r="U1945" s="704"/>
      <c r="V1945" s="705" t="str">
        <f t="shared" si="1037"/>
        <v/>
      </c>
      <c r="W1945" s="706" t="str">
        <f t="shared" si="1038"/>
        <v/>
      </c>
      <c r="X1945" s="706" t="str">
        <f t="shared" si="1039"/>
        <v/>
      </c>
      <c r="Y1945" s="706" t="str">
        <f t="shared" si="1040"/>
        <v/>
      </c>
      <c r="Z1945" s="706" t="str">
        <f t="shared" si="1041"/>
        <v/>
      </c>
      <c r="AA1945" s="706" t="str">
        <f t="shared" si="1042"/>
        <v/>
      </c>
      <c r="AB1945" s="706" t="str">
        <f t="shared" si="1043"/>
        <v/>
      </c>
      <c r="AC1945" s="703"/>
    </row>
    <row r="1946" spans="17:29">
      <c r="Q1946" s="701">
        <v>46149</v>
      </c>
      <c r="R1946" s="702"/>
      <c r="S1946" s="703"/>
      <c r="T1946" s="703"/>
      <c r="U1946" s="704"/>
      <c r="V1946" s="705" t="str">
        <f t="shared" si="1037"/>
        <v/>
      </c>
      <c r="W1946" s="706" t="str">
        <f t="shared" si="1038"/>
        <v/>
      </c>
      <c r="X1946" s="706" t="str">
        <f t="shared" si="1039"/>
        <v/>
      </c>
      <c r="Y1946" s="706" t="str">
        <f t="shared" si="1040"/>
        <v/>
      </c>
      <c r="Z1946" s="706" t="str">
        <f t="shared" si="1041"/>
        <v/>
      </c>
      <c r="AA1946" s="706" t="str">
        <f t="shared" si="1042"/>
        <v/>
      </c>
      <c r="AB1946" s="706" t="str">
        <f t="shared" si="1043"/>
        <v/>
      </c>
      <c r="AC1946" s="703"/>
    </row>
    <row r="1947" spans="17:29">
      <c r="Q1947" s="701">
        <v>46149</v>
      </c>
      <c r="R1947" s="702"/>
      <c r="S1947" s="703"/>
      <c r="T1947" s="703"/>
      <c r="U1947" s="704"/>
      <c r="V1947" s="705" t="str">
        <f t="shared" si="1037"/>
        <v/>
      </c>
      <c r="W1947" s="706" t="str">
        <f t="shared" si="1038"/>
        <v/>
      </c>
      <c r="X1947" s="706" t="str">
        <f t="shared" si="1039"/>
        <v/>
      </c>
      <c r="Y1947" s="706" t="str">
        <f t="shared" si="1040"/>
        <v/>
      </c>
      <c r="Z1947" s="706" t="str">
        <f t="shared" si="1041"/>
        <v/>
      </c>
      <c r="AA1947" s="706" t="str">
        <f t="shared" si="1042"/>
        <v/>
      </c>
      <c r="AB1947" s="706"/>
      <c r="AC1947" s="703"/>
    </row>
    <row r="1948" spans="17:29">
      <c r="Q1948" s="701">
        <v>46149</v>
      </c>
      <c r="R1948" s="702"/>
      <c r="S1948" s="703"/>
      <c r="T1948" s="703"/>
      <c r="U1948" s="704"/>
      <c r="V1948" s="705" t="str">
        <f t="shared" si="1037"/>
        <v/>
      </c>
      <c r="W1948" s="706" t="str">
        <f t="shared" si="1038"/>
        <v/>
      </c>
      <c r="X1948" s="706" t="str">
        <f t="shared" si="1039"/>
        <v/>
      </c>
      <c r="Y1948" s="706" t="str">
        <f t="shared" si="1040"/>
        <v/>
      </c>
      <c r="Z1948" s="706" t="str">
        <f t="shared" si="1041"/>
        <v/>
      </c>
      <c r="AA1948" s="706" t="str">
        <f t="shared" si="1042"/>
        <v/>
      </c>
      <c r="AB1948" s="708"/>
      <c r="AC1948" s="703"/>
    </row>
    <row r="1949" spans="17:29">
      <c r="Q1949" s="709"/>
      <c r="R1949" s="710" t="s">
        <v>217</v>
      </c>
      <c r="S1949" s="711"/>
      <c r="T1949" s="712"/>
      <c r="U1949" s="712"/>
      <c r="V1949" s="713"/>
      <c r="W1949" s="714">
        <f t="shared" ref="W1949:AB1949" si="1044">SUM(W1933:W1948)</f>
        <v>1087.9714285714285</v>
      </c>
      <c r="X1949" s="714">
        <f t="shared" si="1044"/>
        <v>90.567142857142855</v>
      </c>
      <c r="Y1949" s="714">
        <f t="shared" si="1044"/>
        <v>14.507142857142858</v>
      </c>
      <c r="Z1949" s="714">
        <f t="shared" si="1044"/>
        <v>143.84285714285716</v>
      </c>
      <c r="AA1949" s="715">
        <f t="shared" si="1044"/>
        <v>7.482857142857144</v>
      </c>
      <c r="AB1949" s="716">
        <f t="shared" si="1044"/>
        <v>0</v>
      </c>
      <c r="AC1949" s="710"/>
    </row>
    <row r="1950" spans="17:29">
      <c r="Q1950" s="709"/>
      <c r="R1950" s="710" t="s">
        <v>220</v>
      </c>
      <c r="S1950" s="711"/>
      <c r="T1950" s="712"/>
      <c r="U1950" s="712"/>
      <c r="V1950" s="713"/>
      <c r="W1950" s="717">
        <f>$B$27</f>
        <v>2834.5625</v>
      </c>
      <c r="X1950" s="717">
        <f>$B$29</f>
        <v>154</v>
      </c>
      <c r="Y1950" s="717">
        <f>$B$30</f>
        <v>63.91</v>
      </c>
      <c r="Z1950" s="717">
        <f>$B$31</f>
        <v>410.84312499999999</v>
      </c>
      <c r="AA1950" s="718">
        <f>$B$32</f>
        <v>39.683875</v>
      </c>
      <c r="AB1950" s="719">
        <f>$B$39</f>
        <v>500</v>
      </c>
      <c r="AC1950" s="710"/>
    </row>
    <row r="1951" spans="17:29">
      <c r="Q1951" s="709"/>
      <c r="R1951" s="710" t="s">
        <v>222</v>
      </c>
      <c r="S1951" s="711"/>
      <c r="T1951" s="712"/>
      <c r="U1951" s="712"/>
      <c r="V1951" s="713"/>
      <c r="W1951" s="717">
        <f t="shared" ref="W1951:AB1951" si="1045">W1949-W1950</f>
        <v>-1746.5910714285715</v>
      </c>
      <c r="X1951" s="717">
        <f t="shared" si="1045"/>
        <v>-63.432857142857145</v>
      </c>
      <c r="Y1951" s="717">
        <f t="shared" si="1045"/>
        <v>-49.402857142857137</v>
      </c>
      <c r="Z1951" s="717">
        <f t="shared" si="1045"/>
        <v>-267.00026785714283</v>
      </c>
      <c r="AA1951" s="718">
        <f t="shared" si="1045"/>
        <v>-32.201017857142858</v>
      </c>
      <c r="AB1951" s="720">
        <f t="shared" si="1045"/>
        <v>-500</v>
      </c>
      <c r="AC1951" s="710"/>
    </row>
  </sheetData>
  <autoFilter ref="E4:L4" xr:uid="{6062A46B-E692-4136-BB59-BEC5A9D8F4CC}">
    <sortState xmlns:xlrd2="http://schemas.microsoft.com/office/spreadsheetml/2017/richdata2" ref="E5:L235">
      <sortCondition descending="1" ref="I4"/>
    </sortState>
  </autoFilter>
  <mergeCells count="35">
    <mergeCell ref="AF86:AJ86"/>
    <mergeCell ref="AF87:AJ87"/>
    <mergeCell ref="AF88:AJ88"/>
    <mergeCell ref="AF79:AJ79"/>
    <mergeCell ref="AF80:AJ80"/>
    <mergeCell ref="AF81:AJ81"/>
    <mergeCell ref="AF82:AJ82"/>
    <mergeCell ref="AF83:AJ83"/>
    <mergeCell ref="AF72:AJ72"/>
    <mergeCell ref="AF73:AJ73"/>
    <mergeCell ref="AF74:AJ74"/>
    <mergeCell ref="AF75:AJ75"/>
    <mergeCell ref="AF76:AJ76"/>
    <mergeCell ref="AE1266:AO1266"/>
    <mergeCell ref="AE1268:AJ1268"/>
    <mergeCell ref="AE1275:AO1275"/>
    <mergeCell ref="AE1269:AJ1269"/>
    <mergeCell ref="AE1270:AJ1270"/>
    <mergeCell ref="AE1271:AJ1271"/>
    <mergeCell ref="AE1272:AJ1272"/>
    <mergeCell ref="AE1273:AJ1273"/>
    <mergeCell ref="AF42:AJ42"/>
    <mergeCell ref="AF43:AJ43"/>
    <mergeCell ref="AF44:AJ44"/>
    <mergeCell ref="AF5:AH5"/>
    <mergeCell ref="AF35:AJ35"/>
    <mergeCell ref="AF36:AJ36"/>
    <mergeCell ref="AF37:AJ37"/>
    <mergeCell ref="AF38:AJ38"/>
    <mergeCell ref="AF39:AJ39"/>
    <mergeCell ref="AF28:AJ28"/>
    <mergeCell ref="AF29:AJ29"/>
    <mergeCell ref="AF30:AJ30"/>
    <mergeCell ref="AF31:AJ31"/>
    <mergeCell ref="AF32:AJ32"/>
  </mergeCells>
  <conditionalFormatting sqref="E5:O309 M310:O517 E310:L1457">
    <cfRule type="notContainsBlanks" dxfId="243" priority="497">
      <formula>LEN(TRIM(E5))&gt;0</formula>
    </cfRule>
  </conditionalFormatting>
  <conditionalFormatting sqref="I5:I1457">
    <cfRule type="cellIs" dxfId="242" priority="466" operator="greaterThan">
      <formula>H5/10</formula>
    </cfRule>
  </conditionalFormatting>
  <conditionalFormatting sqref="W22 Y22:AB22">
    <cfRule type="cellIs" dxfId="241" priority="224" operator="greaterThan">
      <formula>0</formula>
    </cfRule>
  </conditionalFormatting>
  <conditionalFormatting sqref="W42 Y42:AB42">
    <cfRule type="cellIs" dxfId="240" priority="222" operator="greaterThan">
      <formula>0</formula>
    </cfRule>
  </conditionalFormatting>
  <conditionalFormatting sqref="W61 Y61:AB61">
    <cfRule type="cellIs" dxfId="239" priority="220" operator="greaterThan">
      <formula>0</formula>
    </cfRule>
  </conditionalFormatting>
  <conditionalFormatting sqref="W82 Y82:AB82">
    <cfRule type="cellIs" dxfId="238" priority="218" operator="greaterThan">
      <formula>0</formula>
    </cfRule>
  </conditionalFormatting>
  <conditionalFormatting sqref="W101 Y101:AB101">
    <cfRule type="cellIs" dxfId="237" priority="216" operator="greaterThan">
      <formula>0</formula>
    </cfRule>
  </conditionalFormatting>
  <conditionalFormatting sqref="W119 Y119:AB119">
    <cfRule type="cellIs" dxfId="236" priority="214" operator="greaterThan">
      <formula>0</formula>
    </cfRule>
  </conditionalFormatting>
  <conditionalFormatting sqref="W140 Y140:AB140">
    <cfRule type="cellIs" dxfId="235" priority="212" operator="greaterThan">
      <formula>0</formula>
    </cfRule>
  </conditionalFormatting>
  <conditionalFormatting sqref="W161 Y161:AB161">
    <cfRule type="cellIs" dxfId="234" priority="210" operator="greaterThan">
      <formula>0</formula>
    </cfRule>
  </conditionalFormatting>
  <conditionalFormatting sqref="W179 Y179:AB179">
    <cfRule type="cellIs" dxfId="233" priority="208" operator="greaterThan">
      <formula>0</formula>
    </cfRule>
  </conditionalFormatting>
  <conditionalFormatting sqref="W187 Y187:AB187">
    <cfRule type="cellIs" dxfId="232" priority="206" operator="greaterThan">
      <formula>0</formula>
    </cfRule>
  </conditionalFormatting>
  <conditionalFormatting sqref="W203 Y203:AB203">
    <cfRule type="cellIs" dxfId="231" priority="204" operator="greaterThan">
      <formula>0</formula>
    </cfRule>
  </conditionalFormatting>
  <conditionalFormatting sqref="W220 Y220:AB220">
    <cfRule type="cellIs" dxfId="230" priority="202" operator="greaterThan">
      <formula>0</formula>
    </cfRule>
  </conditionalFormatting>
  <conditionalFormatting sqref="W234 Y234:AB234">
    <cfRule type="cellIs" dxfId="229" priority="200" operator="greaterThan">
      <formula>0</formula>
    </cfRule>
  </conditionalFormatting>
  <conditionalFormatting sqref="W254 Y254:AB254">
    <cfRule type="cellIs" dxfId="228" priority="198" operator="greaterThan">
      <formula>0</formula>
    </cfRule>
  </conditionalFormatting>
  <conditionalFormatting sqref="W271 Y271:AB271">
    <cfRule type="cellIs" dxfId="227" priority="196" operator="greaterThan">
      <formula>0</formula>
    </cfRule>
  </conditionalFormatting>
  <conditionalFormatting sqref="W291 Y291:AB291">
    <cfRule type="cellIs" dxfId="226" priority="194" operator="greaterThan">
      <formula>0</formula>
    </cfRule>
  </conditionalFormatting>
  <conditionalFormatting sqref="W306 Y306:AB306">
    <cfRule type="cellIs" dxfId="225" priority="192" operator="greaterThan">
      <formula>0</formula>
    </cfRule>
  </conditionalFormatting>
  <conditionalFormatting sqref="W322 Y322:AB322">
    <cfRule type="cellIs" dxfId="224" priority="190" operator="greaterThan">
      <formula>0</formula>
    </cfRule>
  </conditionalFormatting>
  <conditionalFormatting sqref="W340 Y340:AB340">
    <cfRule type="cellIs" dxfId="223" priority="188" operator="greaterThan">
      <formula>0</formula>
    </cfRule>
  </conditionalFormatting>
  <conditionalFormatting sqref="W357 Y357:AB357">
    <cfRule type="cellIs" dxfId="222" priority="186" operator="greaterThan">
      <formula>0</formula>
    </cfRule>
  </conditionalFormatting>
  <conditionalFormatting sqref="W376 Y376:AB376">
    <cfRule type="cellIs" dxfId="221" priority="184" operator="greaterThan">
      <formula>0</formula>
    </cfRule>
  </conditionalFormatting>
  <conditionalFormatting sqref="W396 Y396:AB396">
    <cfRule type="cellIs" dxfId="220" priority="182" operator="greaterThan">
      <formula>0</formula>
    </cfRule>
  </conditionalFormatting>
  <conditionalFormatting sqref="W412 Y412:AB412">
    <cfRule type="cellIs" dxfId="219" priority="180" operator="greaterThan">
      <formula>0</formula>
    </cfRule>
  </conditionalFormatting>
  <conditionalFormatting sqref="W425 Y425:AB425">
    <cfRule type="cellIs" dxfId="218" priority="178" operator="greaterThan">
      <formula>0</formula>
    </cfRule>
  </conditionalFormatting>
  <conditionalFormatting sqref="W439 Y439:AB439">
    <cfRule type="cellIs" dxfId="217" priority="176" operator="greaterThan">
      <formula>0</formula>
    </cfRule>
  </conditionalFormatting>
  <conditionalFormatting sqref="W455 Y455:AB455">
    <cfRule type="cellIs" dxfId="216" priority="174" operator="greaterThan">
      <formula>0</formula>
    </cfRule>
  </conditionalFormatting>
  <conditionalFormatting sqref="W474 Y474:AB474">
    <cfRule type="cellIs" dxfId="215" priority="172" operator="greaterThan">
      <formula>0</formula>
    </cfRule>
  </conditionalFormatting>
  <conditionalFormatting sqref="W488 Y488:AB488">
    <cfRule type="cellIs" dxfId="214" priority="170" operator="greaterThan">
      <formula>0</formula>
    </cfRule>
  </conditionalFormatting>
  <conditionalFormatting sqref="W508 Y508:AB508">
    <cfRule type="cellIs" dxfId="213" priority="168" operator="greaterThan">
      <formula>0</formula>
    </cfRule>
  </conditionalFormatting>
  <conditionalFormatting sqref="W520 Y520:AB520">
    <cfRule type="cellIs" dxfId="212" priority="166" operator="greaterThan">
      <formula>0</formula>
    </cfRule>
  </conditionalFormatting>
  <conditionalFormatting sqref="W533 Y533:AB533">
    <cfRule type="cellIs" dxfId="211" priority="164" operator="greaterThan">
      <formula>0</formula>
    </cfRule>
  </conditionalFormatting>
  <conditionalFormatting sqref="W547 Y547:AB547">
    <cfRule type="cellIs" dxfId="210" priority="162" operator="greaterThan">
      <formula>0</formula>
    </cfRule>
  </conditionalFormatting>
  <conditionalFormatting sqref="W563 Y563:AB563">
    <cfRule type="cellIs" dxfId="209" priority="160" operator="greaterThan">
      <formula>0</formula>
    </cfRule>
  </conditionalFormatting>
  <conditionalFormatting sqref="W582 Y582:AB582">
    <cfRule type="cellIs" dxfId="208" priority="158" operator="greaterThan">
      <formula>0</formula>
    </cfRule>
  </conditionalFormatting>
  <conditionalFormatting sqref="W603 Y603:AB603">
    <cfRule type="cellIs" dxfId="207" priority="156" operator="greaterThan">
      <formula>0</formula>
    </cfRule>
  </conditionalFormatting>
  <conditionalFormatting sqref="W617 Y617:AB617">
    <cfRule type="cellIs" dxfId="206" priority="154" operator="greaterThan">
      <formula>0</formula>
    </cfRule>
  </conditionalFormatting>
  <conditionalFormatting sqref="W628 Y628:AB628">
    <cfRule type="cellIs" dxfId="205" priority="152" operator="greaterThan">
      <formula>0</formula>
    </cfRule>
  </conditionalFormatting>
  <conditionalFormatting sqref="W643 Y643:AB643">
    <cfRule type="cellIs" dxfId="204" priority="150" operator="greaterThan">
      <formula>0</formula>
    </cfRule>
  </conditionalFormatting>
  <conditionalFormatting sqref="W659 Y659:AB659">
    <cfRule type="cellIs" dxfId="203" priority="148" operator="greaterThan">
      <formula>0</formula>
    </cfRule>
  </conditionalFormatting>
  <conditionalFormatting sqref="W676 Y676:AB676">
    <cfRule type="cellIs" dxfId="202" priority="146" operator="greaterThan">
      <formula>0</formula>
    </cfRule>
  </conditionalFormatting>
  <conditionalFormatting sqref="W697 Y697:AB697">
    <cfRule type="cellIs" dxfId="201" priority="144" operator="greaterThan">
      <formula>0</formula>
    </cfRule>
  </conditionalFormatting>
  <conditionalFormatting sqref="W720 Y720:AB720">
    <cfRule type="cellIs" dxfId="200" priority="142" operator="greaterThan">
      <formula>0</formula>
    </cfRule>
  </conditionalFormatting>
  <conditionalFormatting sqref="W737 Y737:AB737">
    <cfRule type="cellIs" dxfId="199" priority="140" operator="greaterThan">
      <formula>0</formula>
    </cfRule>
  </conditionalFormatting>
  <conditionalFormatting sqref="W754 Y754:AB754">
    <cfRule type="cellIs" dxfId="198" priority="138" operator="greaterThan">
      <formula>0</formula>
    </cfRule>
  </conditionalFormatting>
  <conditionalFormatting sqref="W767 Y767:AB767">
    <cfRule type="cellIs" dxfId="197" priority="136" operator="greaterThan">
      <formula>0</formula>
    </cfRule>
  </conditionalFormatting>
  <conditionalFormatting sqref="W785 Y785:AB785">
    <cfRule type="cellIs" dxfId="196" priority="134" operator="greaterThan">
      <formula>0</formula>
    </cfRule>
  </conditionalFormatting>
  <conditionalFormatting sqref="W800 Y800:AB800">
    <cfRule type="cellIs" dxfId="195" priority="132" operator="greaterThan">
      <formula>0</formula>
    </cfRule>
  </conditionalFormatting>
  <conditionalFormatting sqref="W817 Y817:AB817">
    <cfRule type="cellIs" dxfId="194" priority="130" operator="greaterThan">
      <formula>0</formula>
    </cfRule>
  </conditionalFormatting>
  <conditionalFormatting sqref="W837 Y837:AB837">
    <cfRule type="cellIs" dxfId="193" priority="128" operator="greaterThan">
      <formula>0</formula>
    </cfRule>
  </conditionalFormatting>
  <conditionalFormatting sqref="W852 Y852:AB852">
    <cfRule type="cellIs" dxfId="192" priority="126" operator="greaterThan">
      <formula>0</formula>
    </cfRule>
  </conditionalFormatting>
  <conditionalFormatting sqref="W871 Y871:AB871">
    <cfRule type="cellIs" dxfId="191" priority="124" operator="greaterThan">
      <formula>0</formula>
    </cfRule>
  </conditionalFormatting>
  <conditionalFormatting sqref="W887 Y887:AB887">
    <cfRule type="cellIs" dxfId="190" priority="122" operator="greaterThan">
      <formula>0</formula>
    </cfRule>
  </conditionalFormatting>
  <conditionalFormatting sqref="W903 Y903:AB903">
    <cfRule type="cellIs" dxfId="189" priority="120" operator="greaterThan">
      <formula>0</formula>
    </cfRule>
  </conditionalFormatting>
  <conditionalFormatting sqref="W922 Y922:AB922">
    <cfRule type="cellIs" dxfId="188" priority="118" operator="greaterThan">
      <formula>0</formula>
    </cfRule>
  </conditionalFormatting>
  <conditionalFormatting sqref="W941 Y941:AB941">
    <cfRule type="cellIs" dxfId="187" priority="116" operator="greaterThan">
      <formula>0</formula>
    </cfRule>
  </conditionalFormatting>
  <conditionalFormatting sqref="W959 Y959:AB959">
    <cfRule type="cellIs" dxfId="186" priority="114" operator="greaterThan">
      <formula>0</formula>
    </cfRule>
  </conditionalFormatting>
  <conditionalFormatting sqref="W979 Y979:AB979">
    <cfRule type="cellIs" dxfId="185" priority="112" operator="greaterThan">
      <formula>0</formula>
    </cfRule>
  </conditionalFormatting>
  <conditionalFormatting sqref="W995 Y995:AB995">
    <cfRule type="cellIs" dxfId="184" priority="110" operator="greaterThan">
      <formula>0</formula>
    </cfRule>
  </conditionalFormatting>
  <conditionalFormatting sqref="W1007 Y1007:AB1007">
    <cfRule type="cellIs" dxfId="183" priority="108" operator="greaterThan">
      <formula>0</formula>
    </cfRule>
  </conditionalFormatting>
  <conditionalFormatting sqref="W1020 Y1020:AB1020">
    <cfRule type="cellIs" dxfId="182" priority="106" operator="greaterThan">
      <formula>0</formula>
    </cfRule>
  </conditionalFormatting>
  <conditionalFormatting sqref="W1039 Y1039:AB1039">
    <cfRule type="cellIs" dxfId="181" priority="104" operator="greaterThan">
      <formula>0</formula>
    </cfRule>
  </conditionalFormatting>
  <conditionalFormatting sqref="W1057 Y1057:AB1057">
    <cfRule type="cellIs" dxfId="180" priority="102" operator="greaterThan">
      <formula>0</formula>
    </cfRule>
  </conditionalFormatting>
  <conditionalFormatting sqref="W1076 Y1076:AB1076">
    <cfRule type="cellIs" dxfId="179" priority="100" operator="greaterThan">
      <formula>0</formula>
    </cfRule>
  </conditionalFormatting>
  <conditionalFormatting sqref="W1098 Y1098:AB1098">
    <cfRule type="cellIs" dxfId="178" priority="98" operator="greaterThan">
      <formula>0</formula>
    </cfRule>
  </conditionalFormatting>
  <conditionalFormatting sqref="W1106 Y1106:AB1106">
    <cfRule type="cellIs" dxfId="177" priority="96" operator="greaterThan">
      <formula>0</formula>
    </cfRule>
  </conditionalFormatting>
  <conditionalFormatting sqref="W1120 Y1120:AB1120">
    <cfRule type="cellIs" dxfId="176" priority="94" operator="greaterThan">
      <formula>0</formula>
    </cfRule>
  </conditionalFormatting>
  <conditionalFormatting sqref="W1134 Y1134:AB1134">
    <cfRule type="cellIs" dxfId="175" priority="92" operator="greaterThan">
      <formula>0</formula>
    </cfRule>
  </conditionalFormatting>
  <conditionalFormatting sqref="W1151 Y1151:AB1151">
    <cfRule type="cellIs" dxfId="174" priority="90" operator="greaterThan">
      <formula>0</formula>
    </cfRule>
  </conditionalFormatting>
  <conditionalFormatting sqref="W1171 Y1171:AB1171">
    <cfRule type="cellIs" dxfId="173" priority="88" operator="greaterThan">
      <formula>0</formula>
    </cfRule>
  </conditionalFormatting>
  <conditionalFormatting sqref="W1187 Y1187:AB1187">
    <cfRule type="cellIs" dxfId="172" priority="86" operator="greaterThan">
      <formula>0</formula>
    </cfRule>
  </conditionalFormatting>
  <conditionalFormatting sqref="W1200 Y1200:AB1200">
    <cfRule type="cellIs" dxfId="171" priority="84" operator="greaterThan">
      <formula>0</formula>
    </cfRule>
  </conditionalFormatting>
  <conditionalFormatting sqref="W1215 Y1215:AB1215">
    <cfRule type="cellIs" dxfId="170" priority="82" operator="greaterThan">
      <formula>0</formula>
    </cfRule>
  </conditionalFormatting>
  <conditionalFormatting sqref="W1237 Y1237:AB1237">
    <cfRule type="cellIs" dxfId="169" priority="80" operator="greaterThan">
      <formula>0</formula>
    </cfRule>
  </conditionalFormatting>
  <conditionalFormatting sqref="W1256 Y1256:AB1256">
    <cfRule type="cellIs" dxfId="168" priority="78" operator="greaterThan">
      <formula>0</formula>
    </cfRule>
  </conditionalFormatting>
  <conditionalFormatting sqref="W1276 Y1276:AB1276">
    <cfRule type="cellIs" dxfId="167" priority="76" operator="greaterThan">
      <formula>0</formula>
    </cfRule>
  </conditionalFormatting>
  <conditionalFormatting sqref="W1297 Y1297:AB1297">
    <cfRule type="cellIs" dxfId="166" priority="74" operator="greaterThan">
      <formula>0</formula>
    </cfRule>
  </conditionalFormatting>
  <conditionalFormatting sqref="W1318 Y1318:AB1318">
    <cfRule type="cellIs" dxfId="165" priority="72" operator="greaterThan">
      <formula>0</formula>
    </cfRule>
  </conditionalFormatting>
  <conditionalFormatting sqref="W1340 Y1340:AB1340">
    <cfRule type="cellIs" dxfId="164" priority="70" operator="greaterThan">
      <formula>0</formula>
    </cfRule>
  </conditionalFormatting>
  <conditionalFormatting sqref="W1365 Y1365:AB1365">
    <cfRule type="cellIs" dxfId="163" priority="68" operator="greaterThan">
      <formula>0</formula>
    </cfRule>
  </conditionalFormatting>
  <conditionalFormatting sqref="W1389 Y1389:AB1389">
    <cfRule type="cellIs" dxfId="162" priority="66" operator="greaterThan">
      <formula>0</formula>
    </cfRule>
  </conditionalFormatting>
  <conditionalFormatting sqref="W1405 Y1405:AB1405">
    <cfRule type="cellIs" dxfId="161" priority="64" operator="greaterThan">
      <formula>0</formula>
    </cfRule>
  </conditionalFormatting>
  <conditionalFormatting sqref="W1424 Y1424:AB1424">
    <cfRule type="cellIs" dxfId="160" priority="62" operator="greaterThan">
      <formula>0</formula>
    </cfRule>
  </conditionalFormatting>
  <conditionalFormatting sqref="W1441 Y1441:AB1441">
    <cfRule type="cellIs" dxfId="159" priority="60" operator="greaterThan">
      <formula>0</formula>
    </cfRule>
  </conditionalFormatting>
  <conditionalFormatting sqref="W1456 Y1456:AB1456">
    <cfRule type="cellIs" dxfId="158" priority="58" operator="greaterThan">
      <formula>0</formula>
    </cfRule>
  </conditionalFormatting>
  <conditionalFormatting sqref="W1483 Y1483:AB1483">
    <cfRule type="cellIs" dxfId="157" priority="56" operator="greaterThan">
      <formula>0</formula>
    </cfRule>
  </conditionalFormatting>
  <conditionalFormatting sqref="W1501 Y1501:AB1501">
    <cfRule type="cellIs" dxfId="156" priority="54" operator="greaterThan">
      <formula>0</formula>
    </cfRule>
  </conditionalFormatting>
  <conditionalFormatting sqref="W1511 Y1511:AB1511">
    <cfRule type="cellIs" dxfId="155" priority="52" operator="greaterThan">
      <formula>0</formula>
    </cfRule>
  </conditionalFormatting>
  <conditionalFormatting sqref="W1528 Y1528:AB1528">
    <cfRule type="cellIs" dxfId="154" priority="50" operator="greaterThan">
      <formula>0</formula>
    </cfRule>
  </conditionalFormatting>
  <conditionalFormatting sqref="W1546 Y1546:AB1546">
    <cfRule type="cellIs" dxfId="153" priority="48" operator="greaterThan">
      <formula>0</formula>
    </cfRule>
  </conditionalFormatting>
  <conditionalFormatting sqref="W1559 Y1559:AB1559">
    <cfRule type="cellIs" dxfId="152" priority="46" operator="greaterThan">
      <formula>0</formula>
    </cfRule>
  </conditionalFormatting>
  <conditionalFormatting sqref="W1577 Y1577:AB1577">
    <cfRule type="cellIs" dxfId="151" priority="44" operator="greaterThan">
      <formula>0</formula>
    </cfRule>
  </conditionalFormatting>
  <conditionalFormatting sqref="W1597 Y1597:AB1597">
    <cfRule type="cellIs" dxfId="150" priority="42" operator="greaterThan">
      <formula>0</formula>
    </cfRule>
  </conditionalFormatting>
  <conditionalFormatting sqref="W1615 Y1615:AB1615">
    <cfRule type="cellIs" dxfId="149" priority="40" operator="greaterThan">
      <formula>0</formula>
    </cfRule>
  </conditionalFormatting>
  <conditionalFormatting sqref="W1631 Y1631:AB1631">
    <cfRule type="cellIs" dxfId="148" priority="38" operator="greaterThan">
      <formula>0</formula>
    </cfRule>
  </conditionalFormatting>
  <conditionalFormatting sqref="W1653 Y1653:AB1653">
    <cfRule type="cellIs" dxfId="147" priority="36" operator="greaterThan">
      <formula>0</formula>
    </cfRule>
  </conditionalFormatting>
  <conditionalFormatting sqref="W1672 Y1672:AB1672">
    <cfRule type="cellIs" dxfId="146" priority="34" operator="greaterThan">
      <formula>0</formula>
    </cfRule>
  </conditionalFormatting>
  <conditionalFormatting sqref="W1689 Y1689:AB1689">
    <cfRule type="cellIs" dxfId="145" priority="32" operator="greaterThan">
      <formula>0</formula>
    </cfRule>
  </conditionalFormatting>
  <conditionalFormatting sqref="W1708">
    <cfRule type="cellIs" priority="261" operator="greaterThan">
      <formula>0</formula>
    </cfRule>
    <cfRule type="cellIs" dxfId="144" priority="260" operator="greaterThan">
      <formula>0</formula>
    </cfRule>
  </conditionalFormatting>
  <conditionalFormatting sqref="W1720 Y1720:AB1720">
    <cfRule type="cellIs" dxfId="143" priority="26" operator="greaterThan">
      <formula>0</formula>
    </cfRule>
  </conditionalFormatting>
  <conditionalFormatting sqref="W1737 Y1737:AB1737">
    <cfRule type="cellIs" dxfId="142" priority="28" operator="greaterThan">
      <formula>0</formula>
    </cfRule>
  </conditionalFormatting>
  <conditionalFormatting sqref="W1754 Y1754:AB1754">
    <cfRule type="cellIs" dxfId="141" priority="24" operator="greaterThan">
      <formula>0</formula>
    </cfRule>
  </conditionalFormatting>
  <conditionalFormatting sqref="W1772 Y1772:AB1772 W1790 Y1790:AB1790">
    <cfRule type="cellIs" dxfId="140" priority="22" operator="greaterThan">
      <formula>0</formula>
    </cfRule>
  </conditionalFormatting>
  <conditionalFormatting sqref="W1807 Y1807:AB1807">
    <cfRule type="cellIs" dxfId="139" priority="20" operator="greaterThan">
      <formula>0</formula>
    </cfRule>
  </conditionalFormatting>
  <conditionalFormatting sqref="W1824 Y1824:AB1824">
    <cfRule type="cellIs" dxfId="138" priority="18" operator="greaterThan">
      <formula>0</formula>
    </cfRule>
  </conditionalFormatting>
  <conditionalFormatting sqref="W1840 Y1840:AB1840">
    <cfRule type="cellIs" dxfId="137" priority="16" operator="greaterThan">
      <formula>0</formula>
    </cfRule>
  </conditionalFormatting>
  <conditionalFormatting sqref="W1850 Y1850:AB1850">
    <cfRule type="cellIs" dxfId="136" priority="14" operator="greaterThan">
      <formula>0</formula>
    </cfRule>
  </conditionalFormatting>
  <conditionalFormatting sqref="W1867 Y1867:AB1867">
    <cfRule type="cellIs" dxfId="135" priority="12" operator="greaterThan">
      <formula>0</formula>
    </cfRule>
  </conditionalFormatting>
  <conditionalFormatting sqref="W1884 Y1884:AB1884">
    <cfRule type="cellIs" dxfId="134" priority="10" operator="greaterThan">
      <formula>0</formula>
    </cfRule>
  </conditionalFormatting>
  <conditionalFormatting sqref="W1903 Y1903:AB1903">
    <cfRule type="cellIs" dxfId="133" priority="8" operator="greaterThan">
      <formula>0</formula>
    </cfRule>
  </conditionalFormatting>
  <conditionalFormatting sqref="W1920 Y1920:AB1920">
    <cfRule type="cellIs" dxfId="132" priority="6" operator="greaterThan">
      <formula>0</formula>
    </cfRule>
  </conditionalFormatting>
  <conditionalFormatting sqref="W1932 Y1932:AB1932">
    <cfRule type="cellIs" dxfId="131" priority="4" operator="greaterThan">
      <formula>0</formula>
    </cfRule>
  </conditionalFormatting>
  <conditionalFormatting sqref="W1951 Y1951:AB1951">
    <cfRule type="cellIs" dxfId="130" priority="2" operator="greaterThan">
      <formula>0</formula>
    </cfRule>
  </conditionalFormatting>
  <conditionalFormatting sqref="X22">
    <cfRule type="cellIs" dxfId="129" priority="223" operator="greaterThan">
      <formula>0</formula>
    </cfRule>
  </conditionalFormatting>
  <conditionalFormatting sqref="X42">
    <cfRule type="cellIs" dxfId="128" priority="221" operator="greaterThan">
      <formula>0</formula>
    </cfRule>
  </conditionalFormatting>
  <conditionalFormatting sqref="X61">
    <cfRule type="cellIs" dxfId="127" priority="219" operator="greaterThan">
      <formula>0</formula>
    </cfRule>
  </conditionalFormatting>
  <conditionalFormatting sqref="X82">
    <cfRule type="cellIs" dxfId="126" priority="217" operator="greaterThan">
      <formula>0</formula>
    </cfRule>
  </conditionalFormatting>
  <conditionalFormatting sqref="X101">
    <cfRule type="cellIs" dxfId="125" priority="215" operator="greaterThan">
      <formula>0</formula>
    </cfRule>
  </conditionalFormatting>
  <conditionalFormatting sqref="X119">
    <cfRule type="cellIs" dxfId="124" priority="213" operator="greaterThan">
      <formula>0</formula>
    </cfRule>
  </conditionalFormatting>
  <conditionalFormatting sqref="X140">
    <cfRule type="cellIs" dxfId="123" priority="211" operator="greaterThan">
      <formula>0</formula>
    </cfRule>
  </conditionalFormatting>
  <conditionalFormatting sqref="X161">
    <cfRule type="cellIs" dxfId="122" priority="209" operator="greaterThan">
      <formula>0</formula>
    </cfRule>
  </conditionalFormatting>
  <conditionalFormatting sqref="X179">
    <cfRule type="cellIs" dxfId="121" priority="207" operator="greaterThan">
      <formula>0</formula>
    </cfRule>
  </conditionalFormatting>
  <conditionalFormatting sqref="X187">
    <cfRule type="cellIs" dxfId="120" priority="205" operator="greaterThan">
      <formula>0</formula>
    </cfRule>
  </conditionalFormatting>
  <conditionalFormatting sqref="X203">
    <cfRule type="cellIs" dxfId="119" priority="203" operator="greaterThan">
      <formula>0</formula>
    </cfRule>
  </conditionalFormatting>
  <conditionalFormatting sqref="X220">
    <cfRule type="cellIs" dxfId="118" priority="201" operator="greaterThan">
      <formula>0</formula>
    </cfRule>
  </conditionalFormatting>
  <conditionalFormatting sqref="X234">
    <cfRule type="cellIs" dxfId="117" priority="199" operator="greaterThan">
      <formula>0</formula>
    </cfRule>
  </conditionalFormatting>
  <conditionalFormatting sqref="X254">
    <cfRule type="cellIs" dxfId="116" priority="197" operator="greaterThan">
      <formula>0</formula>
    </cfRule>
  </conditionalFormatting>
  <conditionalFormatting sqref="X271">
    <cfRule type="cellIs" dxfId="115" priority="195" operator="greaterThan">
      <formula>0</formula>
    </cfRule>
  </conditionalFormatting>
  <conditionalFormatting sqref="X291">
    <cfRule type="cellIs" dxfId="114" priority="193" operator="greaterThan">
      <formula>0</formula>
    </cfRule>
  </conditionalFormatting>
  <conditionalFormatting sqref="X306">
    <cfRule type="cellIs" dxfId="113" priority="191" operator="greaterThan">
      <formula>0</formula>
    </cfRule>
  </conditionalFormatting>
  <conditionalFormatting sqref="X322">
    <cfRule type="cellIs" dxfId="112" priority="189" operator="greaterThan">
      <formula>0</formula>
    </cfRule>
  </conditionalFormatting>
  <conditionalFormatting sqref="X340">
    <cfRule type="cellIs" dxfId="111" priority="187" operator="greaterThan">
      <formula>0</formula>
    </cfRule>
  </conditionalFormatting>
  <conditionalFormatting sqref="X357">
    <cfRule type="cellIs" dxfId="110" priority="185" operator="greaterThan">
      <formula>0</formula>
    </cfRule>
  </conditionalFormatting>
  <conditionalFormatting sqref="X376">
    <cfRule type="cellIs" dxfId="109" priority="183" operator="greaterThan">
      <formula>0</formula>
    </cfRule>
  </conditionalFormatting>
  <conditionalFormatting sqref="X396">
    <cfRule type="cellIs" dxfId="108" priority="181" operator="greaterThan">
      <formula>0</formula>
    </cfRule>
  </conditionalFormatting>
  <conditionalFormatting sqref="X412">
    <cfRule type="cellIs" dxfId="107" priority="179" operator="greaterThan">
      <formula>0</formula>
    </cfRule>
  </conditionalFormatting>
  <conditionalFormatting sqref="X425">
    <cfRule type="cellIs" dxfId="106" priority="177" operator="greaterThan">
      <formula>0</formula>
    </cfRule>
  </conditionalFormatting>
  <conditionalFormatting sqref="X439">
    <cfRule type="cellIs" dxfId="105" priority="175" operator="greaterThan">
      <formula>0</formula>
    </cfRule>
  </conditionalFormatting>
  <conditionalFormatting sqref="X455">
    <cfRule type="cellIs" dxfId="104" priority="173" operator="greaterThan">
      <formula>0</formula>
    </cfRule>
  </conditionalFormatting>
  <conditionalFormatting sqref="X474">
    <cfRule type="cellIs" dxfId="103" priority="171" operator="greaterThan">
      <formula>0</formula>
    </cfRule>
  </conditionalFormatting>
  <conditionalFormatting sqref="X488">
    <cfRule type="cellIs" dxfId="102" priority="169" operator="greaterThan">
      <formula>0</formula>
    </cfRule>
  </conditionalFormatting>
  <conditionalFormatting sqref="X508">
    <cfRule type="cellIs" dxfId="101" priority="167" operator="greaterThan">
      <formula>0</formula>
    </cfRule>
  </conditionalFormatting>
  <conditionalFormatting sqref="X520">
    <cfRule type="cellIs" dxfId="100" priority="165" operator="greaterThan">
      <formula>0</formula>
    </cfRule>
  </conditionalFormatting>
  <conditionalFormatting sqref="X533">
    <cfRule type="cellIs" dxfId="99" priority="163" operator="greaterThan">
      <formula>0</formula>
    </cfRule>
  </conditionalFormatting>
  <conditionalFormatting sqref="X547">
    <cfRule type="cellIs" dxfId="98" priority="161" operator="greaterThan">
      <formula>0</formula>
    </cfRule>
  </conditionalFormatting>
  <conditionalFormatting sqref="X563">
    <cfRule type="cellIs" dxfId="97" priority="159" operator="greaterThan">
      <formula>0</formula>
    </cfRule>
  </conditionalFormatting>
  <conditionalFormatting sqref="X582">
    <cfRule type="cellIs" dxfId="96" priority="157" operator="greaterThan">
      <formula>0</formula>
    </cfRule>
  </conditionalFormatting>
  <conditionalFormatting sqref="X603">
    <cfRule type="cellIs" dxfId="95" priority="155" operator="greaterThan">
      <formula>0</formula>
    </cfRule>
  </conditionalFormatting>
  <conditionalFormatting sqref="X617">
    <cfRule type="cellIs" dxfId="94" priority="153" operator="greaterThan">
      <formula>0</formula>
    </cfRule>
  </conditionalFormatting>
  <conditionalFormatting sqref="X628">
    <cfRule type="cellIs" dxfId="93" priority="151" operator="greaterThan">
      <formula>0</formula>
    </cfRule>
  </conditionalFormatting>
  <conditionalFormatting sqref="X643">
    <cfRule type="cellIs" dxfId="92" priority="149" operator="greaterThan">
      <formula>0</formula>
    </cfRule>
  </conditionalFormatting>
  <conditionalFormatting sqref="X659">
    <cfRule type="cellIs" dxfId="91" priority="147" operator="greaterThan">
      <formula>0</formula>
    </cfRule>
  </conditionalFormatting>
  <conditionalFormatting sqref="X676">
    <cfRule type="cellIs" dxfId="90" priority="145" operator="greaterThan">
      <formula>0</formula>
    </cfRule>
  </conditionalFormatting>
  <conditionalFormatting sqref="X697">
    <cfRule type="cellIs" dxfId="89" priority="143" operator="greaterThan">
      <formula>0</formula>
    </cfRule>
  </conditionalFormatting>
  <conditionalFormatting sqref="X720">
    <cfRule type="cellIs" dxfId="88" priority="141" operator="greaterThan">
      <formula>0</formula>
    </cfRule>
  </conditionalFormatting>
  <conditionalFormatting sqref="X737">
    <cfRule type="cellIs" dxfId="87" priority="139" operator="greaterThan">
      <formula>0</formula>
    </cfRule>
  </conditionalFormatting>
  <conditionalFormatting sqref="X754">
    <cfRule type="cellIs" dxfId="86" priority="137" operator="greaterThan">
      <formula>0</formula>
    </cfRule>
  </conditionalFormatting>
  <conditionalFormatting sqref="X767">
    <cfRule type="cellIs" dxfId="85" priority="135" operator="greaterThan">
      <formula>0</formula>
    </cfRule>
  </conditionalFormatting>
  <conditionalFormatting sqref="X785">
    <cfRule type="cellIs" dxfId="84" priority="133" operator="greaterThan">
      <formula>0</formula>
    </cfRule>
  </conditionalFormatting>
  <conditionalFormatting sqref="X800">
    <cfRule type="cellIs" dxfId="83" priority="131" operator="greaterThan">
      <formula>0</formula>
    </cfRule>
  </conditionalFormatting>
  <conditionalFormatting sqref="X817">
    <cfRule type="cellIs" dxfId="82" priority="129" operator="greaterThan">
      <formula>0</formula>
    </cfRule>
  </conditionalFormatting>
  <conditionalFormatting sqref="X837">
    <cfRule type="cellIs" dxfId="81" priority="127" operator="greaterThan">
      <formula>0</formula>
    </cfRule>
  </conditionalFormatting>
  <conditionalFormatting sqref="X852">
    <cfRule type="cellIs" dxfId="80" priority="125" operator="greaterThan">
      <formula>0</formula>
    </cfRule>
  </conditionalFormatting>
  <conditionalFormatting sqref="X871">
    <cfRule type="cellIs" dxfId="79" priority="123" operator="greaterThan">
      <formula>0</formula>
    </cfRule>
  </conditionalFormatting>
  <conditionalFormatting sqref="X887">
    <cfRule type="cellIs" dxfId="78" priority="121" operator="greaterThan">
      <formula>0</formula>
    </cfRule>
  </conditionalFormatting>
  <conditionalFormatting sqref="X903">
    <cfRule type="cellIs" dxfId="77" priority="119" operator="greaterThan">
      <formula>0</formula>
    </cfRule>
  </conditionalFormatting>
  <conditionalFormatting sqref="X922">
    <cfRule type="cellIs" dxfId="76" priority="117" operator="greaterThan">
      <formula>0</formula>
    </cfRule>
  </conditionalFormatting>
  <conditionalFormatting sqref="X941">
    <cfRule type="cellIs" dxfId="75" priority="115" operator="greaterThan">
      <formula>0</formula>
    </cfRule>
  </conditionalFormatting>
  <conditionalFormatting sqref="X959">
    <cfRule type="cellIs" dxfId="74" priority="113" operator="greaterThan">
      <formula>0</formula>
    </cfRule>
  </conditionalFormatting>
  <conditionalFormatting sqref="X979">
    <cfRule type="cellIs" dxfId="73" priority="111" operator="greaterThan">
      <formula>0</formula>
    </cfRule>
  </conditionalFormatting>
  <conditionalFormatting sqref="X995">
    <cfRule type="cellIs" dxfId="72" priority="109" operator="greaterThan">
      <formula>0</formula>
    </cfRule>
  </conditionalFormatting>
  <conditionalFormatting sqref="X1007">
    <cfRule type="cellIs" dxfId="71" priority="107" operator="greaterThan">
      <formula>0</formula>
    </cfRule>
  </conditionalFormatting>
  <conditionalFormatting sqref="X1020">
    <cfRule type="cellIs" dxfId="70" priority="105" operator="greaterThan">
      <formula>0</formula>
    </cfRule>
  </conditionalFormatting>
  <conditionalFormatting sqref="X1039">
    <cfRule type="cellIs" dxfId="69" priority="103" operator="greaterThan">
      <formula>0</formula>
    </cfRule>
  </conditionalFormatting>
  <conditionalFormatting sqref="X1057">
    <cfRule type="cellIs" dxfId="68" priority="101" operator="greaterThan">
      <formula>0</formula>
    </cfRule>
  </conditionalFormatting>
  <conditionalFormatting sqref="X1076">
    <cfRule type="cellIs" dxfId="67" priority="99" operator="greaterThan">
      <formula>0</formula>
    </cfRule>
  </conditionalFormatting>
  <conditionalFormatting sqref="X1098">
    <cfRule type="cellIs" dxfId="66" priority="97" operator="greaterThan">
      <formula>0</formula>
    </cfRule>
  </conditionalFormatting>
  <conditionalFormatting sqref="X1106">
    <cfRule type="cellIs" dxfId="65" priority="95" operator="greaterThan">
      <formula>0</formula>
    </cfRule>
  </conditionalFormatting>
  <conditionalFormatting sqref="X1120">
    <cfRule type="cellIs" dxfId="64" priority="93" operator="greaterThan">
      <formula>0</formula>
    </cfRule>
  </conditionalFormatting>
  <conditionalFormatting sqref="X1134">
    <cfRule type="cellIs" dxfId="63" priority="91" operator="greaterThan">
      <formula>0</formula>
    </cfRule>
  </conditionalFormatting>
  <conditionalFormatting sqref="X1151">
    <cfRule type="cellIs" dxfId="62" priority="89" operator="greaterThan">
      <formula>0</formula>
    </cfRule>
  </conditionalFormatting>
  <conditionalFormatting sqref="X1171">
    <cfRule type="cellIs" dxfId="61" priority="87" operator="greaterThan">
      <formula>0</formula>
    </cfRule>
  </conditionalFormatting>
  <conditionalFormatting sqref="X1187">
    <cfRule type="cellIs" dxfId="60" priority="85" operator="greaterThan">
      <formula>0</formula>
    </cfRule>
  </conditionalFormatting>
  <conditionalFormatting sqref="X1200">
    <cfRule type="cellIs" dxfId="59" priority="83" operator="greaterThan">
      <formula>0</formula>
    </cfRule>
  </conditionalFormatting>
  <conditionalFormatting sqref="X1215">
    <cfRule type="cellIs" dxfId="58" priority="81" operator="greaterThan">
      <formula>0</formula>
    </cfRule>
  </conditionalFormatting>
  <conditionalFormatting sqref="X1237">
    <cfRule type="cellIs" dxfId="57" priority="79" operator="greaterThan">
      <formula>0</formula>
    </cfRule>
  </conditionalFormatting>
  <conditionalFormatting sqref="X1256">
    <cfRule type="cellIs" dxfId="56" priority="77" operator="greaterThan">
      <formula>0</formula>
    </cfRule>
  </conditionalFormatting>
  <conditionalFormatting sqref="X1276">
    <cfRule type="cellIs" dxfId="55" priority="75" operator="greaterThan">
      <formula>0</formula>
    </cfRule>
  </conditionalFormatting>
  <conditionalFormatting sqref="X1297">
    <cfRule type="cellIs" dxfId="54" priority="73" operator="greaterThan">
      <formula>0</formula>
    </cfRule>
  </conditionalFormatting>
  <conditionalFormatting sqref="X1318">
    <cfRule type="cellIs" dxfId="53" priority="71" operator="greaterThan">
      <formula>0</formula>
    </cfRule>
  </conditionalFormatting>
  <conditionalFormatting sqref="X1340">
    <cfRule type="cellIs" dxfId="52" priority="69" operator="greaterThan">
      <formula>0</formula>
    </cfRule>
  </conditionalFormatting>
  <conditionalFormatting sqref="X1365">
    <cfRule type="cellIs" dxfId="51" priority="67" operator="greaterThan">
      <formula>0</formula>
    </cfRule>
  </conditionalFormatting>
  <conditionalFormatting sqref="X1389">
    <cfRule type="cellIs" dxfId="50" priority="65" operator="greaterThan">
      <formula>0</formula>
    </cfRule>
  </conditionalFormatting>
  <conditionalFormatting sqref="X1405">
    <cfRule type="cellIs" dxfId="49" priority="63" operator="greaterThan">
      <formula>0</formula>
    </cfRule>
  </conditionalFormatting>
  <conditionalFormatting sqref="X1424">
    <cfRule type="cellIs" dxfId="48" priority="61" operator="greaterThan">
      <formula>0</formula>
    </cfRule>
  </conditionalFormatting>
  <conditionalFormatting sqref="X1441">
    <cfRule type="cellIs" dxfId="47" priority="59" operator="greaterThan">
      <formula>0</formula>
    </cfRule>
  </conditionalFormatting>
  <conditionalFormatting sqref="X1456">
    <cfRule type="cellIs" dxfId="46" priority="57" operator="greaterThan">
      <formula>0</formula>
    </cfRule>
  </conditionalFormatting>
  <conditionalFormatting sqref="X1483">
    <cfRule type="cellIs" dxfId="45" priority="55" operator="greaterThan">
      <formula>0</formula>
    </cfRule>
  </conditionalFormatting>
  <conditionalFormatting sqref="X1501">
    <cfRule type="cellIs" dxfId="44" priority="53" operator="greaterThan">
      <formula>0</formula>
    </cfRule>
  </conditionalFormatting>
  <conditionalFormatting sqref="X1511">
    <cfRule type="cellIs" dxfId="43" priority="51" operator="greaterThan">
      <formula>0</formula>
    </cfRule>
  </conditionalFormatting>
  <conditionalFormatting sqref="X1528">
    <cfRule type="cellIs" dxfId="42" priority="49" operator="greaterThan">
      <formula>0</formula>
    </cfRule>
  </conditionalFormatting>
  <conditionalFormatting sqref="X1546">
    <cfRule type="cellIs" dxfId="41" priority="47" operator="greaterThan">
      <formula>0</formula>
    </cfRule>
  </conditionalFormatting>
  <conditionalFormatting sqref="X1559">
    <cfRule type="cellIs" dxfId="40" priority="45" operator="greaterThan">
      <formula>0</formula>
    </cfRule>
  </conditionalFormatting>
  <conditionalFormatting sqref="X1577">
    <cfRule type="cellIs" dxfId="39" priority="43" operator="greaterThan">
      <formula>0</formula>
    </cfRule>
  </conditionalFormatting>
  <conditionalFormatting sqref="X1597">
    <cfRule type="cellIs" dxfId="38" priority="41" operator="greaterThan">
      <formula>0</formula>
    </cfRule>
  </conditionalFormatting>
  <conditionalFormatting sqref="X1615">
    <cfRule type="cellIs" dxfId="37" priority="39" operator="greaterThan">
      <formula>0</formula>
    </cfRule>
  </conditionalFormatting>
  <conditionalFormatting sqref="X1631">
    <cfRule type="cellIs" dxfId="36" priority="37" operator="greaterThan">
      <formula>0</formula>
    </cfRule>
  </conditionalFormatting>
  <conditionalFormatting sqref="X1653">
    <cfRule type="cellIs" dxfId="35" priority="35" operator="greaterThan">
      <formula>0</formula>
    </cfRule>
  </conditionalFormatting>
  <conditionalFormatting sqref="X1672">
    <cfRule type="cellIs" dxfId="34" priority="33" operator="greaterThan">
      <formula>0</formula>
    </cfRule>
  </conditionalFormatting>
  <conditionalFormatting sqref="X1689">
    <cfRule type="cellIs" dxfId="33" priority="31" operator="greaterThan">
      <formula>0</formula>
    </cfRule>
  </conditionalFormatting>
  <conditionalFormatting sqref="X1708">
    <cfRule type="cellIs" dxfId="32" priority="262" operator="greaterThan">
      <formula>0</formula>
    </cfRule>
  </conditionalFormatting>
  <conditionalFormatting sqref="X1720">
    <cfRule type="cellIs" dxfId="31" priority="25" operator="greaterThan">
      <formula>0</formula>
    </cfRule>
  </conditionalFormatting>
  <conditionalFormatting sqref="X1737">
    <cfRule type="cellIs" dxfId="30" priority="27" operator="greaterThan">
      <formula>0</formula>
    </cfRule>
  </conditionalFormatting>
  <conditionalFormatting sqref="X1754">
    <cfRule type="cellIs" dxfId="29" priority="23" operator="greaterThan">
      <formula>0</formula>
    </cfRule>
  </conditionalFormatting>
  <conditionalFormatting sqref="X1772 X1790">
    <cfRule type="cellIs" dxfId="28" priority="21" operator="greaterThan">
      <formula>0</formula>
    </cfRule>
  </conditionalFormatting>
  <conditionalFormatting sqref="X1807">
    <cfRule type="cellIs" dxfId="27" priority="19" operator="greaterThan">
      <formula>0</formula>
    </cfRule>
  </conditionalFormatting>
  <conditionalFormatting sqref="X1824">
    <cfRule type="cellIs" dxfId="26" priority="17" operator="greaterThan">
      <formula>0</formula>
    </cfRule>
  </conditionalFormatting>
  <conditionalFormatting sqref="X1840">
    <cfRule type="cellIs" dxfId="25" priority="15" operator="greaterThan">
      <formula>0</formula>
    </cfRule>
  </conditionalFormatting>
  <conditionalFormatting sqref="X1850">
    <cfRule type="cellIs" dxfId="24" priority="13" operator="greaterThan">
      <formula>0</formula>
    </cfRule>
  </conditionalFormatting>
  <conditionalFormatting sqref="X1867">
    <cfRule type="cellIs" dxfId="23" priority="11" operator="greaterThan">
      <formula>0</formula>
    </cfRule>
  </conditionalFormatting>
  <conditionalFormatting sqref="X1884">
    <cfRule type="cellIs" dxfId="22" priority="9" operator="greaterThan">
      <formula>0</formula>
    </cfRule>
  </conditionalFormatting>
  <conditionalFormatting sqref="X1903">
    <cfRule type="cellIs" dxfId="21" priority="7" operator="greaterThan">
      <formula>0</formula>
    </cfRule>
  </conditionalFormatting>
  <conditionalFormatting sqref="X1920">
    <cfRule type="cellIs" dxfId="20" priority="5" operator="greaterThan">
      <formula>0</formula>
    </cfRule>
  </conditionalFormatting>
  <conditionalFormatting sqref="X1932">
    <cfRule type="cellIs" dxfId="19" priority="3" operator="greaterThan">
      <formula>0</formula>
    </cfRule>
  </conditionalFormatting>
  <conditionalFormatting sqref="X1951">
    <cfRule type="cellIs" dxfId="18" priority="1" operator="greaterThan">
      <formula>0</formula>
    </cfRule>
  </conditionalFormatting>
  <conditionalFormatting sqref="AB1708">
    <cfRule type="cellIs" dxfId="17" priority="263" operator="greaterThanOrEqual">
      <formula>0</formula>
    </cfRule>
    <cfRule type="cellIs" dxfId="16" priority="264" operator="lessThan">
      <formula>0</formula>
    </cfRule>
  </conditionalFormatting>
  <conditionalFormatting sqref="AK1271:AO1271">
    <cfRule type="cellIs" priority="499" operator="between"/>
  </conditionalFormatting>
  <dataValidations count="2">
    <dataValidation type="list" allowBlank="1" showInputMessage="1" showErrorMessage="1" sqref="S5:S19 S23:S39 S43:S58 S62:S79 S83:S116 S120:S137 S141:S158 S162:S176 S180:S184 S188:S200 S204:S217 S221:S231 S235:S251 S255:S268 S272:S288 S292:S303 S307:S319 S323:S337 S341:S354 S358:S373 S377:S393 S397:S409 S413:S422 S426:S436 S440:S452 S456:S471 S475:S485 S509:S517 S489:S505 S521:S530 S534:S544 S548:S560 S564:S579 S583:S600 S604:S614 S618:S625 S629:S640 S644:S656 S660:S673 S677:S694 S698:S717 S721:S734 S838:S849 S755:S764 S768:S782 S801:S814 S786:S797 S738:S751 S818:S834 S853:S868 S872:S884 S888:S900 S942:S956 S960:S976 S1008:S1017 S1021:S1036 S1040:S1054 S1058:S1073 S1077:S1095 S1107:S1117 S1121:S1131 S1135:S1148 S1152:S1168 S904:S919 S1099:S1103 S996:S1004 S980:S992 S923:S938 S1172:S1184 S1188:S1197 S1442:S1453 S1201:S1212 S1238:S1253 S1257:S1273 S1277:S1294 S1319:S1337 S1298:S1315 S1341:S1362 S1366:S1386 S1390:S1402 S1425:S1438 S1406:S1421 S1512:S1525 S1457:S1480 S1502:S1508 S1529:S1543 S1560:S1574 S1598:S1612 S1616:S1628 S1738:S1751 S1216:S1234 S1808:S1821 S1484:S1498 S1791:S1804 S1773:S1787 S1755:S1769 S1721:S1734 S1709:S1717 S1690:S1705 S1673:S1686 S1654:S1669 S1632:S1650 S1578:S1594 S1547:S1556 S1825:S1837 S1841:S1847 S1851:S1864 S1868:S1881 S1885:S1900 S1904:S1917 S1933:S1948 S1921:S1929" xr:uid="{01D7BD5F-C161-491B-913B-8F6502D01D42}">
      <formula1>"Breakfast, Lunch, Dinner, Snack"</formula1>
    </dataValidation>
    <dataValidation type="list" allowBlank="1" showInputMessage="1" showErrorMessage="1" sqref="T768:T782 T942:T956 T888:T900 T872:T884 T853:T868 T838:T849 T698:T717 T721:T734 T583:T600 T677:T694 T660:T673 T618:T625 T629:T640 T564:T579 T548:T560 T509:T517 T489:T505 T440:T452 T426:T436 T397:T409 T323:T337 T341:T354 T5:T19 T307:T319 T23:T39 T62:T79 T43:T58 T120:T137 T83:T116 T162:T176 T188:T200 T180:T184 T141:T158 T204:T217 T221:T231 T272:T288 T235:T251 T255:T268 T292:T303 T358:T373 T377:T393 T413:T422 T456:T471 T475:T485 T521:T530 T534:T544 T604:T614 T644:T656 T738:T751 T755:T764 T786:T797 T801:T814 T818:T834 T960:T976 T1008:T1017 T1021:T1036 T1040:T1054 T1058:T1073 T1077:T1095 T1107:T1117 T1121:T1131 T1135:T1148 T1152:T1168 T904:T919 T1099:T1103 T996:T1004 T980:T992 T923:T938 T1172:T1184 T1188:T1197 T1201:T1212 T1216:T1234 T1238:T1253 T1257:T1273 T1277:T1294 T1298:T1315 T1319:T1337 T1341:T1362 T1366:T1386 T1390:T1402 T1406:T1421 T1425:T1438 T1442:T1453 T1457:T1480 T1484:T1498 T1529:T1543 T1502:T1508 T1560:T1574 T1598:T1612 T1616:T1628 T1738:T1751 T1808:T1821 T1512:T1525 T1791:T1804 T1773:T1787 T1755:T1769 T1721:T1734 T1709:T1717 T1690:T1705 T1673:T1686 T1654:T1669 T1632:T1650 T1578:T1594 T1547:T1556 T1825:T1837 T1841:T1847 T1868:T1881 T1851:T1864 T1885:T1900 T1904:T1917 T1921:T1929 T1933:T1948" xr:uid="{29414116-3D9B-4C48-8EBA-1490ECF44BB2}">
      <formula1>$E$5:$E$786</formula1>
    </dataValidation>
  </dataValidations>
  <pageMargins left="0.7" right="0.7" top="0.75" bottom="0.75" header="0.3" footer="0.3"/>
  <pageSetup orientation="portrait" r:id="rId1"/>
  <ignoredErrors>
    <ignoredError sqref="B35" formula="1"/>
  </ignoredError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1B853-5497-4DFD-8A2F-CE058C0461F4}">
  <sheetPr>
    <tabColor rgb="FFFF99FF"/>
  </sheetPr>
  <dimension ref="A1:V67"/>
  <sheetViews>
    <sheetView zoomScale="115" zoomScaleNormal="115" workbookViewId="0">
      <selection activeCell="U11" sqref="U11"/>
    </sheetView>
  </sheetViews>
  <sheetFormatPr defaultRowHeight="15"/>
  <cols>
    <col min="1" max="1" width="4" style="366" customWidth="1"/>
    <col min="2" max="13" width="5" style="366" customWidth="1"/>
    <col min="14" max="14" width="30" style="366" hidden="1" customWidth="1"/>
    <col min="15" max="15" width="8" style="366" customWidth="1"/>
    <col min="16" max="16" width="10.7109375" style="366" customWidth="1"/>
    <col min="17" max="17" width="12" style="366" customWidth="1"/>
    <col min="18" max="16384" width="9.140625" style="366"/>
  </cols>
  <sheetData>
    <row r="1" spans="1:17" ht="22.5">
      <c r="A1" s="1089" t="s">
        <v>544</v>
      </c>
      <c r="B1" s="1089"/>
      <c r="C1" s="1089"/>
      <c r="D1" s="1089"/>
      <c r="E1" s="1089"/>
      <c r="F1" s="1089"/>
      <c r="G1" s="1089"/>
      <c r="H1" s="1089"/>
      <c r="I1" s="1089"/>
      <c r="J1" s="1089"/>
      <c r="K1" s="1089"/>
      <c r="L1" s="1089"/>
      <c r="M1" s="1089"/>
    </row>
    <row r="2" spans="1:17" ht="15.75">
      <c r="B2" s="393" t="s">
        <v>543</v>
      </c>
      <c r="C2" s="393" t="s">
        <v>542</v>
      </c>
      <c r="D2" s="393" t="s">
        <v>541</v>
      </c>
      <c r="E2" s="393" t="s">
        <v>540</v>
      </c>
      <c r="F2" s="393" t="s">
        <v>50</v>
      </c>
      <c r="G2" s="393" t="s">
        <v>539</v>
      </c>
      <c r="H2" s="393" t="s">
        <v>538</v>
      </c>
      <c r="I2" s="393" t="s">
        <v>537</v>
      </c>
      <c r="J2" s="393" t="s">
        <v>536</v>
      </c>
      <c r="K2" s="393" t="s">
        <v>535</v>
      </c>
      <c r="L2" s="393" t="s">
        <v>534</v>
      </c>
      <c r="M2" s="393" t="s">
        <v>533</v>
      </c>
      <c r="N2" s="393" t="s">
        <v>173</v>
      </c>
      <c r="O2" s="391" t="s">
        <v>532</v>
      </c>
    </row>
    <row r="3" spans="1:17">
      <c r="A3" s="376">
        <v>1</v>
      </c>
      <c r="B3" s="375"/>
      <c r="C3" s="375"/>
      <c r="D3" s="373" t="s">
        <v>520</v>
      </c>
      <c r="E3" s="373" t="s">
        <v>515</v>
      </c>
      <c r="F3" s="373" t="s">
        <v>520</v>
      </c>
      <c r="G3" s="373"/>
      <c r="H3" s="373"/>
      <c r="I3" s="373"/>
      <c r="J3" s="373"/>
      <c r="K3" s="373"/>
      <c r="L3" s="373"/>
      <c r="M3" s="373"/>
      <c r="N3" s="402">
        <v>46072</v>
      </c>
      <c r="O3" s="389" t="s">
        <v>521</v>
      </c>
      <c r="P3" s="392" t="s">
        <v>531</v>
      </c>
    </row>
    <row r="4" spans="1:17">
      <c r="A4" s="376">
        <v>2</v>
      </c>
      <c r="B4" s="375"/>
      <c r="C4" s="375"/>
      <c r="D4" s="373" t="s">
        <v>515</v>
      </c>
      <c r="E4" s="373" t="s">
        <v>520</v>
      </c>
      <c r="F4" s="373" t="s">
        <v>521</v>
      </c>
      <c r="G4" s="373"/>
      <c r="H4" s="373"/>
      <c r="I4" s="373"/>
      <c r="J4" s="373"/>
      <c r="K4" s="373"/>
      <c r="L4" s="373"/>
      <c r="M4" s="373"/>
      <c r="N4" s="372"/>
      <c r="O4" s="388" t="s">
        <v>520</v>
      </c>
      <c r="P4" s="392" t="s">
        <v>530</v>
      </c>
    </row>
    <row r="5" spans="1:17">
      <c r="A5" s="376">
        <v>3</v>
      </c>
      <c r="B5" s="375"/>
      <c r="C5" s="375"/>
      <c r="D5" s="373" t="s">
        <v>519</v>
      </c>
      <c r="E5" s="373" t="s">
        <v>515</v>
      </c>
      <c r="F5" s="373" t="s">
        <v>515</v>
      </c>
      <c r="G5" s="373"/>
      <c r="H5" s="373"/>
      <c r="I5" s="373"/>
      <c r="J5" s="373"/>
      <c r="K5" s="373"/>
      <c r="L5" s="373"/>
      <c r="M5" s="373"/>
      <c r="N5" s="372"/>
      <c r="O5" s="387" t="s">
        <v>515</v>
      </c>
      <c r="P5" s="392" t="s">
        <v>529</v>
      </c>
    </row>
    <row r="6" spans="1:17">
      <c r="A6" s="376">
        <v>4</v>
      </c>
      <c r="B6" s="375"/>
      <c r="C6" s="375"/>
      <c r="D6" s="373" t="s">
        <v>519</v>
      </c>
      <c r="E6" s="373" t="s">
        <v>520</v>
      </c>
      <c r="F6" s="373"/>
      <c r="G6" s="373"/>
      <c r="H6" s="373"/>
      <c r="I6" s="373"/>
      <c r="J6" s="373"/>
      <c r="K6" s="373"/>
      <c r="L6" s="373"/>
      <c r="M6" s="373"/>
      <c r="N6" s="372"/>
      <c r="O6" s="386" t="s">
        <v>519</v>
      </c>
      <c r="P6" s="392" t="s">
        <v>528</v>
      </c>
    </row>
    <row r="7" spans="1:17">
      <c r="A7" s="376">
        <v>5</v>
      </c>
      <c r="B7" s="375"/>
      <c r="C7" s="375"/>
      <c r="D7" s="373" t="s">
        <v>515</v>
      </c>
      <c r="E7" s="373" t="s">
        <v>515</v>
      </c>
      <c r="F7" s="373"/>
      <c r="G7" s="373"/>
      <c r="H7" s="373"/>
      <c r="I7" s="373"/>
      <c r="J7" s="373"/>
      <c r="K7" s="373"/>
      <c r="L7" s="373"/>
      <c r="M7" s="373"/>
      <c r="N7" s="372"/>
      <c r="O7" s="385" t="s">
        <v>518</v>
      </c>
      <c r="P7" s="392" t="s">
        <v>527</v>
      </c>
    </row>
    <row r="8" spans="1:17">
      <c r="A8" s="376">
        <v>6</v>
      </c>
      <c r="B8" s="375"/>
      <c r="C8" s="375"/>
      <c r="D8" s="373" t="s">
        <v>519</v>
      </c>
      <c r="E8" s="373" t="s">
        <v>519</v>
      </c>
      <c r="F8" s="373"/>
      <c r="G8" s="373"/>
      <c r="H8" s="373"/>
      <c r="I8" s="373"/>
      <c r="J8" s="373"/>
      <c r="K8" s="373"/>
      <c r="L8" s="373"/>
      <c r="M8" s="373"/>
      <c r="N8" s="372"/>
      <c r="O8" s="384" t="s">
        <v>517</v>
      </c>
      <c r="P8" s="392" t="s">
        <v>526</v>
      </c>
    </row>
    <row r="9" spans="1:17">
      <c r="A9" s="376">
        <v>7</v>
      </c>
      <c r="B9" s="375"/>
      <c r="C9" s="375"/>
      <c r="D9" s="373" t="s">
        <v>520</v>
      </c>
      <c r="E9" s="373" t="s">
        <v>515</v>
      </c>
      <c r="F9" s="373"/>
      <c r="G9" s="373"/>
      <c r="H9" s="373"/>
      <c r="I9" s="373"/>
      <c r="J9" s="373"/>
      <c r="K9" s="373"/>
      <c r="L9" s="373"/>
      <c r="M9" s="373"/>
      <c r="N9" s="372"/>
    </row>
    <row r="10" spans="1:17" ht="15.75">
      <c r="A10" s="376">
        <v>8</v>
      </c>
      <c r="B10" s="375"/>
      <c r="C10" s="375"/>
      <c r="D10" s="373" t="s">
        <v>521</v>
      </c>
      <c r="E10" s="373" t="s">
        <v>515</v>
      </c>
      <c r="F10" s="373"/>
      <c r="G10" s="373"/>
      <c r="H10" s="373"/>
      <c r="I10" s="373"/>
      <c r="J10" s="373"/>
      <c r="K10" s="373"/>
      <c r="L10" s="373"/>
      <c r="M10" s="373"/>
      <c r="N10" s="372"/>
      <c r="O10" s="391" t="s">
        <v>525</v>
      </c>
    </row>
    <row r="11" spans="1:17">
      <c r="A11" s="376">
        <v>9</v>
      </c>
      <c r="B11" s="375"/>
      <c r="C11" s="375"/>
      <c r="D11" s="373" t="s">
        <v>515</v>
      </c>
      <c r="E11" s="373" t="s">
        <v>515</v>
      </c>
      <c r="F11" s="373"/>
      <c r="G11" s="373"/>
      <c r="H11" s="373"/>
      <c r="I11" s="373"/>
      <c r="J11" s="373"/>
      <c r="K11" s="373"/>
      <c r="L11" s="373"/>
      <c r="M11" s="373"/>
      <c r="N11" s="372"/>
      <c r="O11" s="390" t="s">
        <v>524</v>
      </c>
      <c r="P11" s="390" t="s">
        <v>523</v>
      </c>
      <c r="Q11" s="390" t="s">
        <v>522</v>
      </c>
    </row>
    <row r="12" spans="1:17">
      <c r="A12" s="376">
        <v>10</v>
      </c>
      <c r="B12" s="375"/>
      <c r="C12" s="375"/>
      <c r="D12" s="373" t="s">
        <v>519</v>
      </c>
      <c r="E12" s="373" t="s">
        <v>520</v>
      </c>
      <c r="F12" s="373"/>
      <c r="G12" s="373"/>
      <c r="H12" s="373"/>
      <c r="I12" s="373"/>
      <c r="J12" s="373"/>
      <c r="K12" s="373"/>
      <c r="L12" s="373"/>
      <c r="M12" s="373"/>
      <c r="N12" s="372"/>
      <c r="O12" s="389" t="s">
        <v>521</v>
      </c>
      <c r="P12" s="383">
        <f>COUNTIF(B3:M33,"A+")</f>
        <v>8</v>
      </c>
      <c r="Q12" s="382">
        <f t="shared" ref="Q12:Q17" si="0">IFERROR(P12/365*100,0)</f>
        <v>2.1917808219178081</v>
      </c>
    </row>
    <row r="13" spans="1:17">
      <c r="A13" s="376">
        <v>11</v>
      </c>
      <c r="B13" s="375"/>
      <c r="C13" s="375"/>
      <c r="D13" s="373" t="s">
        <v>519</v>
      </c>
      <c r="E13" s="373" t="s">
        <v>515</v>
      </c>
      <c r="F13" s="373"/>
      <c r="G13" s="373"/>
      <c r="H13" s="373"/>
      <c r="I13" s="373"/>
      <c r="J13" s="373"/>
      <c r="K13" s="373"/>
      <c r="L13" s="373"/>
      <c r="M13" s="373"/>
      <c r="N13" s="372"/>
      <c r="O13" s="388" t="s">
        <v>520</v>
      </c>
      <c r="P13" s="383">
        <f>COUNTIF(B3:M33,"A")</f>
        <v>17</v>
      </c>
      <c r="Q13" s="382">
        <f t="shared" si="0"/>
        <v>4.6575342465753424</v>
      </c>
    </row>
    <row r="14" spans="1:17">
      <c r="A14" s="376">
        <v>12</v>
      </c>
      <c r="B14" s="375"/>
      <c r="C14" s="375"/>
      <c r="D14" s="373" t="s">
        <v>515</v>
      </c>
      <c r="E14" s="373" t="s">
        <v>519</v>
      </c>
      <c r="F14" s="373"/>
      <c r="G14" s="373"/>
      <c r="H14" s="373"/>
      <c r="I14" s="373"/>
      <c r="J14" s="373"/>
      <c r="K14" s="373"/>
      <c r="L14" s="373"/>
      <c r="M14" s="373"/>
      <c r="N14" s="372"/>
      <c r="O14" s="387" t="s">
        <v>515</v>
      </c>
      <c r="P14" s="383">
        <f>COUNTIF(B3:M33,"B")</f>
        <v>36</v>
      </c>
      <c r="Q14" s="382">
        <f t="shared" si="0"/>
        <v>9.8630136986301373</v>
      </c>
    </row>
    <row r="15" spans="1:17">
      <c r="A15" s="376">
        <v>13</v>
      </c>
      <c r="B15" s="375"/>
      <c r="C15" s="375"/>
      <c r="D15" s="373" t="s">
        <v>521</v>
      </c>
      <c r="E15" s="373" t="s">
        <v>519</v>
      </c>
      <c r="F15" s="373"/>
      <c r="G15" s="373"/>
      <c r="H15" s="373"/>
      <c r="I15" s="373"/>
      <c r="J15" s="373"/>
      <c r="K15" s="373"/>
      <c r="L15" s="373"/>
      <c r="M15" s="373"/>
      <c r="N15" s="372"/>
      <c r="O15" s="386" t="s">
        <v>519</v>
      </c>
      <c r="P15" s="383">
        <f>COUNTIF(B3:M33,"C")</f>
        <v>14</v>
      </c>
      <c r="Q15" s="382">
        <f t="shared" si="0"/>
        <v>3.8356164383561646</v>
      </c>
    </row>
    <row r="16" spans="1:17">
      <c r="A16" s="376">
        <v>14</v>
      </c>
      <c r="B16" s="375"/>
      <c r="C16" s="375"/>
      <c r="D16" s="373" t="s">
        <v>521</v>
      </c>
      <c r="E16" s="373" t="s">
        <v>521</v>
      </c>
      <c r="F16" s="373"/>
      <c r="G16" s="373"/>
      <c r="H16" s="373"/>
      <c r="I16" s="373"/>
      <c r="J16" s="373"/>
      <c r="K16" s="373"/>
      <c r="L16" s="373"/>
      <c r="M16" s="373"/>
      <c r="N16" s="372"/>
      <c r="O16" s="385" t="s">
        <v>518</v>
      </c>
      <c r="P16" s="383">
        <f>COUNTIF(B3:M33,"D")</f>
        <v>0</v>
      </c>
      <c r="Q16" s="382">
        <f t="shared" si="0"/>
        <v>0</v>
      </c>
    </row>
    <row r="17" spans="1:20">
      <c r="A17" s="376">
        <v>15</v>
      </c>
      <c r="B17" s="375"/>
      <c r="C17" s="375"/>
      <c r="D17" s="373" t="s">
        <v>520</v>
      </c>
      <c r="E17" s="373" t="s">
        <v>520</v>
      </c>
      <c r="F17" s="373"/>
      <c r="G17" s="373"/>
      <c r="H17" s="373"/>
      <c r="I17" s="373"/>
      <c r="J17" s="373"/>
      <c r="K17" s="373"/>
      <c r="L17" s="373"/>
      <c r="M17" s="373"/>
      <c r="N17" s="372"/>
      <c r="O17" s="384" t="s">
        <v>517</v>
      </c>
      <c r="P17" s="383">
        <f>COUNTIF(B3:M33,"F")</f>
        <v>0</v>
      </c>
      <c r="Q17" s="382">
        <f t="shared" si="0"/>
        <v>0</v>
      </c>
    </row>
    <row r="18" spans="1:20">
      <c r="A18" s="376">
        <v>16</v>
      </c>
      <c r="B18" s="375"/>
      <c r="C18" s="375"/>
      <c r="D18" s="373" t="s">
        <v>519</v>
      </c>
      <c r="E18" s="373" t="s">
        <v>515</v>
      </c>
      <c r="F18" s="373"/>
      <c r="G18" s="373"/>
      <c r="H18" s="373"/>
      <c r="I18" s="373"/>
      <c r="J18" s="373"/>
      <c r="K18" s="373"/>
      <c r="L18" s="373"/>
      <c r="M18" s="373"/>
      <c r="N18" s="372"/>
    </row>
    <row r="19" spans="1:20">
      <c r="A19" s="376">
        <v>17</v>
      </c>
      <c r="B19" s="375"/>
      <c r="C19" s="375"/>
      <c r="D19" s="373" t="s">
        <v>519</v>
      </c>
      <c r="E19" s="373" t="s">
        <v>521</v>
      </c>
      <c r="F19" s="373"/>
      <c r="G19" s="373"/>
      <c r="H19" s="373"/>
      <c r="I19" s="373"/>
      <c r="J19" s="373"/>
      <c r="K19" s="373"/>
      <c r="L19" s="373"/>
      <c r="M19" s="373"/>
      <c r="N19" s="372"/>
      <c r="O19" s="381" t="s">
        <v>516</v>
      </c>
    </row>
    <row r="20" spans="1:20">
      <c r="A20" s="376">
        <v>18</v>
      </c>
      <c r="B20" s="375"/>
      <c r="C20" s="373" t="s">
        <v>515</v>
      </c>
      <c r="D20" s="373" t="s">
        <v>520</v>
      </c>
      <c r="E20" s="373" t="s">
        <v>520</v>
      </c>
      <c r="F20" s="373"/>
      <c r="G20" s="373"/>
      <c r="H20" s="373"/>
      <c r="I20" s="373"/>
      <c r="J20" s="373"/>
      <c r="K20" s="373"/>
      <c r="L20" s="373"/>
      <c r="M20" s="373"/>
      <c r="N20" s="372"/>
      <c r="O20" s="366" t="s">
        <v>514</v>
      </c>
    </row>
    <row r="21" spans="1:20">
      <c r="A21" s="376">
        <v>19</v>
      </c>
      <c r="B21" s="375"/>
      <c r="C21" s="373" t="s">
        <v>515</v>
      </c>
      <c r="D21" s="373" t="s">
        <v>519</v>
      </c>
      <c r="E21" s="373" t="s">
        <v>515</v>
      </c>
      <c r="F21" s="373"/>
      <c r="G21" s="373"/>
      <c r="H21" s="373"/>
      <c r="I21" s="373"/>
      <c r="J21" s="373"/>
      <c r="K21" s="373"/>
      <c r="L21" s="373"/>
      <c r="M21" s="373"/>
      <c r="N21" s="372"/>
      <c r="O21" s="366" t="s">
        <v>513</v>
      </c>
    </row>
    <row r="22" spans="1:20">
      <c r="A22" s="376">
        <v>20</v>
      </c>
      <c r="B22" s="375"/>
      <c r="C22" s="373" t="s">
        <v>520</v>
      </c>
      <c r="D22" s="373" t="s">
        <v>520</v>
      </c>
      <c r="E22" s="373" t="s">
        <v>515</v>
      </c>
      <c r="F22" s="373"/>
      <c r="G22" s="373"/>
      <c r="H22" s="373"/>
      <c r="I22" s="373"/>
      <c r="J22" s="373"/>
      <c r="K22" s="373"/>
      <c r="L22" s="373"/>
      <c r="M22" s="373"/>
      <c r="N22" s="372"/>
      <c r="O22" s="366" t="s">
        <v>512</v>
      </c>
    </row>
    <row r="23" spans="1:20">
      <c r="A23" s="376">
        <v>21</v>
      </c>
      <c r="B23" s="375"/>
      <c r="C23" s="373" t="s">
        <v>520</v>
      </c>
      <c r="D23" s="373" t="s">
        <v>521</v>
      </c>
      <c r="E23" s="373" t="s">
        <v>515</v>
      </c>
      <c r="F23" s="373"/>
      <c r="G23" s="373"/>
      <c r="H23" s="373"/>
      <c r="I23" s="373"/>
      <c r="J23" s="373"/>
      <c r="K23" s="373"/>
      <c r="L23" s="373"/>
      <c r="M23" s="373"/>
      <c r="N23" s="372"/>
      <c r="O23" s="366" t="s">
        <v>511</v>
      </c>
    </row>
    <row r="24" spans="1:20">
      <c r="A24" s="376">
        <v>22</v>
      </c>
      <c r="B24" s="375"/>
      <c r="C24" s="373" t="s">
        <v>515</v>
      </c>
      <c r="D24" s="373" t="s">
        <v>515</v>
      </c>
      <c r="E24" s="373" t="s">
        <v>515</v>
      </c>
      <c r="F24" s="373"/>
      <c r="G24" s="373"/>
      <c r="H24" s="373"/>
      <c r="I24" s="373"/>
      <c r="J24" s="373"/>
      <c r="K24" s="373"/>
      <c r="L24" s="373"/>
      <c r="M24" s="373"/>
      <c r="N24" s="372"/>
      <c r="O24" s="367"/>
      <c r="P24" s="380"/>
    </row>
    <row r="25" spans="1:20">
      <c r="A25" s="376">
        <v>23</v>
      </c>
      <c r="B25" s="375"/>
      <c r="C25" s="373" t="s">
        <v>515</v>
      </c>
      <c r="D25" s="373" t="s">
        <v>515</v>
      </c>
      <c r="E25" s="373" t="s">
        <v>515</v>
      </c>
      <c r="F25" s="373"/>
      <c r="G25" s="373"/>
      <c r="H25" s="373"/>
      <c r="I25" s="373"/>
      <c r="J25" s="373"/>
      <c r="K25" s="373"/>
      <c r="L25" s="373"/>
      <c r="M25" s="373"/>
      <c r="N25" s="372"/>
      <c r="O25" s="379" t="s">
        <v>510</v>
      </c>
      <c r="P25" s="371"/>
    </row>
    <row r="26" spans="1:20">
      <c r="A26" s="376">
        <v>24</v>
      </c>
      <c r="B26" s="375"/>
      <c r="C26" s="373" t="s">
        <v>515</v>
      </c>
      <c r="D26" s="373" t="s">
        <v>515</v>
      </c>
      <c r="E26" s="373" t="s">
        <v>520</v>
      </c>
      <c r="F26" s="373"/>
      <c r="G26" s="373"/>
      <c r="H26" s="373"/>
      <c r="I26" s="373"/>
      <c r="J26" s="373"/>
      <c r="K26" s="373"/>
      <c r="L26" s="373"/>
      <c r="M26" s="373"/>
      <c r="N26" s="372"/>
      <c r="O26" s="377" t="s">
        <v>509</v>
      </c>
      <c r="P26" s="371"/>
    </row>
    <row r="27" spans="1:20">
      <c r="A27" s="376">
        <v>25</v>
      </c>
      <c r="B27" s="375"/>
      <c r="C27" s="373" t="s">
        <v>515</v>
      </c>
      <c r="D27" s="373" t="s">
        <v>515</v>
      </c>
      <c r="E27" s="373" t="s">
        <v>520</v>
      </c>
      <c r="F27" s="373"/>
      <c r="G27" s="373"/>
      <c r="H27" s="373"/>
      <c r="I27" s="373"/>
      <c r="J27" s="373"/>
      <c r="K27" s="373"/>
      <c r="L27" s="373"/>
      <c r="M27" s="373"/>
      <c r="N27" s="372"/>
      <c r="O27" s="377" t="s">
        <v>508</v>
      </c>
      <c r="P27" s="371"/>
    </row>
    <row r="28" spans="1:20">
      <c r="A28" s="376">
        <v>26</v>
      </c>
      <c r="B28" s="375"/>
      <c r="C28" s="373" t="s">
        <v>515</v>
      </c>
      <c r="D28" s="373" t="s">
        <v>519</v>
      </c>
      <c r="E28" s="373" t="s">
        <v>515</v>
      </c>
      <c r="F28" s="373"/>
      <c r="G28" s="373"/>
      <c r="H28" s="373"/>
      <c r="I28" s="373"/>
      <c r="J28" s="373"/>
      <c r="K28" s="373"/>
      <c r="L28" s="373"/>
      <c r="M28" s="373"/>
      <c r="N28" s="372"/>
      <c r="O28" s="377" t="s">
        <v>507</v>
      </c>
      <c r="P28" s="371"/>
    </row>
    <row r="29" spans="1:20">
      <c r="A29" s="376">
        <v>27</v>
      </c>
      <c r="B29" s="375"/>
      <c r="C29" s="373" t="s">
        <v>515</v>
      </c>
      <c r="D29" s="373" t="s">
        <v>515</v>
      </c>
      <c r="E29" s="373" t="s">
        <v>515</v>
      </c>
      <c r="F29" s="373"/>
      <c r="G29" s="373"/>
      <c r="H29" s="373"/>
      <c r="I29" s="373"/>
      <c r="J29" s="373"/>
      <c r="K29" s="373"/>
      <c r="L29" s="373"/>
      <c r="M29" s="373"/>
      <c r="N29" s="372"/>
      <c r="O29" s="377" t="s">
        <v>506</v>
      </c>
      <c r="P29" s="371"/>
      <c r="T29" s="378"/>
    </row>
    <row r="30" spans="1:20">
      <c r="A30" s="376">
        <v>28</v>
      </c>
      <c r="B30" s="375"/>
      <c r="C30" s="373" t="s">
        <v>515</v>
      </c>
      <c r="D30" s="373" t="s">
        <v>521</v>
      </c>
      <c r="E30" s="373" t="s">
        <v>515</v>
      </c>
      <c r="F30" s="373"/>
      <c r="G30" s="373"/>
      <c r="H30" s="373"/>
      <c r="I30" s="373"/>
      <c r="J30" s="373"/>
      <c r="K30" s="373"/>
      <c r="L30" s="373"/>
      <c r="M30" s="373"/>
      <c r="N30" s="372"/>
      <c r="O30" s="377" t="s">
        <v>505</v>
      </c>
      <c r="P30" s="371"/>
      <c r="T30" s="367"/>
    </row>
    <row r="31" spans="1:20">
      <c r="A31" s="376">
        <v>29</v>
      </c>
      <c r="B31" s="375"/>
      <c r="C31" s="374"/>
      <c r="D31" s="373" t="s">
        <v>519</v>
      </c>
      <c r="E31" s="373" t="s">
        <v>515</v>
      </c>
      <c r="F31" s="373"/>
      <c r="G31" s="373"/>
      <c r="H31" s="373"/>
      <c r="I31" s="373"/>
      <c r="J31" s="373"/>
      <c r="K31" s="373"/>
      <c r="L31" s="373"/>
      <c r="M31" s="373"/>
      <c r="N31" s="372"/>
      <c r="O31" s="377" t="s">
        <v>504</v>
      </c>
      <c r="P31" s="371"/>
      <c r="T31" s="367"/>
    </row>
    <row r="32" spans="1:20">
      <c r="A32" s="376">
        <v>30</v>
      </c>
      <c r="B32" s="375"/>
      <c r="C32" s="374"/>
      <c r="D32" s="373" t="s">
        <v>520</v>
      </c>
      <c r="E32" s="373" t="s">
        <v>519</v>
      </c>
      <c r="F32" s="373"/>
      <c r="G32" s="373"/>
      <c r="H32" s="373"/>
      <c r="I32" s="373"/>
      <c r="J32" s="373"/>
      <c r="K32" s="373"/>
      <c r="L32" s="373"/>
      <c r="M32" s="373"/>
      <c r="N32" s="372"/>
      <c r="O32" s="377" t="s">
        <v>504</v>
      </c>
      <c r="P32" s="371"/>
      <c r="T32" s="367"/>
    </row>
    <row r="33" spans="1:22">
      <c r="A33" s="376">
        <v>31</v>
      </c>
      <c r="B33" s="375"/>
      <c r="C33" s="374"/>
      <c r="D33" s="373" t="s">
        <v>520</v>
      </c>
      <c r="E33" s="374"/>
      <c r="F33" s="373"/>
      <c r="G33" s="374"/>
      <c r="H33" s="373"/>
      <c r="I33" s="373"/>
      <c r="J33" s="374"/>
      <c r="K33" s="373"/>
      <c r="L33" s="374"/>
      <c r="M33" s="373"/>
      <c r="N33" s="372"/>
      <c r="O33" s="371"/>
      <c r="P33" s="371"/>
      <c r="T33" s="367"/>
    </row>
    <row r="34" spans="1:22">
      <c r="A34" s="370"/>
      <c r="B34" s="370"/>
      <c r="C34" s="370"/>
      <c r="D34" s="370"/>
      <c r="E34" s="370"/>
      <c r="F34" s="370"/>
      <c r="G34" s="370"/>
      <c r="H34" s="370"/>
      <c r="I34" s="370"/>
      <c r="J34" s="370"/>
      <c r="K34" s="370"/>
      <c r="L34" s="370"/>
      <c r="M34" s="370"/>
      <c r="N34" s="370"/>
      <c r="T34" s="367"/>
    </row>
    <row r="35" spans="1:22">
      <c r="A35" s="369" t="s">
        <v>503</v>
      </c>
      <c r="B35" s="401" t="str">
        <f t="shared" ref="B35:M35" si="1">IF(COUNTIF(B3:B33,"&lt;&gt;")=0,"",IF(AVERAGE(B37:B67)&gt;=5.5,"A+",IF(AVERAGE(B37:B67)&gt;=4.5,"A",IF(AVERAGE(B37:B67)&gt;=3.5,"B",IF(AVERAGE(B37:B67)&gt;=2.5,"C",IF(AVERAGE(B37:B67)&gt;=1.5,"D","F"))))))</f>
        <v/>
      </c>
      <c r="C35" s="368" t="str">
        <f t="shared" si="1"/>
        <v>B</v>
      </c>
      <c r="D35" s="368" t="str">
        <f t="shared" si="1"/>
        <v>B</v>
      </c>
      <c r="E35" s="368" t="str">
        <f t="shared" si="1"/>
        <v>B</v>
      </c>
      <c r="F35" s="368" t="str">
        <f t="shared" si="1"/>
        <v>A</v>
      </c>
      <c r="G35" s="368" t="str">
        <f t="shared" si="1"/>
        <v/>
      </c>
      <c r="H35" s="368" t="str">
        <f t="shared" si="1"/>
        <v/>
      </c>
      <c r="I35" s="368" t="str">
        <f t="shared" si="1"/>
        <v/>
      </c>
      <c r="J35" s="368" t="str">
        <f t="shared" si="1"/>
        <v/>
      </c>
      <c r="K35" s="368" t="str">
        <f t="shared" si="1"/>
        <v/>
      </c>
      <c r="L35" s="368" t="str">
        <f t="shared" si="1"/>
        <v/>
      </c>
      <c r="M35" s="368" t="str">
        <f t="shared" si="1"/>
        <v/>
      </c>
      <c r="T35" s="367"/>
      <c r="V35"/>
    </row>
    <row r="36" spans="1:22">
      <c r="A36" s="369"/>
      <c r="T36" s="367"/>
    </row>
    <row r="37" spans="1:22" hidden="1">
      <c r="B37" s="394" t="str">
        <f t="shared" ref="B37:M37" si="2">IF(B3="A+",6,IF(B3="A",5,IF(B3="B",4,IF(B3="C",3,IF(B3="D",2,IF(B3="F",1,""))))))</f>
        <v/>
      </c>
      <c r="C37" s="394" t="str">
        <f t="shared" si="2"/>
        <v/>
      </c>
      <c r="D37" s="394">
        <f t="shared" si="2"/>
        <v>5</v>
      </c>
      <c r="E37" s="394">
        <f t="shared" si="2"/>
        <v>4</v>
      </c>
      <c r="F37" s="394">
        <f t="shared" si="2"/>
        <v>5</v>
      </c>
      <c r="G37" s="394" t="str">
        <f t="shared" si="2"/>
        <v/>
      </c>
      <c r="H37" s="394" t="str">
        <f t="shared" si="2"/>
        <v/>
      </c>
      <c r="I37" s="394" t="str">
        <f t="shared" si="2"/>
        <v/>
      </c>
      <c r="J37" s="394" t="str">
        <f t="shared" si="2"/>
        <v/>
      </c>
      <c r="K37" s="394" t="str">
        <f t="shared" si="2"/>
        <v/>
      </c>
      <c r="L37" s="394" t="str">
        <f t="shared" si="2"/>
        <v/>
      </c>
      <c r="M37" s="394" t="str">
        <f t="shared" si="2"/>
        <v/>
      </c>
    </row>
    <row r="38" spans="1:22" hidden="1">
      <c r="B38" s="394" t="str">
        <f t="shared" ref="B38:M38" si="3">IF(B4="A+",6,IF(B4="A",5,IF(B4="B",4,IF(B4="C",3,IF(B4="D",2,IF(B4="F",1,""))))))</f>
        <v/>
      </c>
      <c r="C38" s="394" t="str">
        <f t="shared" si="3"/>
        <v/>
      </c>
      <c r="D38" s="394">
        <f t="shared" si="3"/>
        <v>4</v>
      </c>
      <c r="E38" s="394">
        <f t="shared" si="3"/>
        <v>5</v>
      </c>
      <c r="F38" s="394">
        <f t="shared" si="3"/>
        <v>6</v>
      </c>
      <c r="G38" s="394" t="str">
        <f t="shared" si="3"/>
        <v/>
      </c>
      <c r="H38" s="394" t="str">
        <f t="shared" si="3"/>
        <v/>
      </c>
      <c r="I38" s="394" t="str">
        <f t="shared" si="3"/>
        <v/>
      </c>
      <c r="J38" s="394" t="str">
        <f t="shared" si="3"/>
        <v/>
      </c>
      <c r="K38" s="394" t="str">
        <f t="shared" si="3"/>
        <v/>
      </c>
      <c r="L38" s="394" t="str">
        <f t="shared" si="3"/>
        <v/>
      </c>
      <c r="M38" s="394" t="str">
        <f t="shared" si="3"/>
        <v/>
      </c>
    </row>
    <row r="39" spans="1:22" hidden="1">
      <c r="B39" s="394" t="str">
        <f t="shared" ref="B39:M39" si="4">IF(B5="A+",6,IF(B5="A",5,IF(B5="B",4,IF(B5="C",3,IF(B5="D",2,IF(B5="F",1,""))))))</f>
        <v/>
      </c>
      <c r="C39" s="394" t="str">
        <f t="shared" si="4"/>
        <v/>
      </c>
      <c r="D39" s="394">
        <f t="shared" si="4"/>
        <v>3</v>
      </c>
      <c r="E39" s="394">
        <f t="shared" si="4"/>
        <v>4</v>
      </c>
      <c r="F39" s="394">
        <f t="shared" si="4"/>
        <v>4</v>
      </c>
      <c r="G39" s="394" t="str">
        <f t="shared" si="4"/>
        <v/>
      </c>
      <c r="H39" s="394" t="str">
        <f t="shared" si="4"/>
        <v/>
      </c>
      <c r="I39" s="394" t="str">
        <f t="shared" si="4"/>
        <v/>
      </c>
      <c r="J39" s="394" t="str">
        <f t="shared" si="4"/>
        <v/>
      </c>
      <c r="K39" s="394" t="str">
        <f t="shared" si="4"/>
        <v/>
      </c>
      <c r="L39" s="394" t="str">
        <f t="shared" si="4"/>
        <v/>
      </c>
      <c r="M39" s="394" t="str">
        <f t="shared" si="4"/>
        <v/>
      </c>
    </row>
    <row r="40" spans="1:22" hidden="1">
      <c r="B40" s="394" t="str">
        <f t="shared" ref="B40:M40" si="5">IF(B6="A+",6,IF(B6="A",5,IF(B6="B",4,IF(B6="C",3,IF(B6="D",2,IF(B6="F",1,""))))))</f>
        <v/>
      </c>
      <c r="C40" s="394" t="str">
        <f t="shared" si="5"/>
        <v/>
      </c>
      <c r="D40" s="394">
        <f t="shared" si="5"/>
        <v>3</v>
      </c>
      <c r="E40" s="394">
        <f t="shared" si="5"/>
        <v>5</v>
      </c>
      <c r="F40" s="394" t="str">
        <f t="shared" si="5"/>
        <v/>
      </c>
      <c r="G40" s="394" t="str">
        <f t="shared" si="5"/>
        <v/>
      </c>
      <c r="H40" s="394" t="str">
        <f t="shared" si="5"/>
        <v/>
      </c>
      <c r="I40" s="394" t="str">
        <f t="shared" si="5"/>
        <v/>
      </c>
      <c r="J40" s="394" t="str">
        <f t="shared" si="5"/>
        <v/>
      </c>
      <c r="K40" s="394" t="str">
        <f t="shared" si="5"/>
        <v/>
      </c>
      <c r="L40" s="394" t="str">
        <f t="shared" si="5"/>
        <v/>
      </c>
      <c r="M40" s="394" t="str">
        <f t="shared" si="5"/>
        <v/>
      </c>
    </row>
    <row r="41" spans="1:22" hidden="1">
      <c r="B41" s="394" t="str">
        <f t="shared" ref="B41:M41" si="6">IF(B7="A+",6,IF(B7="A",5,IF(B7="B",4,IF(B7="C",3,IF(B7="D",2,IF(B7="F",1,""))))))</f>
        <v/>
      </c>
      <c r="C41" s="394" t="str">
        <f t="shared" si="6"/>
        <v/>
      </c>
      <c r="D41" s="394">
        <f t="shared" si="6"/>
        <v>4</v>
      </c>
      <c r="E41" s="394">
        <f t="shared" si="6"/>
        <v>4</v>
      </c>
      <c r="F41" s="394" t="str">
        <f t="shared" si="6"/>
        <v/>
      </c>
      <c r="G41" s="394" t="str">
        <f t="shared" si="6"/>
        <v/>
      </c>
      <c r="H41" s="394" t="str">
        <f t="shared" si="6"/>
        <v/>
      </c>
      <c r="I41" s="394" t="str">
        <f t="shared" si="6"/>
        <v/>
      </c>
      <c r="J41" s="394" t="str">
        <f t="shared" si="6"/>
        <v/>
      </c>
      <c r="K41" s="394" t="str">
        <f t="shared" si="6"/>
        <v/>
      </c>
      <c r="L41" s="394" t="str">
        <f t="shared" si="6"/>
        <v/>
      </c>
      <c r="M41" s="394" t="str">
        <f t="shared" si="6"/>
        <v/>
      </c>
    </row>
    <row r="42" spans="1:22" hidden="1">
      <c r="B42" s="394" t="str">
        <f t="shared" ref="B42:M42" si="7">IF(B8="A+",6,IF(B8="A",5,IF(B8="B",4,IF(B8="C",3,IF(B8="D",2,IF(B8="F",1,""))))))</f>
        <v/>
      </c>
      <c r="C42" s="394" t="str">
        <f t="shared" si="7"/>
        <v/>
      </c>
      <c r="D42" s="394">
        <f t="shared" si="7"/>
        <v>3</v>
      </c>
      <c r="E42" s="394">
        <f t="shared" si="7"/>
        <v>3</v>
      </c>
      <c r="F42" s="394" t="str">
        <f t="shared" si="7"/>
        <v/>
      </c>
      <c r="G42" s="394" t="str">
        <f t="shared" si="7"/>
        <v/>
      </c>
      <c r="H42" s="394" t="str">
        <f t="shared" si="7"/>
        <v/>
      </c>
      <c r="I42" s="394" t="str">
        <f t="shared" si="7"/>
        <v/>
      </c>
      <c r="J42" s="394" t="str">
        <f t="shared" si="7"/>
        <v/>
      </c>
      <c r="K42" s="394" t="str">
        <f t="shared" si="7"/>
        <v/>
      </c>
      <c r="L42" s="394" t="str">
        <f t="shared" si="7"/>
        <v/>
      </c>
      <c r="M42" s="394" t="str">
        <f t="shared" si="7"/>
        <v/>
      </c>
    </row>
    <row r="43" spans="1:22" hidden="1">
      <c r="B43" s="394" t="str">
        <f t="shared" ref="B43:M43" si="8">IF(B9="A+",6,IF(B9="A",5,IF(B9="B",4,IF(B9="C",3,IF(B9="D",2,IF(B9="F",1,""))))))</f>
        <v/>
      </c>
      <c r="C43" s="394" t="str">
        <f t="shared" si="8"/>
        <v/>
      </c>
      <c r="D43" s="394">
        <f t="shared" si="8"/>
        <v>5</v>
      </c>
      <c r="E43" s="394">
        <f t="shared" si="8"/>
        <v>4</v>
      </c>
      <c r="F43" s="394" t="str">
        <f t="shared" si="8"/>
        <v/>
      </c>
      <c r="G43" s="394" t="str">
        <f t="shared" si="8"/>
        <v/>
      </c>
      <c r="H43" s="394" t="str">
        <f t="shared" si="8"/>
        <v/>
      </c>
      <c r="I43" s="394" t="str">
        <f t="shared" si="8"/>
        <v/>
      </c>
      <c r="J43" s="394" t="str">
        <f t="shared" si="8"/>
        <v/>
      </c>
      <c r="K43" s="394" t="str">
        <f t="shared" si="8"/>
        <v/>
      </c>
      <c r="L43" s="394" t="str">
        <f t="shared" si="8"/>
        <v/>
      </c>
      <c r="M43" s="394" t="str">
        <f t="shared" si="8"/>
        <v/>
      </c>
    </row>
    <row r="44" spans="1:22" hidden="1">
      <c r="B44" s="394" t="str">
        <f t="shared" ref="B44:M44" si="9">IF(B10="A+",6,IF(B10="A",5,IF(B10="B",4,IF(B10="C",3,IF(B10="D",2,IF(B10="F",1,""))))))</f>
        <v/>
      </c>
      <c r="C44" s="394" t="str">
        <f t="shared" si="9"/>
        <v/>
      </c>
      <c r="D44" s="394">
        <f t="shared" si="9"/>
        <v>6</v>
      </c>
      <c r="E44" s="394">
        <f t="shared" si="9"/>
        <v>4</v>
      </c>
      <c r="F44" s="394" t="str">
        <f t="shared" si="9"/>
        <v/>
      </c>
      <c r="G44" s="394" t="str">
        <f t="shared" si="9"/>
        <v/>
      </c>
      <c r="H44" s="394" t="str">
        <f t="shared" si="9"/>
        <v/>
      </c>
      <c r="I44" s="394" t="str">
        <f t="shared" si="9"/>
        <v/>
      </c>
      <c r="J44" s="394" t="str">
        <f t="shared" si="9"/>
        <v/>
      </c>
      <c r="K44" s="394" t="str">
        <f t="shared" si="9"/>
        <v/>
      </c>
      <c r="L44" s="394" t="str">
        <f t="shared" si="9"/>
        <v/>
      </c>
      <c r="M44" s="394" t="str">
        <f t="shared" si="9"/>
        <v/>
      </c>
    </row>
    <row r="45" spans="1:22" hidden="1">
      <c r="B45" s="394" t="str">
        <f t="shared" ref="B45:M45" si="10">IF(B11="A+",6,IF(B11="A",5,IF(B11="B",4,IF(B11="C",3,IF(B11="D",2,IF(B11="F",1,""))))))</f>
        <v/>
      </c>
      <c r="C45" s="394" t="str">
        <f t="shared" si="10"/>
        <v/>
      </c>
      <c r="D45" s="394">
        <f t="shared" si="10"/>
        <v>4</v>
      </c>
      <c r="E45" s="394">
        <f t="shared" si="10"/>
        <v>4</v>
      </c>
      <c r="F45" s="394" t="str">
        <f t="shared" si="10"/>
        <v/>
      </c>
      <c r="G45" s="394" t="str">
        <f t="shared" si="10"/>
        <v/>
      </c>
      <c r="H45" s="394" t="str">
        <f t="shared" si="10"/>
        <v/>
      </c>
      <c r="I45" s="394" t="str">
        <f t="shared" si="10"/>
        <v/>
      </c>
      <c r="J45" s="394" t="str">
        <f t="shared" si="10"/>
        <v/>
      </c>
      <c r="K45" s="394" t="str">
        <f t="shared" si="10"/>
        <v/>
      </c>
      <c r="L45" s="394" t="str">
        <f t="shared" si="10"/>
        <v/>
      </c>
      <c r="M45" s="394" t="str">
        <f t="shared" si="10"/>
        <v/>
      </c>
    </row>
    <row r="46" spans="1:22" hidden="1">
      <c r="B46" s="394" t="str">
        <f t="shared" ref="B46:M46" si="11">IF(B12="A+",6,IF(B12="A",5,IF(B12="B",4,IF(B12="C",3,IF(B12="D",2,IF(B12="F",1,""))))))</f>
        <v/>
      </c>
      <c r="C46" s="394" t="str">
        <f t="shared" si="11"/>
        <v/>
      </c>
      <c r="D46" s="394">
        <f t="shared" si="11"/>
        <v>3</v>
      </c>
      <c r="E46" s="394">
        <f t="shared" si="11"/>
        <v>5</v>
      </c>
      <c r="F46" s="394" t="str">
        <f t="shared" si="11"/>
        <v/>
      </c>
      <c r="G46" s="394" t="str">
        <f t="shared" si="11"/>
        <v/>
      </c>
      <c r="H46" s="394" t="str">
        <f t="shared" si="11"/>
        <v/>
      </c>
      <c r="I46" s="394" t="str">
        <f t="shared" si="11"/>
        <v/>
      </c>
      <c r="J46" s="394" t="str">
        <f t="shared" si="11"/>
        <v/>
      </c>
      <c r="K46" s="394" t="str">
        <f t="shared" si="11"/>
        <v/>
      </c>
      <c r="L46" s="394" t="str">
        <f t="shared" si="11"/>
        <v/>
      </c>
      <c r="M46" s="394" t="str">
        <f t="shared" si="11"/>
        <v/>
      </c>
    </row>
    <row r="47" spans="1:22" hidden="1">
      <c r="B47" s="394" t="str">
        <f t="shared" ref="B47:M47" si="12">IF(B13="A+",6,IF(B13="A",5,IF(B13="B",4,IF(B13="C",3,IF(B13="D",2,IF(B13="F",1,""))))))</f>
        <v/>
      </c>
      <c r="C47" s="394" t="str">
        <f t="shared" si="12"/>
        <v/>
      </c>
      <c r="D47" s="394">
        <f t="shared" si="12"/>
        <v>3</v>
      </c>
      <c r="E47" s="394">
        <f t="shared" si="12"/>
        <v>4</v>
      </c>
      <c r="F47" s="394" t="str">
        <f t="shared" si="12"/>
        <v/>
      </c>
      <c r="G47" s="394" t="str">
        <f t="shared" si="12"/>
        <v/>
      </c>
      <c r="H47" s="394" t="str">
        <f t="shared" si="12"/>
        <v/>
      </c>
      <c r="I47" s="394" t="str">
        <f t="shared" si="12"/>
        <v/>
      </c>
      <c r="J47" s="394" t="str">
        <f t="shared" si="12"/>
        <v/>
      </c>
      <c r="K47" s="394" t="str">
        <f t="shared" si="12"/>
        <v/>
      </c>
      <c r="L47" s="394" t="str">
        <f t="shared" si="12"/>
        <v/>
      </c>
      <c r="M47" s="394" t="str">
        <f t="shared" si="12"/>
        <v/>
      </c>
    </row>
    <row r="48" spans="1:22" hidden="1">
      <c r="B48" s="394" t="str">
        <f t="shared" ref="B48:M48" si="13">IF(B14="A+",6,IF(B14="A",5,IF(B14="B",4,IF(B14="C",3,IF(B14="D",2,IF(B14="F",1,""))))))</f>
        <v/>
      </c>
      <c r="C48" s="394" t="str">
        <f t="shared" si="13"/>
        <v/>
      </c>
      <c r="D48" s="394">
        <f t="shared" si="13"/>
        <v>4</v>
      </c>
      <c r="E48" s="394">
        <f t="shared" si="13"/>
        <v>3</v>
      </c>
      <c r="F48" s="394" t="str">
        <f t="shared" si="13"/>
        <v/>
      </c>
      <c r="G48" s="394" t="str">
        <f t="shared" si="13"/>
        <v/>
      </c>
      <c r="H48" s="394" t="str">
        <f t="shared" si="13"/>
        <v/>
      </c>
      <c r="I48" s="394" t="str">
        <f t="shared" si="13"/>
        <v/>
      </c>
      <c r="J48" s="394" t="str">
        <f t="shared" si="13"/>
        <v/>
      </c>
      <c r="K48" s="394" t="str">
        <f t="shared" si="13"/>
        <v/>
      </c>
      <c r="L48" s="394" t="str">
        <f t="shared" si="13"/>
        <v/>
      </c>
      <c r="M48" s="394" t="str">
        <f t="shared" si="13"/>
        <v/>
      </c>
    </row>
    <row r="49" spans="2:13" hidden="1">
      <c r="B49" s="394" t="str">
        <f t="shared" ref="B49:M49" si="14">IF(B15="A+",6,IF(B15="A",5,IF(B15="B",4,IF(B15="C",3,IF(B15="D",2,IF(B15="F",1,""))))))</f>
        <v/>
      </c>
      <c r="C49" s="394" t="str">
        <f t="shared" si="14"/>
        <v/>
      </c>
      <c r="D49" s="394">
        <f t="shared" si="14"/>
        <v>6</v>
      </c>
      <c r="E49" s="394">
        <f t="shared" si="14"/>
        <v>3</v>
      </c>
      <c r="F49" s="394" t="str">
        <f t="shared" si="14"/>
        <v/>
      </c>
      <c r="G49" s="394" t="str">
        <f t="shared" si="14"/>
        <v/>
      </c>
      <c r="H49" s="394" t="str">
        <f t="shared" si="14"/>
        <v/>
      </c>
      <c r="I49" s="394" t="str">
        <f t="shared" si="14"/>
        <v/>
      </c>
      <c r="J49" s="394" t="str">
        <f t="shared" si="14"/>
        <v/>
      </c>
      <c r="K49" s="394" t="str">
        <f t="shared" si="14"/>
        <v/>
      </c>
      <c r="L49" s="394" t="str">
        <f t="shared" si="14"/>
        <v/>
      </c>
      <c r="M49" s="394" t="str">
        <f t="shared" si="14"/>
        <v/>
      </c>
    </row>
    <row r="50" spans="2:13" hidden="1">
      <c r="B50" s="394" t="str">
        <f t="shared" ref="B50:M50" si="15">IF(B16="A+",6,IF(B16="A",5,IF(B16="B",4,IF(B16="C",3,IF(B16="D",2,IF(B16="F",1,""))))))</f>
        <v/>
      </c>
      <c r="C50" s="394" t="str">
        <f t="shared" si="15"/>
        <v/>
      </c>
      <c r="D50" s="394">
        <f t="shared" si="15"/>
        <v>6</v>
      </c>
      <c r="E50" s="394">
        <f t="shared" si="15"/>
        <v>6</v>
      </c>
      <c r="F50" s="394" t="str">
        <f t="shared" si="15"/>
        <v/>
      </c>
      <c r="G50" s="394" t="str">
        <f t="shared" si="15"/>
        <v/>
      </c>
      <c r="H50" s="394" t="str">
        <f t="shared" si="15"/>
        <v/>
      </c>
      <c r="I50" s="394" t="str">
        <f t="shared" si="15"/>
        <v/>
      </c>
      <c r="J50" s="394" t="str">
        <f t="shared" si="15"/>
        <v/>
      </c>
      <c r="K50" s="394" t="str">
        <f t="shared" si="15"/>
        <v/>
      </c>
      <c r="L50" s="394" t="str">
        <f t="shared" si="15"/>
        <v/>
      </c>
      <c r="M50" s="394" t="str">
        <f t="shared" si="15"/>
        <v/>
      </c>
    </row>
    <row r="51" spans="2:13" hidden="1">
      <c r="B51" s="394" t="str">
        <f t="shared" ref="B51:M51" si="16">IF(B17="A+",6,IF(B17="A",5,IF(B17="B",4,IF(B17="C",3,IF(B17="D",2,IF(B17="F",1,""))))))</f>
        <v/>
      </c>
      <c r="C51" s="394" t="str">
        <f t="shared" si="16"/>
        <v/>
      </c>
      <c r="D51" s="394">
        <f t="shared" si="16"/>
        <v>5</v>
      </c>
      <c r="E51" s="394">
        <f t="shared" si="16"/>
        <v>5</v>
      </c>
      <c r="F51" s="394" t="str">
        <f t="shared" si="16"/>
        <v/>
      </c>
      <c r="G51" s="394" t="str">
        <f t="shared" si="16"/>
        <v/>
      </c>
      <c r="H51" s="394" t="str">
        <f t="shared" si="16"/>
        <v/>
      </c>
      <c r="I51" s="394" t="str">
        <f t="shared" si="16"/>
        <v/>
      </c>
      <c r="J51" s="394" t="str">
        <f t="shared" si="16"/>
        <v/>
      </c>
      <c r="K51" s="394" t="str">
        <f t="shared" si="16"/>
        <v/>
      </c>
      <c r="L51" s="394" t="str">
        <f t="shared" si="16"/>
        <v/>
      </c>
      <c r="M51" s="394" t="str">
        <f t="shared" si="16"/>
        <v/>
      </c>
    </row>
    <row r="52" spans="2:13" hidden="1">
      <c r="B52" s="394" t="str">
        <f t="shared" ref="B52:M52" si="17">IF(B18="A+",6,IF(B18="A",5,IF(B18="B",4,IF(B18="C",3,IF(B18="D",2,IF(B18="F",1,""))))))</f>
        <v/>
      </c>
      <c r="C52" s="394" t="str">
        <f t="shared" si="17"/>
        <v/>
      </c>
      <c r="D52" s="394">
        <f t="shared" si="17"/>
        <v>3</v>
      </c>
      <c r="E52" s="394">
        <f t="shared" si="17"/>
        <v>4</v>
      </c>
      <c r="F52" s="394" t="str">
        <f t="shared" si="17"/>
        <v/>
      </c>
      <c r="G52" s="394" t="str">
        <f t="shared" si="17"/>
        <v/>
      </c>
      <c r="H52" s="394" t="str">
        <f t="shared" si="17"/>
        <v/>
      </c>
      <c r="I52" s="394" t="str">
        <f t="shared" si="17"/>
        <v/>
      </c>
      <c r="J52" s="394" t="str">
        <f t="shared" si="17"/>
        <v/>
      </c>
      <c r="K52" s="394" t="str">
        <f t="shared" si="17"/>
        <v/>
      </c>
      <c r="L52" s="394" t="str">
        <f t="shared" si="17"/>
        <v/>
      </c>
      <c r="M52" s="394" t="str">
        <f t="shared" si="17"/>
        <v/>
      </c>
    </row>
    <row r="53" spans="2:13" hidden="1">
      <c r="B53" s="394" t="str">
        <f t="shared" ref="B53:M53" si="18">IF(B19="A+",6,IF(B19="A",5,IF(B19="B",4,IF(B19="C",3,IF(B19="D",2,IF(B19="F",1,""))))))</f>
        <v/>
      </c>
      <c r="C53" s="394" t="str">
        <f t="shared" si="18"/>
        <v/>
      </c>
      <c r="D53" s="394">
        <f t="shared" si="18"/>
        <v>3</v>
      </c>
      <c r="E53" s="394">
        <f t="shared" si="18"/>
        <v>6</v>
      </c>
      <c r="F53" s="394" t="str">
        <f t="shared" si="18"/>
        <v/>
      </c>
      <c r="G53" s="394" t="str">
        <f t="shared" si="18"/>
        <v/>
      </c>
      <c r="H53" s="394" t="str">
        <f t="shared" si="18"/>
        <v/>
      </c>
      <c r="I53" s="394" t="str">
        <f t="shared" si="18"/>
        <v/>
      </c>
      <c r="J53" s="394" t="str">
        <f t="shared" si="18"/>
        <v/>
      </c>
      <c r="K53" s="394" t="str">
        <f t="shared" si="18"/>
        <v/>
      </c>
      <c r="L53" s="394" t="str">
        <f t="shared" si="18"/>
        <v/>
      </c>
      <c r="M53" s="394" t="str">
        <f t="shared" si="18"/>
        <v/>
      </c>
    </row>
    <row r="54" spans="2:13" hidden="1">
      <c r="B54" s="394" t="str">
        <f t="shared" ref="B54:M54" si="19">IF(B20="A+",6,IF(B20="A",5,IF(B20="B",4,IF(B20="C",3,IF(B20="D",2,IF(B20="F",1,""))))))</f>
        <v/>
      </c>
      <c r="C54" s="394">
        <f t="shared" si="19"/>
        <v>4</v>
      </c>
      <c r="D54" s="394">
        <f t="shared" si="19"/>
        <v>5</v>
      </c>
      <c r="E54" s="394">
        <f t="shared" si="19"/>
        <v>5</v>
      </c>
      <c r="F54" s="394" t="str">
        <f t="shared" si="19"/>
        <v/>
      </c>
      <c r="G54" s="394" t="str">
        <f t="shared" si="19"/>
        <v/>
      </c>
      <c r="H54" s="394" t="str">
        <f t="shared" si="19"/>
        <v/>
      </c>
      <c r="I54" s="394" t="str">
        <f t="shared" si="19"/>
        <v/>
      </c>
      <c r="J54" s="394" t="str">
        <f t="shared" si="19"/>
        <v/>
      </c>
      <c r="K54" s="394" t="str">
        <f t="shared" si="19"/>
        <v/>
      </c>
      <c r="L54" s="394" t="str">
        <f t="shared" si="19"/>
        <v/>
      </c>
      <c r="M54" s="394" t="str">
        <f t="shared" si="19"/>
        <v/>
      </c>
    </row>
    <row r="55" spans="2:13" hidden="1">
      <c r="B55" s="394" t="str">
        <f t="shared" ref="B55:M55" si="20">IF(B21="A+",6,IF(B21="A",5,IF(B21="B",4,IF(B21="C",3,IF(B21="D",2,IF(B21="F",1,""))))))</f>
        <v/>
      </c>
      <c r="C55" s="394">
        <f t="shared" si="20"/>
        <v>4</v>
      </c>
      <c r="D55" s="394">
        <f t="shared" si="20"/>
        <v>3</v>
      </c>
      <c r="E55" s="394">
        <f t="shared" si="20"/>
        <v>4</v>
      </c>
      <c r="F55" s="394" t="str">
        <f t="shared" si="20"/>
        <v/>
      </c>
      <c r="G55" s="394" t="str">
        <f t="shared" si="20"/>
        <v/>
      </c>
      <c r="H55" s="394" t="str">
        <f t="shared" si="20"/>
        <v/>
      </c>
      <c r="I55" s="394" t="str">
        <f t="shared" si="20"/>
        <v/>
      </c>
      <c r="J55" s="394" t="str">
        <f t="shared" si="20"/>
        <v/>
      </c>
      <c r="K55" s="394" t="str">
        <f t="shared" si="20"/>
        <v/>
      </c>
      <c r="L55" s="394" t="str">
        <f t="shared" si="20"/>
        <v/>
      </c>
      <c r="M55" s="394" t="str">
        <f t="shared" si="20"/>
        <v/>
      </c>
    </row>
    <row r="56" spans="2:13" hidden="1">
      <c r="B56" s="394" t="str">
        <f t="shared" ref="B56:M56" si="21">IF(B22="A+",6,IF(B22="A",5,IF(B22="B",4,IF(B22="C",3,IF(B22="D",2,IF(B22="F",1,""))))))</f>
        <v/>
      </c>
      <c r="C56" s="394">
        <f t="shared" si="21"/>
        <v>5</v>
      </c>
      <c r="D56" s="394">
        <f t="shared" si="21"/>
        <v>5</v>
      </c>
      <c r="E56" s="394">
        <f t="shared" si="21"/>
        <v>4</v>
      </c>
      <c r="F56" s="394" t="str">
        <f t="shared" si="21"/>
        <v/>
      </c>
      <c r="G56" s="394" t="str">
        <f t="shared" si="21"/>
        <v/>
      </c>
      <c r="H56" s="394" t="str">
        <f t="shared" si="21"/>
        <v/>
      </c>
      <c r="I56" s="394" t="str">
        <f t="shared" si="21"/>
        <v/>
      </c>
      <c r="J56" s="394" t="str">
        <f t="shared" si="21"/>
        <v/>
      </c>
      <c r="K56" s="394" t="str">
        <f t="shared" si="21"/>
        <v/>
      </c>
      <c r="L56" s="394" t="str">
        <f t="shared" si="21"/>
        <v/>
      </c>
      <c r="M56" s="394" t="str">
        <f t="shared" si="21"/>
        <v/>
      </c>
    </row>
    <row r="57" spans="2:13" hidden="1">
      <c r="B57" s="394" t="str">
        <f t="shared" ref="B57:M57" si="22">IF(B23="A+",6,IF(B23="A",5,IF(B23="B",4,IF(B23="C",3,IF(B23="D",2,IF(B23="F",1,""))))))</f>
        <v/>
      </c>
      <c r="C57" s="394">
        <f t="shared" si="22"/>
        <v>5</v>
      </c>
      <c r="D57" s="394">
        <f t="shared" si="22"/>
        <v>6</v>
      </c>
      <c r="E57" s="394">
        <f t="shared" si="22"/>
        <v>4</v>
      </c>
      <c r="F57" s="394" t="str">
        <f t="shared" si="22"/>
        <v/>
      </c>
      <c r="G57" s="394" t="str">
        <f t="shared" si="22"/>
        <v/>
      </c>
      <c r="H57" s="394" t="str">
        <f t="shared" si="22"/>
        <v/>
      </c>
      <c r="I57" s="394" t="str">
        <f t="shared" si="22"/>
        <v/>
      </c>
      <c r="J57" s="394" t="str">
        <f t="shared" si="22"/>
        <v/>
      </c>
      <c r="K57" s="394" t="str">
        <f t="shared" si="22"/>
        <v/>
      </c>
      <c r="L57" s="394" t="str">
        <f t="shared" si="22"/>
        <v/>
      </c>
      <c r="M57" s="394" t="str">
        <f t="shared" si="22"/>
        <v/>
      </c>
    </row>
    <row r="58" spans="2:13" hidden="1">
      <c r="B58" s="394" t="str">
        <f t="shared" ref="B58:M58" si="23">IF(B24="A+",6,IF(B24="A",5,IF(B24="B",4,IF(B24="C",3,IF(B24="D",2,IF(B24="F",1,""))))))</f>
        <v/>
      </c>
      <c r="C58" s="394">
        <f t="shared" si="23"/>
        <v>4</v>
      </c>
      <c r="D58" s="394">
        <f t="shared" si="23"/>
        <v>4</v>
      </c>
      <c r="E58" s="394">
        <f t="shared" si="23"/>
        <v>4</v>
      </c>
      <c r="F58" s="394" t="str">
        <f t="shared" si="23"/>
        <v/>
      </c>
      <c r="G58" s="394" t="str">
        <f t="shared" si="23"/>
        <v/>
      </c>
      <c r="H58" s="394" t="str">
        <f t="shared" si="23"/>
        <v/>
      </c>
      <c r="I58" s="394" t="str">
        <f t="shared" si="23"/>
        <v/>
      </c>
      <c r="J58" s="394" t="str">
        <f t="shared" si="23"/>
        <v/>
      </c>
      <c r="K58" s="394" t="str">
        <f t="shared" si="23"/>
        <v/>
      </c>
      <c r="L58" s="394" t="str">
        <f t="shared" si="23"/>
        <v/>
      </c>
      <c r="M58" s="394" t="str">
        <f t="shared" si="23"/>
        <v/>
      </c>
    </row>
    <row r="59" spans="2:13" hidden="1">
      <c r="B59" s="394" t="str">
        <f t="shared" ref="B59:M59" si="24">IF(B25="A+",6,IF(B25="A",5,IF(B25="B",4,IF(B25="C",3,IF(B25="D",2,IF(B25="F",1,""))))))</f>
        <v/>
      </c>
      <c r="C59" s="394">
        <f t="shared" si="24"/>
        <v>4</v>
      </c>
      <c r="D59" s="394">
        <f t="shared" si="24"/>
        <v>4</v>
      </c>
      <c r="E59" s="394">
        <f t="shared" si="24"/>
        <v>4</v>
      </c>
      <c r="F59" s="394" t="str">
        <f t="shared" si="24"/>
        <v/>
      </c>
      <c r="G59" s="394" t="str">
        <f t="shared" si="24"/>
        <v/>
      </c>
      <c r="H59" s="394" t="str">
        <f t="shared" si="24"/>
        <v/>
      </c>
      <c r="I59" s="394" t="str">
        <f t="shared" si="24"/>
        <v/>
      </c>
      <c r="J59" s="394" t="str">
        <f t="shared" si="24"/>
        <v/>
      </c>
      <c r="K59" s="394" t="str">
        <f t="shared" si="24"/>
        <v/>
      </c>
      <c r="L59" s="394" t="str">
        <f t="shared" si="24"/>
        <v/>
      </c>
      <c r="M59" s="394" t="str">
        <f t="shared" si="24"/>
        <v/>
      </c>
    </row>
    <row r="60" spans="2:13" hidden="1">
      <c r="B60" s="394" t="str">
        <f t="shared" ref="B60:M60" si="25">IF(B26="A+",6,IF(B26="A",5,IF(B26="B",4,IF(B26="C",3,IF(B26="D",2,IF(B26="F",1,""))))))</f>
        <v/>
      </c>
      <c r="C60" s="394">
        <f t="shared" si="25"/>
        <v>4</v>
      </c>
      <c r="D60" s="394">
        <f t="shared" si="25"/>
        <v>4</v>
      </c>
      <c r="E60" s="394">
        <f t="shared" si="25"/>
        <v>5</v>
      </c>
      <c r="F60" s="394" t="str">
        <f t="shared" si="25"/>
        <v/>
      </c>
      <c r="G60" s="394" t="str">
        <f t="shared" si="25"/>
        <v/>
      </c>
      <c r="H60" s="394" t="str">
        <f t="shared" si="25"/>
        <v/>
      </c>
      <c r="I60" s="394" t="str">
        <f t="shared" si="25"/>
        <v/>
      </c>
      <c r="J60" s="394" t="str">
        <f t="shared" si="25"/>
        <v/>
      </c>
      <c r="K60" s="394" t="str">
        <f t="shared" si="25"/>
        <v/>
      </c>
      <c r="L60" s="394" t="str">
        <f t="shared" si="25"/>
        <v/>
      </c>
      <c r="M60" s="394" t="str">
        <f t="shared" si="25"/>
        <v/>
      </c>
    </row>
    <row r="61" spans="2:13" hidden="1">
      <c r="B61" s="394" t="str">
        <f t="shared" ref="B61:M61" si="26">IF(B27="A+",6,IF(B27="A",5,IF(B27="B",4,IF(B27="C",3,IF(B27="D",2,IF(B27="F",1,""))))))</f>
        <v/>
      </c>
      <c r="C61" s="394">
        <f t="shared" si="26"/>
        <v>4</v>
      </c>
      <c r="D61" s="394">
        <f t="shared" si="26"/>
        <v>4</v>
      </c>
      <c r="E61" s="394">
        <f t="shared" si="26"/>
        <v>5</v>
      </c>
      <c r="F61" s="394" t="str">
        <f t="shared" si="26"/>
        <v/>
      </c>
      <c r="G61" s="394" t="str">
        <f t="shared" si="26"/>
        <v/>
      </c>
      <c r="H61" s="394" t="str">
        <f t="shared" si="26"/>
        <v/>
      </c>
      <c r="I61" s="394" t="str">
        <f t="shared" si="26"/>
        <v/>
      </c>
      <c r="J61" s="394" t="str">
        <f t="shared" si="26"/>
        <v/>
      </c>
      <c r="K61" s="394" t="str">
        <f t="shared" si="26"/>
        <v/>
      </c>
      <c r="L61" s="394" t="str">
        <f t="shared" si="26"/>
        <v/>
      </c>
      <c r="M61" s="394" t="str">
        <f t="shared" si="26"/>
        <v/>
      </c>
    </row>
    <row r="62" spans="2:13" hidden="1">
      <c r="B62" s="394" t="str">
        <f t="shared" ref="B62:M62" si="27">IF(B28="A+",6,IF(B28="A",5,IF(B28="B",4,IF(B28="C",3,IF(B28="D",2,IF(B28="F",1,""))))))</f>
        <v/>
      </c>
      <c r="C62" s="394">
        <f t="shared" si="27"/>
        <v>4</v>
      </c>
      <c r="D62" s="394">
        <f t="shared" si="27"/>
        <v>3</v>
      </c>
      <c r="E62" s="394">
        <f t="shared" si="27"/>
        <v>4</v>
      </c>
      <c r="F62" s="394" t="str">
        <f t="shared" si="27"/>
        <v/>
      </c>
      <c r="G62" s="394" t="str">
        <f t="shared" si="27"/>
        <v/>
      </c>
      <c r="H62" s="394" t="str">
        <f t="shared" si="27"/>
        <v/>
      </c>
      <c r="I62" s="394" t="str">
        <f t="shared" si="27"/>
        <v/>
      </c>
      <c r="J62" s="394" t="str">
        <f t="shared" si="27"/>
        <v/>
      </c>
      <c r="K62" s="394" t="str">
        <f t="shared" si="27"/>
        <v/>
      </c>
      <c r="L62" s="394" t="str">
        <f t="shared" si="27"/>
        <v/>
      </c>
      <c r="M62" s="394" t="str">
        <f t="shared" si="27"/>
        <v/>
      </c>
    </row>
    <row r="63" spans="2:13" hidden="1">
      <c r="B63" s="394" t="str">
        <f t="shared" ref="B63:M63" si="28">IF(B29="A+",6,IF(B29="A",5,IF(B29="B",4,IF(B29="C",3,IF(B29="D",2,IF(B29="F",1,""))))))</f>
        <v/>
      </c>
      <c r="C63" s="394">
        <f t="shared" si="28"/>
        <v>4</v>
      </c>
      <c r="D63" s="394">
        <f t="shared" si="28"/>
        <v>4</v>
      </c>
      <c r="E63" s="394">
        <f t="shared" si="28"/>
        <v>4</v>
      </c>
      <c r="F63" s="394" t="str">
        <f t="shared" si="28"/>
        <v/>
      </c>
      <c r="G63" s="394" t="str">
        <f t="shared" si="28"/>
        <v/>
      </c>
      <c r="H63" s="394" t="str">
        <f t="shared" si="28"/>
        <v/>
      </c>
      <c r="I63" s="394" t="str">
        <f t="shared" si="28"/>
        <v/>
      </c>
      <c r="J63" s="394" t="str">
        <f t="shared" si="28"/>
        <v/>
      </c>
      <c r="K63" s="394" t="str">
        <f t="shared" si="28"/>
        <v/>
      </c>
      <c r="L63" s="394" t="str">
        <f t="shared" si="28"/>
        <v/>
      </c>
      <c r="M63" s="394" t="str">
        <f t="shared" si="28"/>
        <v/>
      </c>
    </row>
    <row r="64" spans="2:13" hidden="1">
      <c r="B64" s="394" t="str">
        <f t="shared" ref="B64:M64" si="29">IF(B30="A+",6,IF(B30="A",5,IF(B30="B",4,IF(B30="C",3,IF(B30="D",2,IF(B30="F",1,""))))))</f>
        <v/>
      </c>
      <c r="C64" s="394">
        <f t="shared" si="29"/>
        <v>4</v>
      </c>
      <c r="D64" s="394">
        <f t="shared" si="29"/>
        <v>6</v>
      </c>
      <c r="E64" s="394">
        <f t="shared" si="29"/>
        <v>4</v>
      </c>
      <c r="F64" s="394" t="str">
        <f t="shared" si="29"/>
        <v/>
      </c>
      <c r="G64" s="394" t="str">
        <f t="shared" si="29"/>
        <v/>
      </c>
      <c r="H64" s="394" t="str">
        <f t="shared" si="29"/>
        <v/>
      </c>
      <c r="I64" s="394" t="str">
        <f t="shared" si="29"/>
        <v/>
      </c>
      <c r="J64" s="394" t="str">
        <f t="shared" si="29"/>
        <v/>
      </c>
      <c r="K64" s="394" t="str">
        <f t="shared" si="29"/>
        <v/>
      </c>
      <c r="L64" s="394" t="str">
        <f t="shared" si="29"/>
        <v/>
      </c>
      <c r="M64" s="394" t="str">
        <f t="shared" si="29"/>
        <v/>
      </c>
    </row>
    <row r="65" spans="2:13" hidden="1">
      <c r="B65" s="394" t="str">
        <f t="shared" ref="B65:M65" si="30">IF(B31="A+",6,IF(B31="A",5,IF(B31="B",4,IF(B31="C",3,IF(B31="D",2,IF(B31="F",1,""))))))</f>
        <v/>
      </c>
      <c r="C65" s="394" t="str">
        <f t="shared" si="30"/>
        <v/>
      </c>
      <c r="D65" s="394">
        <f t="shared" si="30"/>
        <v>3</v>
      </c>
      <c r="E65" s="394">
        <f t="shared" si="30"/>
        <v>4</v>
      </c>
      <c r="F65" s="394" t="str">
        <f t="shared" si="30"/>
        <v/>
      </c>
      <c r="G65" s="394" t="str">
        <f t="shared" si="30"/>
        <v/>
      </c>
      <c r="H65" s="394" t="str">
        <f t="shared" si="30"/>
        <v/>
      </c>
      <c r="I65" s="394" t="str">
        <f t="shared" si="30"/>
        <v/>
      </c>
      <c r="J65" s="394" t="str">
        <f t="shared" si="30"/>
        <v/>
      </c>
      <c r="K65" s="394" t="str">
        <f t="shared" si="30"/>
        <v/>
      </c>
      <c r="L65" s="394" t="str">
        <f t="shared" si="30"/>
        <v/>
      </c>
      <c r="M65" s="394" t="str">
        <f t="shared" si="30"/>
        <v/>
      </c>
    </row>
    <row r="66" spans="2:13" hidden="1">
      <c r="B66" s="394" t="str">
        <f t="shared" ref="B66:M66" si="31">IF(B32="A+",6,IF(B32="A",5,IF(B32="B",4,IF(B32="C",3,IF(B32="D",2,IF(B32="F",1,""))))))</f>
        <v/>
      </c>
      <c r="C66" s="394" t="str">
        <f t="shared" si="31"/>
        <v/>
      </c>
      <c r="D66" s="394">
        <f t="shared" si="31"/>
        <v>5</v>
      </c>
      <c r="E66" s="394">
        <f t="shared" si="31"/>
        <v>3</v>
      </c>
      <c r="F66" s="394" t="str">
        <f t="shared" si="31"/>
        <v/>
      </c>
      <c r="G66" s="394" t="str">
        <f t="shared" si="31"/>
        <v/>
      </c>
      <c r="H66" s="394" t="str">
        <f t="shared" si="31"/>
        <v/>
      </c>
      <c r="I66" s="394" t="str">
        <f t="shared" si="31"/>
        <v/>
      </c>
      <c r="J66" s="394" t="str">
        <f t="shared" si="31"/>
        <v/>
      </c>
      <c r="K66" s="394" t="str">
        <f t="shared" si="31"/>
        <v/>
      </c>
      <c r="L66" s="394" t="str">
        <f t="shared" si="31"/>
        <v/>
      </c>
      <c r="M66" s="394" t="str">
        <f t="shared" si="31"/>
        <v/>
      </c>
    </row>
    <row r="67" spans="2:13" hidden="1">
      <c r="B67" s="394" t="str">
        <f t="shared" ref="B67:M67" si="32">IF(B33="A+",6,IF(B33="A",5,IF(B33="B",4,IF(B33="C",3,IF(B33="D",2,IF(B33="F",1,""))))))</f>
        <v/>
      </c>
      <c r="C67" s="394" t="str">
        <f t="shared" si="32"/>
        <v/>
      </c>
      <c r="D67" s="394">
        <f t="shared" si="32"/>
        <v>5</v>
      </c>
      <c r="E67" s="394" t="str">
        <f t="shared" si="32"/>
        <v/>
      </c>
      <c r="F67" s="394" t="str">
        <f t="shared" si="32"/>
        <v/>
      </c>
      <c r="G67" s="394" t="str">
        <f t="shared" si="32"/>
        <v/>
      </c>
      <c r="H67" s="394" t="str">
        <f t="shared" si="32"/>
        <v/>
      </c>
      <c r="I67" s="394" t="str">
        <f t="shared" si="32"/>
        <v/>
      </c>
      <c r="J67" s="394" t="str">
        <f t="shared" si="32"/>
        <v/>
      </c>
      <c r="K67" s="394" t="str">
        <f t="shared" si="32"/>
        <v/>
      </c>
      <c r="L67" s="394" t="str">
        <f t="shared" si="32"/>
        <v/>
      </c>
      <c r="M67" s="394" t="str">
        <f t="shared" si="32"/>
        <v/>
      </c>
    </row>
  </sheetData>
  <mergeCells count="1">
    <mergeCell ref="A1:M1"/>
  </mergeCells>
  <conditionalFormatting sqref="B3:M33">
    <cfRule type="cellIs" dxfId="15" priority="1" operator="equal">
      <formula>"A+"</formula>
    </cfRule>
    <cfRule type="cellIs" dxfId="14" priority="2" operator="equal">
      <formula>"A"</formula>
    </cfRule>
    <cfRule type="cellIs" dxfId="13" priority="3" operator="equal">
      <formula>"B"</formula>
    </cfRule>
    <cfRule type="cellIs" dxfId="12" priority="4" operator="equal">
      <formula>"C"</formula>
    </cfRule>
    <cfRule type="cellIs" dxfId="11" priority="5" operator="equal">
      <formula>"D"</formula>
    </cfRule>
    <cfRule type="cellIs" dxfId="10" priority="6" operator="equal">
      <formula>"F"</formula>
    </cfRule>
  </conditionalFormatting>
  <dataValidations count="1">
    <dataValidation type="list" allowBlank="1" sqref="B3:M33" xr:uid="{57C0EFFC-2BA3-4F4A-9143-07570701C091}">
      <formula1>"A+,A,B,C,D,F"</formula1>
      <formula2>0</formula2>
    </dataValidation>
  </dataValidations>
  <pageMargins left="0.75" right="0.75" top="1" bottom="1" header="0.511811023622047" footer="0.511811023622047"/>
  <pageSetup paperSize="9" orientation="portrait" horizontalDpi="300" verticalDpi="300"/>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1B108-E260-45F6-9331-65B35D8B6421}">
  <sheetPr>
    <tabColor rgb="FF002060"/>
  </sheetPr>
  <dimension ref="A1:P43"/>
  <sheetViews>
    <sheetView topLeftCell="A20" workbookViewId="0">
      <selection activeCell="M34" sqref="M34"/>
    </sheetView>
  </sheetViews>
  <sheetFormatPr defaultRowHeight="15"/>
  <cols>
    <col min="1" max="1" width="12" customWidth="1"/>
    <col min="2" max="4" width="10" customWidth="1"/>
    <col min="5" max="5" width="12" customWidth="1"/>
    <col min="6" max="9" width="10" customWidth="1"/>
    <col min="10" max="12" width="12" customWidth="1"/>
    <col min="13" max="13" width="30" customWidth="1"/>
  </cols>
  <sheetData>
    <row r="1" spans="1:16" ht="36" customHeight="1">
      <c r="A1" s="953" t="s">
        <v>657</v>
      </c>
      <c r="B1" s="729"/>
      <c r="C1" s="729"/>
      <c r="D1" s="729"/>
      <c r="E1" s="729"/>
      <c r="F1" s="729"/>
      <c r="G1" s="729"/>
      <c r="H1" s="729"/>
      <c r="I1" s="729"/>
      <c r="J1" s="729"/>
      <c r="K1" s="729"/>
      <c r="L1" s="729"/>
      <c r="M1" s="729"/>
      <c r="N1" s="452"/>
      <c r="O1" s="452"/>
      <c r="P1" s="452"/>
    </row>
    <row r="2" spans="1:16" ht="27.95" customHeight="1">
      <c r="A2" s="954" t="s">
        <v>658</v>
      </c>
      <c r="B2" s="729"/>
      <c r="C2" s="729"/>
      <c r="D2" s="729"/>
      <c r="E2" s="729"/>
      <c r="F2" s="729"/>
      <c r="G2" s="729"/>
      <c r="H2" s="729"/>
      <c r="I2" s="729"/>
      <c r="J2" s="729"/>
      <c r="K2" s="729"/>
      <c r="L2" s="729"/>
      <c r="M2" s="729"/>
      <c r="N2" s="453"/>
      <c r="O2" s="453"/>
      <c r="P2" s="453"/>
    </row>
    <row r="3" spans="1:16" ht="24" customHeight="1">
      <c r="A3" s="403" t="s">
        <v>1</v>
      </c>
      <c r="B3" s="403" t="s">
        <v>56</v>
      </c>
      <c r="C3" s="403" t="s">
        <v>626</v>
      </c>
      <c r="D3" s="403" t="s">
        <v>627</v>
      </c>
      <c r="E3" s="403" t="s">
        <v>659</v>
      </c>
      <c r="F3" s="403" t="s">
        <v>660</v>
      </c>
      <c r="G3" s="403" t="s">
        <v>765</v>
      </c>
      <c r="H3" s="403" t="s">
        <v>766</v>
      </c>
      <c r="I3" s="403" t="s">
        <v>767</v>
      </c>
      <c r="J3" s="403" t="s">
        <v>661</v>
      </c>
      <c r="K3" s="403" t="s">
        <v>662</v>
      </c>
      <c r="L3" s="403" t="s">
        <v>632</v>
      </c>
      <c r="M3" s="403" t="s">
        <v>173</v>
      </c>
      <c r="N3" s="451" t="s">
        <v>762</v>
      </c>
      <c r="O3" s="451" t="s">
        <v>763</v>
      </c>
      <c r="P3" s="451" t="s">
        <v>764</v>
      </c>
    </row>
    <row r="4" spans="1:16" ht="21.95" customHeight="1">
      <c r="A4" s="420">
        <v>46076</v>
      </c>
      <c r="B4" s="405" t="s">
        <v>399</v>
      </c>
      <c r="C4" s="454">
        <v>0.95763888888888893</v>
      </c>
      <c r="D4" s="454">
        <v>0.23819444444444443</v>
      </c>
      <c r="E4" s="455">
        <f>IF(OR(C4="",D4=""),"",(D4-C4+IF(D4&lt;C4,1,0))*24)</f>
        <v>6.7333333333333307</v>
      </c>
      <c r="F4" s="405">
        <v>6.44</v>
      </c>
      <c r="G4" s="405">
        <v>1.28</v>
      </c>
      <c r="H4" s="405">
        <v>3.16</v>
      </c>
      <c r="I4" s="405">
        <v>2</v>
      </c>
      <c r="J4" s="405">
        <v>4</v>
      </c>
      <c r="K4" s="405">
        <v>4</v>
      </c>
      <c r="L4" s="405" t="s">
        <v>663</v>
      </c>
      <c r="M4" s="407"/>
      <c r="N4" s="457">
        <f>IF(F4="","",G4/F4*100)</f>
        <v>19.875776397515526</v>
      </c>
      <c r="O4" s="457">
        <f>IF(F4="","",H4/F4*100)</f>
        <v>49.068322981366457</v>
      </c>
      <c r="P4" s="457">
        <f>IF(F4="","",I4/F4*100)</f>
        <v>31.05590062111801</v>
      </c>
    </row>
    <row r="5" spans="1:16" ht="21.95" customHeight="1">
      <c r="A5" s="420">
        <v>46077</v>
      </c>
      <c r="B5" s="405" t="s">
        <v>637</v>
      </c>
      <c r="C5" s="454">
        <v>0.97916666666666663</v>
      </c>
      <c r="D5" s="454">
        <v>0.24444444444444444</v>
      </c>
      <c r="E5" s="455">
        <f t="shared" ref="E5:E27" si="0">IF(OR(C5="",D5=""),"",(D5-C5+IF(D5&lt;C5,1,0))*24)</f>
        <v>6.366666666666668</v>
      </c>
      <c r="F5" s="405">
        <v>6.22</v>
      </c>
      <c r="G5" s="405">
        <v>2.09</v>
      </c>
      <c r="H5" s="405">
        <v>3.21</v>
      </c>
      <c r="I5" s="405">
        <v>0.52</v>
      </c>
      <c r="J5" s="405">
        <v>4</v>
      </c>
      <c r="K5" s="405">
        <v>4</v>
      </c>
      <c r="L5" s="405" t="s">
        <v>663</v>
      </c>
      <c r="M5" s="407" t="s">
        <v>761</v>
      </c>
      <c r="N5" s="457">
        <f t="shared" ref="N5:N27" si="1">IF(F5="","",G5/F5*100)</f>
        <v>33.60128617363344</v>
      </c>
      <c r="O5" s="457">
        <f t="shared" ref="O5:O27" si="2">IF(F5="","",H5/F5*100)</f>
        <v>51.607717041800647</v>
      </c>
      <c r="P5" s="457">
        <f t="shared" ref="P5:P27" si="3">IF(F5="","",I5/F5*100)</f>
        <v>8.3601286173633458</v>
      </c>
    </row>
    <row r="6" spans="1:16" ht="21.95" customHeight="1">
      <c r="A6" s="420">
        <v>46078</v>
      </c>
      <c r="B6" s="405" t="s">
        <v>402</v>
      </c>
      <c r="C6" s="454">
        <v>0.95902777777777781</v>
      </c>
      <c r="D6" s="454">
        <v>0.23958333333333334</v>
      </c>
      <c r="E6" s="455">
        <f t="shared" si="0"/>
        <v>6.7333333333333334</v>
      </c>
      <c r="F6" s="405">
        <v>5.21</v>
      </c>
      <c r="G6" s="405">
        <v>0.41</v>
      </c>
      <c r="H6" s="405">
        <v>3.26</v>
      </c>
      <c r="I6" s="405">
        <v>1.1399999999999999</v>
      </c>
      <c r="J6" s="405">
        <v>3</v>
      </c>
      <c r="K6" s="405">
        <v>3</v>
      </c>
      <c r="L6" s="405" t="s">
        <v>663</v>
      </c>
      <c r="M6" s="407"/>
      <c r="N6" s="457">
        <f t="shared" si="1"/>
        <v>7.8694817658349319</v>
      </c>
      <c r="O6" s="457">
        <f t="shared" si="2"/>
        <v>62.571976967370432</v>
      </c>
      <c r="P6" s="457">
        <f t="shared" si="3"/>
        <v>21.880998080614201</v>
      </c>
    </row>
    <row r="7" spans="1:16" ht="21.95" customHeight="1">
      <c r="A7" s="420">
        <v>46079</v>
      </c>
      <c r="B7" s="405" t="s">
        <v>638</v>
      </c>
      <c r="C7" s="454">
        <v>0.94513888888888886</v>
      </c>
      <c r="D7" s="454">
        <v>0.25486111111111109</v>
      </c>
      <c r="E7" s="455">
        <f t="shared" si="0"/>
        <v>7.4333333333333336</v>
      </c>
      <c r="F7" s="405">
        <v>7.26</v>
      </c>
      <c r="G7" s="405">
        <v>1.32</v>
      </c>
      <c r="H7" s="405">
        <v>2.52</v>
      </c>
      <c r="I7" s="405">
        <v>3.02</v>
      </c>
      <c r="J7" s="405">
        <v>3.5</v>
      </c>
      <c r="K7" s="405">
        <v>4</v>
      </c>
      <c r="L7" s="405" t="s">
        <v>663</v>
      </c>
      <c r="M7" s="407" t="s">
        <v>771</v>
      </c>
      <c r="N7" s="457">
        <f t="shared" si="1"/>
        <v>18.181818181818183</v>
      </c>
      <c r="O7" s="457">
        <f t="shared" si="2"/>
        <v>34.710743801652896</v>
      </c>
      <c r="P7" s="457">
        <f t="shared" si="3"/>
        <v>41.59779614325069</v>
      </c>
    </row>
    <row r="8" spans="1:16" ht="21.95" customHeight="1">
      <c r="A8" s="420">
        <v>46080</v>
      </c>
      <c r="B8" s="405" t="s">
        <v>639</v>
      </c>
      <c r="C8" s="454">
        <v>0.98472222222222228</v>
      </c>
      <c r="D8" s="454">
        <v>0.25</v>
      </c>
      <c r="E8" s="455">
        <f t="shared" si="0"/>
        <v>6.3666666666666654</v>
      </c>
      <c r="F8" s="458">
        <v>6.22</v>
      </c>
      <c r="G8" s="405">
        <v>2.3199999999999998</v>
      </c>
      <c r="H8" s="405">
        <v>2.59</v>
      </c>
      <c r="I8" s="405">
        <v>0.49</v>
      </c>
      <c r="J8" s="405">
        <v>4.5</v>
      </c>
      <c r="K8" s="405">
        <v>5</v>
      </c>
      <c r="L8" s="458" t="s">
        <v>663</v>
      </c>
      <c r="M8" s="407"/>
      <c r="N8" s="457">
        <f>IF(F8="","",G8/F8*100)</f>
        <v>37.29903536977492</v>
      </c>
      <c r="O8" s="457">
        <f t="shared" si="2"/>
        <v>41.639871382636656</v>
      </c>
      <c r="P8" s="457">
        <f t="shared" si="3"/>
        <v>7.8778135048231519</v>
      </c>
    </row>
    <row r="9" spans="1:16" ht="21.95" customHeight="1">
      <c r="A9" s="420">
        <v>46081</v>
      </c>
      <c r="B9" s="409" t="s">
        <v>405</v>
      </c>
      <c r="C9" s="405"/>
      <c r="D9" s="405"/>
      <c r="E9" s="455" t="str">
        <f t="shared" si="0"/>
        <v/>
      </c>
      <c r="F9" s="405"/>
      <c r="G9" s="405"/>
      <c r="H9" s="405"/>
      <c r="I9" s="405"/>
      <c r="J9" s="405">
        <v>4</v>
      </c>
      <c r="K9" s="405">
        <v>4</v>
      </c>
      <c r="L9" s="458" t="s">
        <v>782</v>
      </c>
      <c r="M9" s="407"/>
      <c r="N9" s="457" t="str">
        <f t="shared" si="1"/>
        <v/>
      </c>
      <c r="O9" s="457" t="str">
        <f t="shared" si="2"/>
        <v/>
      </c>
      <c r="P9" s="457" t="str">
        <f t="shared" si="3"/>
        <v/>
      </c>
    </row>
    <row r="10" spans="1:16" ht="21.95" customHeight="1">
      <c r="A10" s="420">
        <v>46082</v>
      </c>
      <c r="B10" s="409" t="s">
        <v>640</v>
      </c>
      <c r="C10" s="405"/>
      <c r="D10" s="405"/>
      <c r="E10" s="455" t="str">
        <f t="shared" si="0"/>
        <v/>
      </c>
      <c r="F10" s="405"/>
      <c r="G10" s="405"/>
      <c r="H10" s="405"/>
      <c r="I10" s="405"/>
      <c r="J10" s="405">
        <v>4</v>
      </c>
      <c r="K10" s="405">
        <v>5</v>
      </c>
      <c r="L10" s="405" t="s">
        <v>663</v>
      </c>
      <c r="M10" s="407"/>
      <c r="N10" s="457" t="str">
        <f t="shared" si="1"/>
        <v/>
      </c>
      <c r="O10" s="457" t="str">
        <f t="shared" si="2"/>
        <v/>
      </c>
      <c r="P10" s="457" t="str">
        <f t="shared" si="3"/>
        <v/>
      </c>
    </row>
    <row r="11" spans="1:16" ht="21.95" customHeight="1">
      <c r="A11" s="420">
        <v>46083</v>
      </c>
      <c r="B11" s="405" t="s">
        <v>399</v>
      </c>
      <c r="C11" s="405"/>
      <c r="D11" s="405"/>
      <c r="E11" s="455" t="str">
        <f t="shared" si="0"/>
        <v/>
      </c>
      <c r="F11" s="405"/>
      <c r="G11" s="405"/>
      <c r="H11" s="405"/>
      <c r="I11" s="405"/>
      <c r="J11" s="405">
        <v>4</v>
      </c>
      <c r="K11" s="405">
        <v>4</v>
      </c>
      <c r="L11" s="458" t="s">
        <v>663</v>
      </c>
      <c r="M11" s="407"/>
      <c r="N11" s="457" t="str">
        <f t="shared" si="1"/>
        <v/>
      </c>
      <c r="O11" s="457" t="str">
        <f t="shared" si="2"/>
        <v/>
      </c>
      <c r="P11" s="457" t="str">
        <f t="shared" si="3"/>
        <v/>
      </c>
    </row>
    <row r="12" spans="1:16" ht="21.95" customHeight="1">
      <c r="A12" s="420">
        <v>46084</v>
      </c>
      <c r="B12" s="405" t="s">
        <v>637</v>
      </c>
      <c r="C12" s="405"/>
      <c r="D12" s="405"/>
      <c r="E12" s="455" t="str">
        <f t="shared" si="0"/>
        <v/>
      </c>
      <c r="F12" s="405"/>
      <c r="G12" s="405"/>
      <c r="H12" s="405"/>
      <c r="I12" s="405"/>
      <c r="J12" s="405"/>
      <c r="K12" s="405"/>
      <c r="L12" s="405"/>
      <c r="M12" s="407"/>
      <c r="N12" s="457" t="str">
        <f t="shared" si="1"/>
        <v/>
      </c>
      <c r="O12" s="457" t="str">
        <f t="shared" si="2"/>
        <v/>
      </c>
      <c r="P12" s="457" t="str">
        <f t="shared" si="3"/>
        <v/>
      </c>
    </row>
    <row r="13" spans="1:16" ht="21.95" customHeight="1">
      <c r="A13" s="420">
        <v>46085</v>
      </c>
      <c r="B13" s="405" t="s">
        <v>402</v>
      </c>
      <c r="C13" s="405"/>
      <c r="D13" s="405"/>
      <c r="E13" s="455" t="str">
        <f t="shared" si="0"/>
        <v/>
      </c>
      <c r="F13" s="405"/>
      <c r="G13" s="405"/>
      <c r="H13" s="405"/>
      <c r="I13" s="405"/>
      <c r="J13" s="405">
        <v>5</v>
      </c>
      <c r="K13" s="405">
        <v>5</v>
      </c>
      <c r="L13" s="405" t="s">
        <v>663</v>
      </c>
      <c r="M13" s="407" t="s">
        <v>788</v>
      </c>
      <c r="N13" s="457" t="str">
        <f t="shared" si="1"/>
        <v/>
      </c>
      <c r="O13" s="457" t="str">
        <f t="shared" si="2"/>
        <v/>
      </c>
      <c r="P13" s="457" t="str">
        <f t="shared" si="3"/>
        <v/>
      </c>
    </row>
    <row r="14" spans="1:16" ht="21.95" customHeight="1">
      <c r="A14" s="420">
        <v>46086</v>
      </c>
      <c r="B14" s="405" t="s">
        <v>638</v>
      </c>
      <c r="C14" s="405"/>
      <c r="D14" s="405"/>
      <c r="E14" s="455" t="str">
        <f t="shared" si="0"/>
        <v/>
      </c>
      <c r="F14" s="405"/>
      <c r="G14" s="405"/>
      <c r="H14" s="405"/>
      <c r="I14" s="405"/>
      <c r="J14" s="405">
        <v>4</v>
      </c>
      <c r="K14" s="405">
        <v>2</v>
      </c>
      <c r="L14" s="405" t="s">
        <v>663</v>
      </c>
      <c r="M14" s="407" t="s">
        <v>794</v>
      </c>
      <c r="N14" s="457" t="str">
        <f t="shared" si="1"/>
        <v/>
      </c>
      <c r="O14" s="457" t="str">
        <f t="shared" si="2"/>
        <v/>
      </c>
      <c r="P14" s="457" t="str">
        <f t="shared" si="3"/>
        <v/>
      </c>
    </row>
    <row r="15" spans="1:16" ht="21.95" customHeight="1">
      <c r="A15" s="420">
        <v>46087</v>
      </c>
      <c r="B15" s="405" t="s">
        <v>639</v>
      </c>
      <c r="C15" s="405"/>
      <c r="D15" s="405"/>
      <c r="E15" s="455" t="str">
        <f t="shared" si="0"/>
        <v/>
      </c>
      <c r="F15" s="405"/>
      <c r="G15" s="405"/>
      <c r="H15" s="405"/>
      <c r="I15" s="405"/>
      <c r="J15" s="405">
        <v>4</v>
      </c>
      <c r="K15" s="405">
        <v>5</v>
      </c>
      <c r="L15" s="405" t="s">
        <v>782</v>
      </c>
      <c r="M15" s="407" t="s">
        <v>797</v>
      </c>
      <c r="N15" s="457" t="str">
        <f t="shared" si="1"/>
        <v/>
      </c>
      <c r="O15" s="457" t="str">
        <f t="shared" si="2"/>
        <v/>
      </c>
      <c r="P15" s="457" t="str">
        <f t="shared" si="3"/>
        <v/>
      </c>
    </row>
    <row r="16" spans="1:16" ht="21.95" customHeight="1">
      <c r="A16" s="420">
        <v>46088</v>
      </c>
      <c r="B16" s="409" t="s">
        <v>405</v>
      </c>
      <c r="C16" s="405"/>
      <c r="D16" s="405"/>
      <c r="E16" s="455" t="str">
        <f t="shared" si="0"/>
        <v/>
      </c>
      <c r="F16" s="405"/>
      <c r="G16" s="405"/>
      <c r="H16" s="405"/>
      <c r="I16" s="405"/>
      <c r="J16" s="405"/>
      <c r="K16" s="405"/>
      <c r="L16" s="405"/>
      <c r="M16" s="407"/>
      <c r="N16" s="457" t="str">
        <f t="shared" si="1"/>
        <v/>
      </c>
      <c r="O16" s="457" t="str">
        <f t="shared" si="2"/>
        <v/>
      </c>
      <c r="P16" s="457" t="str">
        <f t="shared" si="3"/>
        <v/>
      </c>
    </row>
    <row r="17" spans="1:16" ht="21.95" customHeight="1">
      <c r="A17" s="420">
        <v>46089</v>
      </c>
      <c r="B17" s="409" t="s">
        <v>640</v>
      </c>
      <c r="C17" s="405"/>
      <c r="D17" s="405"/>
      <c r="E17" s="455" t="str">
        <f t="shared" si="0"/>
        <v/>
      </c>
      <c r="F17" s="405"/>
      <c r="G17" s="405"/>
      <c r="H17" s="405"/>
      <c r="I17" s="405"/>
      <c r="J17" s="405">
        <v>4</v>
      </c>
      <c r="K17" s="405">
        <v>4</v>
      </c>
      <c r="L17" s="405" t="s">
        <v>663</v>
      </c>
      <c r="M17" s="407"/>
      <c r="N17" s="457" t="str">
        <f t="shared" si="1"/>
        <v/>
      </c>
      <c r="O17" s="457" t="str">
        <f t="shared" si="2"/>
        <v/>
      </c>
      <c r="P17" s="457" t="str">
        <f t="shared" si="3"/>
        <v/>
      </c>
    </row>
    <row r="18" spans="1:16" ht="21.95" customHeight="1">
      <c r="A18" s="420">
        <v>46090</v>
      </c>
      <c r="B18" s="405" t="s">
        <v>399</v>
      </c>
      <c r="C18" s="405"/>
      <c r="D18" s="405"/>
      <c r="E18" s="455" t="str">
        <f t="shared" si="0"/>
        <v/>
      </c>
      <c r="F18" s="405"/>
      <c r="G18" s="405"/>
      <c r="H18" s="405"/>
      <c r="I18" s="405"/>
      <c r="J18" s="405">
        <v>5</v>
      </c>
      <c r="K18" s="405">
        <v>5</v>
      </c>
      <c r="L18" s="405" t="s">
        <v>663</v>
      </c>
      <c r="M18" s="407"/>
      <c r="N18" s="457" t="str">
        <f t="shared" si="1"/>
        <v/>
      </c>
      <c r="O18" s="457" t="str">
        <f t="shared" si="2"/>
        <v/>
      </c>
      <c r="P18" s="457" t="str">
        <f t="shared" si="3"/>
        <v/>
      </c>
    </row>
    <row r="19" spans="1:16" ht="21.95" customHeight="1">
      <c r="A19" s="420">
        <v>46091</v>
      </c>
      <c r="B19" s="405" t="s">
        <v>637</v>
      </c>
      <c r="C19" s="405"/>
      <c r="D19" s="405"/>
      <c r="E19" s="455" t="str">
        <f t="shared" si="0"/>
        <v/>
      </c>
      <c r="F19" s="405"/>
      <c r="G19" s="405"/>
      <c r="H19" s="405"/>
      <c r="I19" s="405"/>
      <c r="J19" s="405"/>
      <c r="K19" s="405"/>
      <c r="L19" s="405"/>
      <c r="M19" s="407"/>
      <c r="N19" s="457" t="str">
        <f t="shared" si="1"/>
        <v/>
      </c>
      <c r="O19" s="457" t="str">
        <f t="shared" si="2"/>
        <v/>
      </c>
      <c r="P19" s="457" t="str">
        <f t="shared" si="3"/>
        <v/>
      </c>
    </row>
    <row r="20" spans="1:16" ht="21.95" customHeight="1">
      <c r="A20" s="420">
        <v>46092</v>
      </c>
      <c r="B20" s="405" t="s">
        <v>402</v>
      </c>
      <c r="C20" s="405"/>
      <c r="D20" s="405"/>
      <c r="E20" s="455" t="str">
        <f t="shared" si="0"/>
        <v/>
      </c>
      <c r="F20" s="405"/>
      <c r="G20" s="405"/>
      <c r="H20" s="405"/>
      <c r="I20" s="405"/>
      <c r="J20" s="405">
        <v>4</v>
      </c>
      <c r="K20" s="405">
        <v>4.5</v>
      </c>
      <c r="L20" s="405" t="s">
        <v>663</v>
      </c>
      <c r="M20" s="407"/>
      <c r="N20" s="457" t="str">
        <f t="shared" si="1"/>
        <v/>
      </c>
      <c r="O20" s="457" t="str">
        <f t="shared" si="2"/>
        <v/>
      </c>
      <c r="P20" s="457" t="str">
        <f t="shared" si="3"/>
        <v/>
      </c>
    </row>
    <row r="21" spans="1:16" ht="21.95" customHeight="1">
      <c r="A21" s="420">
        <v>46093</v>
      </c>
      <c r="B21" s="405" t="s">
        <v>638</v>
      </c>
      <c r="C21" s="405"/>
      <c r="D21" s="405"/>
      <c r="E21" s="455" t="str">
        <f t="shared" si="0"/>
        <v/>
      </c>
      <c r="F21" s="405"/>
      <c r="G21" s="405"/>
      <c r="H21" s="405"/>
      <c r="I21" s="405"/>
      <c r="J21" s="405">
        <v>4</v>
      </c>
      <c r="K21" s="405">
        <v>3.5</v>
      </c>
      <c r="L21" s="405" t="s">
        <v>663</v>
      </c>
      <c r="M21" s="407" t="s">
        <v>823</v>
      </c>
      <c r="N21" s="457" t="str">
        <f t="shared" si="1"/>
        <v/>
      </c>
      <c r="O21" s="457" t="str">
        <f t="shared" si="2"/>
        <v/>
      </c>
      <c r="P21" s="457" t="str">
        <f t="shared" si="3"/>
        <v/>
      </c>
    </row>
    <row r="22" spans="1:16" ht="21.95" customHeight="1">
      <c r="A22" s="420">
        <v>46094</v>
      </c>
      <c r="B22" s="405" t="s">
        <v>639</v>
      </c>
      <c r="C22" s="405"/>
      <c r="D22" s="405"/>
      <c r="E22" s="455" t="str">
        <f t="shared" si="0"/>
        <v/>
      </c>
      <c r="F22" s="405"/>
      <c r="G22" s="405"/>
      <c r="H22" s="405"/>
      <c r="I22" s="405"/>
      <c r="J22" s="405">
        <v>3.5</v>
      </c>
      <c r="K22" s="405">
        <v>4</v>
      </c>
      <c r="L22" s="405" t="s">
        <v>663</v>
      </c>
      <c r="M22" s="407" t="s">
        <v>823</v>
      </c>
      <c r="N22" s="457" t="str">
        <f t="shared" si="1"/>
        <v/>
      </c>
      <c r="O22" s="457" t="str">
        <f t="shared" si="2"/>
        <v/>
      </c>
      <c r="P22" s="457" t="str">
        <f t="shared" si="3"/>
        <v/>
      </c>
    </row>
    <row r="23" spans="1:16" ht="21.95" customHeight="1">
      <c r="A23" s="420">
        <v>46095</v>
      </c>
      <c r="B23" s="409" t="s">
        <v>405</v>
      </c>
      <c r="C23" s="405"/>
      <c r="D23" s="405"/>
      <c r="E23" s="455" t="str">
        <f t="shared" si="0"/>
        <v/>
      </c>
      <c r="F23" s="405"/>
      <c r="G23" s="405"/>
      <c r="H23" s="405"/>
      <c r="I23" s="405"/>
      <c r="J23" s="405"/>
      <c r="K23" s="405"/>
      <c r="L23" s="405"/>
      <c r="M23" s="407"/>
      <c r="N23" s="457" t="str">
        <f t="shared" si="1"/>
        <v/>
      </c>
      <c r="O23" s="457" t="str">
        <f t="shared" si="2"/>
        <v/>
      </c>
      <c r="P23" s="457" t="str">
        <f t="shared" si="3"/>
        <v/>
      </c>
    </row>
    <row r="24" spans="1:16" ht="21.95" customHeight="1">
      <c r="A24" s="420">
        <v>46096</v>
      </c>
      <c r="B24" s="409" t="s">
        <v>640</v>
      </c>
      <c r="C24" s="405"/>
      <c r="D24" s="405"/>
      <c r="E24" s="455" t="str">
        <f t="shared" si="0"/>
        <v/>
      </c>
      <c r="F24" s="405"/>
      <c r="G24" s="405"/>
      <c r="H24" s="405"/>
      <c r="I24" s="405"/>
      <c r="J24" s="405"/>
      <c r="K24" s="405"/>
      <c r="L24" s="405"/>
      <c r="M24" s="407"/>
      <c r="N24" s="457" t="str">
        <f t="shared" si="1"/>
        <v/>
      </c>
      <c r="O24" s="457" t="str">
        <f t="shared" si="2"/>
        <v/>
      </c>
      <c r="P24" s="457" t="str">
        <f t="shared" si="3"/>
        <v/>
      </c>
    </row>
    <row r="25" spans="1:16" ht="21.95" customHeight="1">
      <c r="A25" s="420">
        <v>46097</v>
      </c>
      <c r="B25" s="405" t="s">
        <v>399</v>
      </c>
      <c r="C25" s="405"/>
      <c r="D25" s="405"/>
      <c r="E25" s="455" t="str">
        <f t="shared" si="0"/>
        <v/>
      </c>
      <c r="F25" s="405"/>
      <c r="G25" s="405"/>
      <c r="H25" s="405"/>
      <c r="I25" s="405"/>
      <c r="J25" s="405">
        <v>4</v>
      </c>
      <c r="K25" s="405">
        <v>3</v>
      </c>
      <c r="L25" s="405" t="s">
        <v>663</v>
      </c>
      <c r="M25" s="407" t="s">
        <v>823</v>
      </c>
      <c r="N25" s="457" t="str">
        <f t="shared" si="1"/>
        <v/>
      </c>
      <c r="O25" s="457" t="str">
        <f t="shared" si="2"/>
        <v/>
      </c>
      <c r="P25" s="457" t="str">
        <f t="shared" si="3"/>
        <v/>
      </c>
    </row>
    <row r="26" spans="1:16" ht="21.95" customHeight="1">
      <c r="A26" s="420">
        <v>46098</v>
      </c>
      <c r="B26" s="405" t="s">
        <v>637</v>
      </c>
      <c r="C26" s="405"/>
      <c r="D26" s="405"/>
      <c r="E26" s="455" t="str">
        <f t="shared" si="0"/>
        <v/>
      </c>
      <c r="F26" s="405"/>
      <c r="G26" s="405"/>
      <c r="H26" s="405"/>
      <c r="I26" s="405"/>
      <c r="J26" s="405">
        <v>4</v>
      </c>
      <c r="K26" s="405">
        <v>4</v>
      </c>
      <c r="L26" s="405" t="s">
        <v>663</v>
      </c>
      <c r="M26" s="407"/>
      <c r="N26" s="457" t="str">
        <f t="shared" si="1"/>
        <v/>
      </c>
      <c r="O26" s="457" t="str">
        <f t="shared" si="2"/>
        <v/>
      </c>
      <c r="P26" s="457" t="str">
        <f t="shared" si="3"/>
        <v/>
      </c>
    </row>
    <row r="27" spans="1:16" ht="21.95" customHeight="1">
      <c r="A27" s="420">
        <v>46099</v>
      </c>
      <c r="B27" s="405" t="s">
        <v>402</v>
      </c>
      <c r="C27" s="405"/>
      <c r="D27" s="405"/>
      <c r="E27" s="455" t="str">
        <f t="shared" si="0"/>
        <v/>
      </c>
      <c r="F27" s="405"/>
      <c r="G27" s="405"/>
      <c r="H27" s="405"/>
      <c r="I27" s="405"/>
      <c r="J27" s="405"/>
      <c r="K27" s="405"/>
      <c r="L27" s="405"/>
      <c r="M27" s="407"/>
      <c r="N27" s="457" t="str">
        <f t="shared" si="1"/>
        <v/>
      </c>
      <c r="O27" s="457" t="str">
        <f t="shared" si="2"/>
        <v/>
      </c>
      <c r="P27" s="457" t="str">
        <f t="shared" si="3"/>
        <v/>
      </c>
    </row>
    <row r="28" spans="1:16" ht="21.95" customHeight="1">
      <c r="A28" s="420">
        <v>46100</v>
      </c>
      <c r="B28" s="405" t="s">
        <v>638</v>
      </c>
      <c r="C28" s="405"/>
      <c r="D28" s="405"/>
      <c r="E28" s="455" t="str">
        <f t="shared" ref="E28:E35" si="4">IF(OR(C28="",D28=""),"",(D28-C28+IF(D28&lt;C28,1,0))*24)</f>
        <v/>
      </c>
      <c r="F28" s="405"/>
      <c r="G28" s="405"/>
      <c r="H28" s="405"/>
      <c r="I28" s="405"/>
      <c r="J28" s="405">
        <v>3</v>
      </c>
      <c r="K28" s="405">
        <v>3</v>
      </c>
      <c r="L28" s="458" t="s">
        <v>782</v>
      </c>
      <c r="M28" s="540" t="s">
        <v>848</v>
      </c>
      <c r="N28" s="457"/>
      <c r="O28" s="457"/>
      <c r="P28" s="457"/>
    </row>
    <row r="29" spans="1:16" ht="21.95" customHeight="1">
      <c r="A29" s="420">
        <v>46101</v>
      </c>
      <c r="B29" s="405" t="s">
        <v>639</v>
      </c>
      <c r="C29" s="405"/>
      <c r="D29" s="405"/>
      <c r="E29" s="455" t="str">
        <f t="shared" si="4"/>
        <v/>
      </c>
      <c r="F29" s="405"/>
      <c r="G29" s="405"/>
      <c r="H29" s="405"/>
      <c r="I29" s="405"/>
      <c r="J29" s="405"/>
      <c r="K29" s="405"/>
      <c r="L29" s="405"/>
      <c r="M29" s="407"/>
      <c r="N29" s="457"/>
      <c r="O29" s="457"/>
      <c r="P29" s="457"/>
    </row>
    <row r="30" spans="1:16" ht="21.95" customHeight="1">
      <c r="A30" s="420">
        <v>46102</v>
      </c>
      <c r="B30" s="405" t="s">
        <v>405</v>
      </c>
      <c r="C30" s="405"/>
      <c r="D30" s="405"/>
      <c r="E30" s="455" t="str">
        <f t="shared" si="4"/>
        <v/>
      </c>
      <c r="F30" s="405"/>
      <c r="G30" s="405"/>
      <c r="H30" s="405"/>
      <c r="I30" s="405"/>
      <c r="J30" s="405"/>
      <c r="K30" s="405"/>
      <c r="L30" s="405"/>
      <c r="M30" s="407"/>
      <c r="N30" s="457"/>
      <c r="O30" s="457"/>
      <c r="P30" s="457"/>
    </row>
    <row r="31" spans="1:16" ht="21.95" customHeight="1">
      <c r="A31" s="420">
        <v>46103</v>
      </c>
      <c r="B31" s="405" t="s">
        <v>640</v>
      </c>
      <c r="C31" s="405"/>
      <c r="D31" s="405"/>
      <c r="E31" s="455" t="str">
        <f t="shared" si="4"/>
        <v/>
      </c>
      <c r="F31" s="405"/>
      <c r="G31" s="405"/>
      <c r="H31" s="405"/>
      <c r="I31" s="405"/>
      <c r="J31" s="405"/>
      <c r="K31" s="405"/>
      <c r="L31" s="405"/>
      <c r="M31" s="407"/>
      <c r="N31" s="457"/>
      <c r="O31" s="457"/>
      <c r="P31" s="457"/>
    </row>
    <row r="32" spans="1:16" ht="21.95" customHeight="1">
      <c r="A32" s="420">
        <v>46104</v>
      </c>
      <c r="B32" s="405" t="s">
        <v>399</v>
      </c>
      <c r="C32" s="405"/>
      <c r="D32" s="405"/>
      <c r="E32" s="455" t="str">
        <f t="shared" si="4"/>
        <v/>
      </c>
      <c r="F32" s="405"/>
      <c r="G32" s="405"/>
      <c r="H32" s="405"/>
      <c r="I32" s="405"/>
      <c r="J32" s="405">
        <v>3.5</v>
      </c>
      <c r="K32" s="405">
        <v>4</v>
      </c>
      <c r="L32" s="405" t="s">
        <v>663</v>
      </c>
      <c r="M32" s="407"/>
      <c r="N32" s="457"/>
      <c r="O32" s="457"/>
      <c r="P32" s="457"/>
    </row>
    <row r="33" spans="1:16" ht="21.95" customHeight="1">
      <c r="A33" s="420">
        <v>46105</v>
      </c>
      <c r="B33" s="405" t="s">
        <v>637</v>
      </c>
      <c r="C33" s="405"/>
      <c r="D33" s="405"/>
      <c r="E33" s="455" t="str">
        <f t="shared" si="4"/>
        <v/>
      </c>
      <c r="F33" s="405"/>
      <c r="G33" s="405"/>
      <c r="H33" s="405"/>
      <c r="I33" s="405"/>
      <c r="J33" s="405"/>
      <c r="K33" s="405"/>
      <c r="L33" s="405"/>
      <c r="M33" s="407"/>
      <c r="N33" s="457"/>
      <c r="O33" s="457"/>
      <c r="P33" s="457"/>
    </row>
    <row r="34" spans="1:16" ht="21.95" customHeight="1">
      <c r="A34" s="420">
        <v>46106</v>
      </c>
      <c r="B34" s="405" t="s">
        <v>402</v>
      </c>
      <c r="C34" s="405"/>
      <c r="D34" s="405"/>
      <c r="E34" s="455" t="str">
        <f t="shared" si="4"/>
        <v/>
      </c>
      <c r="F34" s="405"/>
      <c r="G34" s="405"/>
      <c r="H34" s="405"/>
      <c r="I34" s="405"/>
      <c r="J34" s="405">
        <v>3</v>
      </c>
      <c r="K34" s="405">
        <v>3</v>
      </c>
      <c r="L34" s="405" t="s">
        <v>663</v>
      </c>
      <c r="M34" s="407" t="s">
        <v>823</v>
      </c>
      <c r="N34" s="457"/>
      <c r="O34" s="457"/>
      <c r="P34" s="457"/>
    </row>
    <row r="35" spans="1:16">
      <c r="A35" s="420">
        <v>46107</v>
      </c>
      <c r="B35" s="405" t="s">
        <v>638</v>
      </c>
      <c r="C35" s="405"/>
      <c r="D35" s="405"/>
      <c r="E35" s="455" t="str">
        <f t="shared" si="4"/>
        <v/>
      </c>
      <c r="F35" s="405"/>
      <c r="G35" s="405"/>
      <c r="H35" s="405"/>
      <c r="I35" s="405"/>
      <c r="J35" s="405"/>
      <c r="K35" s="405"/>
      <c r="L35" s="405"/>
      <c r="M35" s="407"/>
    </row>
    <row r="37" spans="1:16" ht="24" customHeight="1">
      <c r="A37" s="955" t="s">
        <v>664</v>
      </c>
      <c r="B37" s="729"/>
      <c r="C37" s="729"/>
      <c r="D37" s="729"/>
      <c r="E37" s="729"/>
      <c r="F37" s="729"/>
      <c r="G37" s="729"/>
      <c r="H37" s="729"/>
      <c r="I37" s="729"/>
      <c r="J37" s="729"/>
      <c r="K37" s="729"/>
      <c r="L37" s="729"/>
      <c r="M37" s="729"/>
    </row>
    <row r="38" spans="1:16" ht="20.100000000000001" customHeight="1">
      <c r="A38" s="410" t="s">
        <v>642</v>
      </c>
      <c r="B38" s="410" t="s">
        <v>665</v>
      </c>
      <c r="C38" s="410" t="s">
        <v>666</v>
      </c>
      <c r="D38" s="410" t="s">
        <v>644</v>
      </c>
      <c r="E38" s="410" t="s">
        <v>588</v>
      </c>
    </row>
    <row r="39" spans="1:16" ht="21.95" customHeight="1">
      <c r="A39" s="411" t="s">
        <v>667</v>
      </c>
      <c r="B39" s="421">
        <f>AVERAGE(F4:F4)</f>
        <v>6.44</v>
      </c>
      <c r="C39" s="421">
        <f>AVERAGE(F4:F27)</f>
        <v>6.2700000000000005</v>
      </c>
      <c r="D39" s="413" t="s">
        <v>646</v>
      </c>
      <c r="E39" s="422" t="str">
        <f>IF(B39&gt;=7,"✅ Good","⚠️ Low")</f>
        <v>⚠️ Low</v>
      </c>
    </row>
    <row r="40" spans="1:16" ht="21.95" customHeight="1">
      <c r="A40" s="415" t="s">
        <v>668</v>
      </c>
      <c r="B40" s="423">
        <f>AVERAGE(J4:J4)</f>
        <v>4</v>
      </c>
      <c r="C40" s="423">
        <f>AVERAGE(J4:J27)</f>
        <v>4.0277777777777777</v>
      </c>
      <c r="D40" s="405" t="s">
        <v>648</v>
      </c>
      <c r="E40" s="424" t="str">
        <f>IF(B40&gt;=4,"✅ Good","⚠️ Low")</f>
        <v>✅ Good</v>
      </c>
    </row>
    <row r="41" spans="1:16" ht="21.95" customHeight="1">
      <c r="A41" s="411" t="s">
        <v>669</v>
      </c>
      <c r="B41" s="421">
        <f>AVERAGE(K4:K4)</f>
        <v>4</v>
      </c>
      <c r="C41" s="421">
        <f>AVERAGE(K4:K27)</f>
        <v>4.0555555555555554</v>
      </c>
      <c r="D41" s="413" t="s">
        <v>648</v>
      </c>
      <c r="E41" s="422" t="str">
        <f>IF(B41&gt;=4,"✅ Good","⚠️ Low")</f>
        <v>✅ Good</v>
      </c>
    </row>
    <row r="42" spans="1:16" ht="21.95" customHeight="1">
      <c r="A42" s="415" t="s">
        <v>670</v>
      </c>
      <c r="B42" s="425">
        <f>COUNTIF(F4:F4,"&gt;=7")</f>
        <v>0</v>
      </c>
      <c r="C42" s="425">
        <f>COUNTIF(F4:F27,"&gt;=7")</f>
        <v>1</v>
      </c>
      <c r="D42" s="405" t="s">
        <v>671</v>
      </c>
      <c r="E42" s="424" t="str">
        <f>IF(B42&gt;=5,"✅ Good","⚠️ Low")</f>
        <v>⚠️ Low</v>
      </c>
    </row>
    <row r="43" spans="1:16" ht="21.95" customHeight="1">
      <c r="A43" s="411" t="s">
        <v>672</v>
      </c>
      <c r="B43" s="426">
        <f>COUNTA(F4:F4)</f>
        <v>1</v>
      </c>
      <c r="C43" s="426">
        <f>COUNTA(F4:F27)</f>
        <v>5</v>
      </c>
      <c r="D43" s="413" t="s">
        <v>673</v>
      </c>
    </row>
  </sheetData>
  <mergeCells count="3">
    <mergeCell ref="A1:M1"/>
    <mergeCell ref="A2:M2"/>
    <mergeCell ref="A37:M37"/>
  </mergeCells>
  <phoneticPr fontId="2" type="noConversion"/>
  <conditionalFormatting sqref="E4:F35">
    <cfRule type="expression" dxfId="9" priority="1">
      <formula>AND(E4&lt;&gt;"",E4&lt;7)</formula>
    </cfRule>
  </conditionalFormatting>
  <conditionalFormatting sqref="N4:N34">
    <cfRule type="expression" dxfId="8" priority="3">
      <formula>AND(N4&lt;&gt;"",N4&lt;15)</formula>
    </cfRule>
    <cfRule type="expression" dxfId="7" priority="4">
      <formula>AND(N4&lt;&gt;"",N4&gt;25)</formula>
    </cfRule>
    <cfRule type="expression" dxfId="6" priority="5">
      <formula>AND(N4&lt;&gt;"",N4&gt;=15,N4&lt;=25)</formula>
    </cfRule>
  </conditionalFormatting>
  <conditionalFormatting sqref="O4:O34">
    <cfRule type="expression" dxfId="5" priority="6">
      <formula>AND(O4&lt;&gt;"",O4&lt;50)</formula>
    </cfRule>
    <cfRule type="expression" dxfId="4" priority="7">
      <formula>AND(O4&lt;&gt;"",O4&gt;60)</formula>
    </cfRule>
    <cfRule type="expression" dxfId="3" priority="8">
      <formula>AND(O4&lt;&gt;"",O4&gt;=50,O4&lt;=60)</formula>
    </cfRule>
  </conditionalFormatting>
  <conditionalFormatting sqref="P4:P34">
    <cfRule type="expression" dxfId="2" priority="9">
      <formula>AND(P4&lt;&gt;"",P4&lt;20)</formula>
    </cfRule>
    <cfRule type="expression" dxfId="1" priority="10">
      <formula>AND(P4&lt;&gt;"",P4&gt;25)</formula>
    </cfRule>
    <cfRule type="expression" dxfId="0" priority="11">
      <formula>AND(P4&lt;&gt;"",P4&gt;=20,P4&lt;=25)</formula>
    </cfRule>
  </conditionalFormatting>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150C6-C7AB-409D-8A33-8B3C4E07C1F1}">
  <dimension ref="A1:F15"/>
  <sheetViews>
    <sheetView workbookViewId="0">
      <selection activeCell="D13" sqref="D13"/>
    </sheetView>
  </sheetViews>
  <sheetFormatPr defaultRowHeight="15"/>
  <cols>
    <col min="1" max="1" width="9.5703125" customWidth="1"/>
    <col min="2" max="2" width="15.28515625" customWidth="1"/>
    <col min="3" max="4" width="38.140625" customWidth="1"/>
    <col min="5" max="5" width="57.140625" customWidth="1"/>
    <col min="6" max="6" width="47.5703125" customWidth="1"/>
  </cols>
  <sheetData>
    <row r="1" spans="1:6">
      <c r="A1" s="538" t="s">
        <v>836</v>
      </c>
      <c r="B1" s="538" t="s">
        <v>1</v>
      </c>
      <c r="C1" s="538" t="s">
        <v>837</v>
      </c>
      <c r="D1" s="538" t="s">
        <v>838</v>
      </c>
      <c r="E1" s="538" t="s">
        <v>839</v>
      </c>
      <c r="F1" s="538" t="s">
        <v>840</v>
      </c>
    </row>
    <row r="2" spans="1:6">
      <c r="A2">
        <v>1</v>
      </c>
      <c r="B2" s="539">
        <v>46098</v>
      </c>
      <c r="C2" t="s">
        <v>841</v>
      </c>
      <c r="D2" t="s">
        <v>842</v>
      </c>
      <c r="E2" t="s">
        <v>843</v>
      </c>
      <c r="F2" t="s">
        <v>844</v>
      </c>
    </row>
    <row r="3" spans="1:6">
      <c r="A3">
        <v>2</v>
      </c>
      <c r="B3" s="539">
        <v>46106</v>
      </c>
      <c r="C3" t="s">
        <v>857</v>
      </c>
      <c r="D3" t="s">
        <v>858</v>
      </c>
      <c r="E3" t="s">
        <v>859</v>
      </c>
      <c r="F3" t="s">
        <v>860</v>
      </c>
    </row>
    <row r="4" spans="1:6">
      <c r="A4">
        <v>3</v>
      </c>
      <c r="B4">
        <v>46108</v>
      </c>
      <c r="C4" t="s">
        <v>862</v>
      </c>
      <c r="D4" t="s">
        <v>863</v>
      </c>
      <c r="E4" t="s">
        <v>864</v>
      </c>
      <c r="F4" t="s">
        <v>865</v>
      </c>
    </row>
    <row r="5" spans="1:6">
      <c r="A5">
        <v>4</v>
      </c>
      <c r="B5" s="539">
        <v>46111</v>
      </c>
      <c r="C5" t="s">
        <v>887</v>
      </c>
      <c r="D5" t="s">
        <v>888</v>
      </c>
      <c r="E5" t="s">
        <v>889</v>
      </c>
      <c r="F5" t="s">
        <v>890</v>
      </c>
    </row>
    <row r="6" spans="1:6">
      <c r="A6">
        <v>5</v>
      </c>
      <c r="B6" s="539">
        <v>46120</v>
      </c>
      <c r="C6" t="s">
        <v>919</v>
      </c>
      <c r="D6" t="s">
        <v>920</v>
      </c>
      <c r="E6" t="s">
        <v>921</v>
      </c>
      <c r="F6" t="s">
        <v>922</v>
      </c>
    </row>
    <row r="7" spans="1:6">
      <c r="A7">
        <v>6</v>
      </c>
      <c r="B7" s="539">
        <v>46120</v>
      </c>
      <c r="C7" t="s">
        <v>923</v>
      </c>
      <c r="D7" t="s">
        <v>924</v>
      </c>
      <c r="E7" t="s">
        <v>925</v>
      </c>
      <c r="F7" t="s">
        <v>926</v>
      </c>
    </row>
    <row r="8" spans="1:6">
      <c r="A8">
        <v>7</v>
      </c>
      <c r="B8" s="539">
        <v>46120</v>
      </c>
      <c r="C8" t="s">
        <v>1023</v>
      </c>
      <c r="D8" t="s">
        <v>1024</v>
      </c>
      <c r="E8" t="s">
        <v>1025</v>
      </c>
      <c r="F8" t="s">
        <v>1026</v>
      </c>
    </row>
    <row r="9" spans="1:6">
      <c r="A9">
        <v>8</v>
      </c>
      <c r="B9" s="539">
        <v>46122</v>
      </c>
      <c r="C9" t="s">
        <v>1028</v>
      </c>
      <c r="D9" t="s">
        <v>1029</v>
      </c>
      <c r="E9" t="s">
        <v>1030</v>
      </c>
      <c r="F9" t="s">
        <v>1031</v>
      </c>
    </row>
    <row r="10" spans="1:6">
      <c r="A10">
        <v>9</v>
      </c>
      <c r="B10" s="539">
        <v>46122</v>
      </c>
      <c r="C10" t="s">
        <v>1071</v>
      </c>
      <c r="D10" t="s">
        <v>1072</v>
      </c>
      <c r="E10" t="s">
        <v>1073</v>
      </c>
      <c r="F10" t="s">
        <v>1074</v>
      </c>
    </row>
    <row r="11" spans="1:6">
      <c r="A11">
        <v>10</v>
      </c>
      <c r="B11" s="539">
        <v>46128</v>
      </c>
      <c r="C11" t="s">
        <v>1082</v>
      </c>
      <c r="D11" t="s">
        <v>1083</v>
      </c>
      <c r="E11" t="s">
        <v>1084</v>
      </c>
      <c r="F11" t="s">
        <v>1085</v>
      </c>
    </row>
    <row r="12" spans="1:6">
      <c r="A12">
        <v>11</v>
      </c>
      <c r="B12" s="539">
        <v>46128</v>
      </c>
      <c r="C12" t="s">
        <v>1086</v>
      </c>
      <c r="D12" t="s">
        <v>1087</v>
      </c>
      <c r="E12" t="s">
        <v>1088</v>
      </c>
      <c r="F12" t="s">
        <v>1089</v>
      </c>
    </row>
    <row r="13" spans="1:6">
      <c r="A13">
        <v>12</v>
      </c>
      <c r="B13" s="539">
        <v>46128</v>
      </c>
      <c r="C13" t="s">
        <v>1090</v>
      </c>
      <c r="D13" t="s">
        <v>1091</v>
      </c>
      <c r="E13" t="s">
        <v>1092</v>
      </c>
      <c r="F13" t="s">
        <v>1093</v>
      </c>
    </row>
    <row r="14" spans="1:6">
      <c r="A14">
        <v>13</v>
      </c>
      <c r="B14" s="539">
        <v>46128</v>
      </c>
      <c r="C14" t="s">
        <v>1100</v>
      </c>
      <c r="D14" t="s">
        <v>1101</v>
      </c>
      <c r="E14" t="s">
        <v>1102</v>
      </c>
      <c r="F14" t="s">
        <v>1103</v>
      </c>
    </row>
    <row r="15" spans="1:6">
      <c r="A15">
        <v>14</v>
      </c>
      <c r="B15" s="539">
        <v>46142</v>
      </c>
      <c r="C15" t="s">
        <v>1110</v>
      </c>
      <c r="D15" t="s">
        <v>1111</v>
      </c>
      <c r="E15" t="s">
        <v>1112</v>
      </c>
      <c r="F15" t="s">
        <v>1113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E721D-1F6A-43D0-9BD9-F68495CBB2E5}">
  <dimension ref="A1:B29"/>
  <sheetViews>
    <sheetView workbookViewId="0">
      <selection activeCell="D16" activeCellId="1" sqref="K7 D16"/>
    </sheetView>
  </sheetViews>
  <sheetFormatPr defaultRowHeight="15"/>
  <cols>
    <col min="1" max="1" width="25" customWidth="1"/>
    <col min="2" max="2" width="60" customWidth="1"/>
  </cols>
  <sheetData>
    <row r="1" spans="1:2" ht="36" customHeight="1">
      <c r="A1" s="953" t="s">
        <v>674</v>
      </c>
      <c r="B1" s="729"/>
    </row>
    <row r="3" spans="1:2" ht="26.1" customHeight="1">
      <c r="A3" s="1090" t="s">
        <v>675</v>
      </c>
      <c r="B3" s="729"/>
    </row>
    <row r="4" spans="1:2" ht="24" customHeight="1">
      <c r="A4" s="427" t="s">
        <v>676</v>
      </c>
      <c r="B4" s="428" t="s">
        <v>677</v>
      </c>
    </row>
    <row r="5" spans="1:2" ht="24" customHeight="1">
      <c r="A5" s="427" t="s">
        <v>678</v>
      </c>
      <c r="B5" s="428" t="s">
        <v>679</v>
      </c>
    </row>
    <row r="6" spans="1:2" ht="24" customHeight="1">
      <c r="A6" s="427" t="s">
        <v>680</v>
      </c>
      <c r="B6" s="428" t="s">
        <v>681</v>
      </c>
    </row>
    <row r="7" spans="1:2" ht="24" customHeight="1">
      <c r="A7" s="427" t="s">
        <v>682</v>
      </c>
      <c r="B7" s="428" t="s">
        <v>683</v>
      </c>
    </row>
    <row r="8" spans="1:2" ht="24" customHeight="1">
      <c r="A8" s="427" t="s">
        <v>684</v>
      </c>
      <c r="B8" s="428" t="s">
        <v>685</v>
      </c>
    </row>
    <row r="9" spans="1:2" ht="26.1" customHeight="1"/>
    <row r="10" spans="1:2" ht="26.1" customHeight="1">
      <c r="A10" s="1090" t="s">
        <v>686</v>
      </c>
      <c r="B10" s="729"/>
    </row>
    <row r="11" spans="1:2" ht="24" customHeight="1">
      <c r="A11" s="427" t="s">
        <v>687</v>
      </c>
      <c r="B11" s="428" t="s">
        <v>688</v>
      </c>
    </row>
    <row r="12" spans="1:2" ht="24" customHeight="1">
      <c r="A12" s="427" t="s">
        <v>689</v>
      </c>
      <c r="B12" s="428" t="s">
        <v>690</v>
      </c>
    </row>
    <row r="13" spans="1:2" ht="24" customHeight="1">
      <c r="A13" s="427" t="s">
        <v>691</v>
      </c>
      <c r="B13" s="428" t="s">
        <v>692</v>
      </c>
    </row>
    <row r="14" spans="1:2" ht="26.1" customHeight="1"/>
    <row r="15" spans="1:2" ht="26.1" customHeight="1">
      <c r="A15" s="1090" t="s">
        <v>693</v>
      </c>
      <c r="B15" s="729"/>
    </row>
    <row r="16" spans="1:2" ht="24" customHeight="1">
      <c r="A16" s="427" t="s">
        <v>694</v>
      </c>
      <c r="B16" s="428" t="s">
        <v>695</v>
      </c>
    </row>
    <row r="17" spans="1:2" ht="24" customHeight="1">
      <c r="A17" s="427" t="s">
        <v>696</v>
      </c>
      <c r="B17" s="428" t="s">
        <v>697</v>
      </c>
    </row>
    <row r="18" spans="1:2" ht="26.1" customHeight="1"/>
    <row r="19" spans="1:2" ht="26.1" customHeight="1">
      <c r="A19" s="1090" t="s">
        <v>698</v>
      </c>
      <c r="B19" s="729"/>
    </row>
    <row r="20" spans="1:2" ht="24" customHeight="1">
      <c r="A20" s="427" t="s">
        <v>699</v>
      </c>
      <c r="B20" s="428" t="s">
        <v>700</v>
      </c>
    </row>
    <row r="21" spans="1:2" ht="24" customHeight="1">
      <c r="A21" s="427" t="s">
        <v>701</v>
      </c>
      <c r="B21" s="428" t="s">
        <v>702</v>
      </c>
    </row>
    <row r="22" spans="1:2" ht="24" customHeight="1">
      <c r="A22" s="427" t="s">
        <v>703</v>
      </c>
      <c r="B22" s="428" t="s">
        <v>704</v>
      </c>
    </row>
    <row r="23" spans="1:2" ht="24" customHeight="1">
      <c r="A23" s="427" t="s">
        <v>705</v>
      </c>
      <c r="B23" s="428" t="s">
        <v>706</v>
      </c>
    </row>
    <row r="24" spans="1:2" ht="24" customHeight="1">
      <c r="A24" s="427" t="s">
        <v>707</v>
      </c>
      <c r="B24" s="428" t="s">
        <v>708</v>
      </c>
    </row>
    <row r="25" spans="1:2" ht="26.1" customHeight="1"/>
    <row r="26" spans="1:2" ht="26.1" customHeight="1">
      <c r="A26" s="1090" t="s">
        <v>709</v>
      </c>
      <c r="B26" s="729"/>
    </row>
    <row r="27" spans="1:2" ht="24" customHeight="1">
      <c r="A27" s="427" t="s">
        <v>710</v>
      </c>
      <c r="B27" s="428" t="s">
        <v>711</v>
      </c>
    </row>
    <row r="28" spans="1:2" ht="24" customHeight="1">
      <c r="A28" s="427" t="s">
        <v>712</v>
      </c>
      <c r="B28" s="428" t="s">
        <v>713</v>
      </c>
    </row>
    <row r="29" spans="1:2" ht="24" customHeight="1">
      <c r="A29" s="427" t="s">
        <v>714</v>
      </c>
      <c r="B29" s="428" t="s">
        <v>715</v>
      </c>
    </row>
  </sheetData>
  <mergeCells count="6">
    <mergeCell ref="A26:B26"/>
    <mergeCell ref="A1:B1"/>
    <mergeCell ref="A3:B3"/>
    <mergeCell ref="A10:B10"/>
    <mergeCell ref="A15:B15"/>
    <mergeCell ref="A19:B19"/>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5CF8D5-7777-43A3-9AFB-1D53EBDC5272}">
  <dimension ref="A1:H11"/>
  <sheetViews>
    <sheetView workbookViewId="0">
      <selection activeCell="D16" activeCellId="1" sqref="K7 D16"/>
    </sheetView>
  </sheetViews>
  <sheetFormatPr defaultRowHeight="15"/>
  <cols>
    <col min="1" max="1" width="14" customWidth="1"/>
    <col min="2" max="8" width="12" customWidth="1"/>
  </cols>
  <sheetData>
    <row r="1" spans="1:8" ht="36" customHeight="1">
      <c r="A1" s="953" t="s">
        <v>716</v>
      </c>
      <c r="B1" s="729"/>
      <c r="C1" s="729"/>
      <c r="D1" s="729"/>
      <c r="E1" s="729"/>
      <c r="F1" s="729"/>
      <c r="G1" s="729"/>
      <c r="H1" s="729"/>
    </row>
    <row r="2" spans="1:8" ht="20.100000000000001" customHeight="1">
      <c r="A2" s="429" t="s">
        <v>717</v>
      </c>
      <c r="B2" s="429" t="s">
        <v>399</v>
      </c>
      <c r="C2" s="429" t="s">
        <v>637</v>
      </c>
      <c r="D2" s="429" t="s">
        <v>402</v>
      </c>
      <c r="E2" s="429" t="s">
        <v>638</v>
      </c>
      <c r="F2" s="429" t="s">
        <v>639</v>
      </c>
      <c r="G2" s="409" t="s">
        <v>405</v>
      </c>
      <c r="H2" s="409" t="s">
        <v>640</v>
      </c>
    </row>
    <row r="3" spans="1:8" ht="39.950000000000003" customHeight="1">
      <c r="A3" s="410" t="s">
        <v>718</v>
      </c>
      <c r="B3" s="430"/>
      <c r="C3" s="430"/>
      <c r="D3" s="430"/>
      <c r="E3" s="430"/>
      <c r="F3" s="430"/>
      <c r="G3" s="431" t="s">
        <v>719</v>
      </c>
      <c r="H3" s="431" t="s">
        <v>720</v>
      </c>
    </row>
    <row r="5" spans="1:8" ht="39.950000000000003" customHeight="1">
      <c r="A5" s="410" t="s">
        <v>721</v>
      </c>
      <c r="B5" s="431" t="s">
        <v>722</v>
      </c>
      <c r="C5" s="431" t="s">
        <v>723</v>
      </c>
      <c r="D5" s="431" t="s">
        <v>724</v>
      </c>
      <c r="E5" s="431" t="s">
        <v>725</v>
      </c>
      <c r="F5" s="431" t="s">
        <v>726</v>
      </c>
      <c r="G5" s="431" t="s">
        <v>727</v>
      </c>
      <c r="H5" s="431" t="s">
        <v>728</v>
      </c>
    </row>
    <row r="7" spans="1:8" ht="39.950000000000003" customHeight="1">
      <c r="A7" s="410" t="s">
        <v>729</v>
      </c>
      <c r="B7" s="431" t="s">
        <v>730</v>
      </c>
      <c r="C7" s="431" t="s">
        <v>731</v>
      </c>
      <c r="D7" s="431" t="s">
        <v>732</v>
      </c>
      <c r="E7" s="431" t="s">
        <v>733</v>
      </c>
      <c r="F7" s="431" t="s">
        <v>734</v>
      </c>
      <c r="G7" s="431" t="s">
        <v>735</v>
      </c>
      <c r="H7" s="431" t="s">
        <v>736</v>
      </c>
    </row>
    <row r="9" spans="1:8" ht="39.950000000000003" customHeight="1">
      <c r="A9" s="410" t="s">
        <v>737</v>
      </c>
      <c r="B9" s="431" t="s">
        <v>738</v>
      </c>
      <c r="C9" s="431" t="s">
        <v>739</v>
      </c>
      <c r="D9" s="431" t="s">
        <v>740</v>
      </c>
      <c r="E9" s="431" t="s">
        <v>741</v>
      </c>
      <c r="F9" s="431" t="s">
        <v>742</v>
      </c>
      <c r="G9" s="431" t="s">
        <v>743</v>
      </c>
      <c r="H9" s="431" t="s">
        <v>744</v>
      </c>
    </row>
    <row r="11" spans="1:8" ht="39.950000000000003" customHeight="1">
      <c r="A11" s="410" t="s">
        <v>745</v>
      </c>
      <c r="B11" s="431" t="s">
        <v>746</v>
      </c>
      <c r="C11" s="431" t="s">
        <v>747</v>
      </c>
      <c r="D11" s="431" t="s">
        <v>748</v>
      </c>
      <c r="E11" s="431" t="s">
        <v>749</v>
      </c>
      <c r="F11" s="431" t="s">
        <v>750</v>
      </c>
      <c r="G11" s="430"/>
      <c r="H11" s="430"/>
    </row>
  </sheetData>
  <mergeCells count="1">
    <mergeCell ref="A1:H1"/>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D43D652-6A17-4483-A8C2-ABE33DF6E13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Exercise</vt:lpstr>
      <vt:lpstr>Training Program</vt:lpstr>
      <vt:lpstr>Training Program 2.0</vt:lpstr>
      <vt:lpstr>📅 Daily Log</vt:lpstr>
      <vt:lpstr>💪 Training Program 3.0</vt:lpstr>
      <vt:lpstr>Eats</vt:lpstr>
      <vt:lpstr>💪 Training Program 4.0</vt:lpstr>
      <vt:lpstr>🍽️ Nutrition 2.0</vt:lpstr>
      <vt:lpstr>✨ Mood Tracker</vt:lpstr>
      <vt:lpstr>😴 Sleep Tracker</vt:lpstr>
      <vt:lpstr>Claude Log</vt:lpstr>
      <vt:lpstr>📖 Sleep Guide</vt:lpstr>
      <vt:lpstr>📅 Monthly View</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Kim</dc:creator>
  <cp:keywords/>
  <dc:description/>
  <cp:lastModifiedBy>Alex Kim</cp:lastModifiedBy>
  <cp:revision/>
  <dcterms:created xsi:type="dcterms:W3CDTF">2023-07-16T10:33:41Z</dcterms:created>
  <dcterms:modified xsi:type="dcterms:W3CDTF">2026-05-28T02:06:31Z</dcterms:modified>
  <cp:category/>
  <cp:contentStatus/>
</cp:coreProperties>
</file>